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avaliacoes" sheetId="2" r:id="rId5"/>
    <sheet state="visible" name="analise" sheetId="3" r:id="rId6"/>
  </sheets>
  <definedNames>
    <definedName hidden="1" localSheetId="0" name="_xlnm._FilterDatabase">dados!$J$1:$J$1468</definedName>
  </definedNames>
  <calcPr/>
</workbook>
</file>

<file path=xl/sharedStrings.xml><?xml version="1.0" encoding="utf-8"?>
<sst xmlns="http://schemas.openxmlformats.org/spreadsheetml/2006/main" count="17613" uniqueCount="13090">
  <si>
    <t>product_id</t>
  </si>
  <si>
    <t>product_name</t>
  </si>
  <si>
    <t>category</t>
  </si>
  <si>
    <t>category_geral</t>
  </si>
  <si>
    <t>subcategory</t>
  </si>
  <si>
    <t>actual_price</t>
  </si>
  <si>
    <t>product_price</t>
  </si>
  <si>
    <t>percent</t>
  </si>
  <si>
    <t>actual_price_real</t>
  </si>
  <si>
    <t>rating</t>
  </si>
  <si>
    <t>rating_count</t>
  </si>
  <si>
    <t>about_product</t>
  </si>
  <si>
    <t>product_link</t>
  </si>
  <si>
    <t>titulo</t>
  </si>
  <si>
    <t>review</t>
  </si>
  <si>
    <t>titulo_ptbr</t>
  </si>
  <si>
    <t>review_ptbr</t>
  </si>
  <si>
    <t>summary_review</t>
  </si>
  <si>
    <t>sentimentos</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</si>
  <si>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</si>
  <si>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</si>
  <si>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</si>
  <si>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</si>
  <si>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</si>
  <si>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</si>
  <si>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</si>
  <si>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</si>
  <si>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</si>
  <si>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</si>
  <si>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</si>
  <si>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</si>
  <si>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</si>
  <si>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</si>
  <si>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</si>
  <si>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</si>
  <si>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</si>
  <si>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</si>
  <si>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</si>
  <si>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</si>
  <si>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</si>
  <si>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</si>
  <si>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</si>
  <si>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</si>
  <si>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</si>
  <si>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</si>
  <si>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</si>
  <si>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</si>
  <si>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</si>
  <si>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</si>
  <si>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</si>
  <si>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</si>
  <si>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</si>
  <si>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</si>
  <si>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</si>
  <si>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</si>
  <si>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</si>
  <si>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</si>
  <si>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</si>
  <si>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</si>
  <si>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</si>
  <si>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</si>
  <si>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</si>
  <si>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</si>
  <si>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</si>
  <si>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</si>
  <si>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</si>
  <si>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</si>
  <si>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</si>
  <si>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</si>
  <si>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</si>
  <si>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</si>
  <si>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</si>
  <si>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</si>
  <si>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</si>
  <si>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</si>
  <si>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</si>
  <si>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</si>
  <si>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</si>
  <si>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</si>
  <si>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</si>
  <si>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</si>
  <si>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</si>
  <si>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</si>
  <si>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</si>
  <si>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</si>
  <si>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</si>
  <si>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</si>
  <si>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</si>
  <si>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</si>
  <si>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</si>
  <si>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</si>
  <si>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</si>
  <si>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</si>
  <si>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</si>
  <si>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</si>
  <si>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</si>
  <si>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</si>
  <si>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</si>
  <si>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</si>
  <si>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</si>
  <si>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</si>
  <si>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</si>
  <si>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</si>
  <si>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</si>
  <si>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</si>
  <si>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</si>
  <si>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</si>
  <si>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</si>
  <si>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</si>
  <si>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</si>
  <si>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</si>
  <si>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</si>
  <si>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</si>
  <si>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</si>
  <si>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</si>
  <si>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</si>
  <si>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</si>
  <si>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</si>
  <si>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</si>
  <si>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</si>
  <si>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</si>
  <si>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</si>
  <si>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</si>
  <si>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</si>
  <si>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</si>
  <si>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</si>
  <si>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</si>
  <si>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</si>
  <si>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</si>
  <si>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</si>
  <si>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</si>
  <si>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</si>
  <si>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</si>
  <si>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</si>
  <si>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</si>
  <si>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</si>
  <si>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</si>
  <si>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</si>
  <si>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</si>
  <si>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</si>
  <si>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</si>
  <si>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</si>
  <si>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</si>
  <si>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</si>
  <si>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</si>
  <si>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</si>
  <si>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</si>
  <si>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</si>
  <si>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</si>
  <si>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</si>
  <si>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</si>
  <si>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</si>
  <si>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</si>
  <si>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</si>
  <si>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</si>
  <si>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</si>
  <si>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</si>
  <si>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</si>
  <si>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</si>
  <si>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</si>
  <si>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</si>
  <si>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</si>
  <si>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</si>
  <si>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</si>
  <si>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</si>
  <si>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</si>
  <si>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</si>
  <si>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</si>
  <si>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</si>
  <si>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</si>
  <si>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</si>
  <si>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</si>
  <si>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</si>
  <si>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</si>
  <si>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</si>
  <si>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</si>
  <si>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</si>
  <si>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</si>
  <si>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</si>
  <si>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</si>
  <si>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</si>
  <si>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</si>
  <si>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</si>
  <si>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</si>
  <si>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</si>
  <si>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</si>
  <si>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</si>
  <si>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</si>
  <si>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</si>
  <si>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</si>
  <si>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</si>
  <si>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</si>
  <si>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</si>
  <si>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</si>
  <si>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</si>
  <si>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</si>
  <si>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</si>
  <si>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</si>
  <si>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</si>
  <si>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</si>
  <si>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</si>
  <si>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</si>
  <si>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</si>
  <si>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</si>
  <si>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</si>
  <si>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</si>
  <si>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</si>
  <si>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</si>
  <si>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</si>
  <si>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</si>
  <si>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</si>
  <si>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</si>
  <si>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</si>
  <si>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</si>
  <si>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</si>
  <si>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</si>
  <si>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</si>
  <si>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</si>
  <si>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</si>
  <si>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</si>
  <si>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</si>
  <si>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</si>
  <si>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</si>
  <si>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</si>
  <si>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</si>
  <si>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</si>
  <si>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</si>
  <si>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</si>
  <si>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</si>
  <si>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</si>
  <si>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</si>
  <si>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</si>
  <si>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</si>
  <si>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</si>
  <si>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</si>
  <si>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</si>
  <si>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</si>
  <si>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</si>
  <si>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</si>
  <si>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</si>
  <si>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</si>
  <si>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</si>
  <si>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</si>
  <si>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</si>
  <si>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</si>
  <si>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</si>
  <si>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</si>
  <si>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</si>
  <si>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</si>
  <si>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</si>
  <si>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</si>
  <si>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</si>
  <si>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</si>
  <si>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</si>
  <si>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</si>
  <si>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</si>
  <si>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</si>
  <si>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</si>
  <si>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</si>
  <si>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</si>
  <si>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</si>
  <si>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</si>
  <si>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</si>
  <si>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</si>
  <si>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</si>
  <si>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</si>
  <si>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</si>
  <si>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</si>
  <si>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</si>
  <si>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</si>
  <si>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</si>
  <si>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</si>
  <si>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</si>
  <si>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</si>
  <si>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</si>
  <si>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</si>
  <si>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</si>
  <si>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</si>
  <si>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</si>
  <si>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</si>
  <si>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</si>
  <si>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</si>
  <si>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</si>
  <si>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</si>
  <si>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</si>
  <si>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</si>
  <si>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</si>
  <si>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</si>
  <si>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</si>
  <si>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</si>
  <si>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</si>
  <si>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</si>
  <si>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</si>
  <si>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</si>
  <si>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</si>
  <si>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</si>
  <si>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</si>
  <si>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</si>
  <si>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</si>
  <si>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</si>
  <si>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</si>
  <si>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</si>
  <si>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</si>
  <si>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</si>
  <si>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</si>
  <si>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</si>
  <si>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</si>
  <si>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</si>
  <si>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</si>
  <si>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</si>
  <si>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</si>
  <si>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</si>
  <si>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</si>
  <si>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</si>
  <si>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</si>
  <si>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</si>
  <si>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</si>
  <si>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</si>
  <si>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</si>
  <si>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</si>
  <si>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</si>
  <si>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</si>
  <si>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</si>
  <si>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</si>
  <si>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</si>
  <si>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</si>
  <si>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</si>
  <si>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</si>
  <si>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</si>
  <si>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</si>
  <si>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</si>
  <si>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</si>
  <si>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</si>
  <si>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</si>
  <si>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</si>
  <si>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</si>
  <si>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</si>
  <si>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</si>
  <si>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</si>
  <si>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</si>
  <si>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</si>
  <si>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</si>
  <si>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</si>
  <si>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</si>
  <si>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</si>
  <si>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</si>
  <si>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</si>
  <si>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</si>
  <si>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</si>
  <si>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</si>
  <si>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</si>
  <si>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</si>
  <si>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</si>
  <si>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</si>
  <si>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</si>
  <si>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</si>
  <si>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</si>
  <si>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</si>
  <si>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</si>
  <si>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</si>
  <si>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</si>
  <si>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</si>
  <si>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</si>
  <si>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</si>
  <si>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</si>
  <si>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</si>
  <si>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</si>
  <si>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</si>
  <si>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</si>
  <si>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</si>
  <si>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</si>
  <si>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</si>
  <si>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</si>
  <si>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</si>
  <si>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</si>
  <si>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</si>
  <si>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</si>
  <si>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</si>
  <si>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</si>
  <si>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</si>
  <si>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</si>
  <si>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</si>
  <si>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</si>
  <si>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</si>
  <si>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</si>
  <si>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</si>
  <si>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</si>
  <si>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</si>
  <si>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</si>
  <si>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</si>
  <si>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</si>
  <si>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</si>
  <si>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</si>
  <si>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</si>
  <si>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</si>
  <si>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</si>
  <si>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</si>
  <si>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</si>
  <si>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</si>
  <si>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</si>
  <si>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</si>
  <si>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</si>
  <si>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</si>
  <si>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</si>
  <si>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</si>
  <si>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</si>
  <si>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</si>
  <si>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</si>
  <si>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</si>
  <si>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</si>
  <si>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</si>
  <si>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</si>
  <si>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</si>
  <si>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</si>
  <si>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</si>
  <si>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</si>
  <si>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</si>
  <si>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</si>
  <si>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</si>
  <si>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</si>
  <si>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</si>
  <si>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</si>
  <si>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</si>
  <si>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</si>
  <si>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</si>
  <si>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</si>
  <si>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</si>
  <si>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</si>
  <si>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</si>
  <si>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</si>
  <si>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</si>
  <si>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</si>
  <si>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</si>
  <si>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</si>
  <si>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</si>
  <si>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</si>
  <si>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</si>
  <si>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</si>
  <si>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</si>
  <si>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</si>
  <si>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</si>
  <si>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</si>
  <si>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</si>
  <si>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</si>
  <si>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</si>
  <si>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</si>
  <si>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</si>
  <si>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</si>
  <si>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</si>
  <si>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</si>
  <si>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</si>
  <si>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</si>
  <si>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</si>
  <si>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</si>
  <si>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</si>
  <si>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</si>
  <si>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</si>
  <si>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</si>
  <si>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</si>
  <si>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</si>
  <si>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</si>
  <si>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</si>
  <si>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</si>
  <si>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</si>
  <si>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</si>
  <si>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</si>
  <si>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</si>
  <si>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</si>
  <si>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</si>
  <si>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</si>
  <si>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</si>
  <si>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</si>
  <si>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</si>
  <si>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</si>
  <si>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</si>
  <si>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</si>
  <si>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</si>
  <si>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</si>
  <si>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</si>
  <si>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</si>
  <si>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</si>
  <si>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</si>
  <si>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</si>
  <si>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</si>
  <si>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</si>
  <si>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</si>
  <si>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</si>
  <si>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</si>
  <si>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</si>
  <si>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</si>
  <si>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</si>
  <si>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</si>
  <si>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</si>
  <si>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</si>
  <si>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</si>
  <si>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</si>
  <si>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</si>
  <si>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</si>
  <si>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</si>
  <si>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</si>
  <si>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</si>
  <si>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</si>
  <si>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</si>
  <si>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</si>
  <si>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</si>
  <si>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</si>
  <si>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</si>
  <si>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</si>
  <si>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</si>
  <si>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</si>
  <si>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</si>
  <si>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</si>
  <si>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</si>
  <si>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</si>
  <si>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</si>
  <si>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</si>
  <si>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</si>
  <si>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</si>
  <si>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</si>
  <si>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</si>
  <si>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</si>
  <si>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</si>
  <si>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</si>
  <si>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</si>
  <si>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</si>
  <si>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</si>
  <si>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</si>
  <si>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</si>
  <si>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</si>
  <si>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</si>
  <si>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</si>
  <si>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</si>
  <si>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</si>
  <si>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</si>
  <si>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</si>
  <si>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</si>
  <si>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</si>
  <si>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</si>
  <si>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</si>
  <si>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</si>
  <si>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</si>
  <si>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</si>
  <si>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</si>
  <si>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</si>
  <si>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</si>
  <si>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</si>
  <si>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</si>
  <si>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</si>
  <si>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</si>
  <si>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</si>
  <si>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</si>
  <si>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</si>
  <si>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</si>
  <si>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</si>
  <si>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</si>
  <si>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</si>
  <si>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</si>
  <si>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</si>
  <si>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</si>
  <si>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</si>
  <si>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</si>
  <si>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</si>
  <si>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</si>
  <si>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</si>
  <si>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</si>
  <si>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</si>
  <si>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</si>
  <si>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</si>
  <si>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</si>
  <si>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</si>
  <si>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</si>
  <si>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</si>
  <si>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</si>
  <si>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</si>
  <si>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</si>
  <si>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</si>
  <si>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</si>
  <si>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</si>
  <si>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</si>
  <si>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</si>
  <si>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</si>
  <si>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</si>
  <si>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</si>
  <si>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</si>
  <si>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</si>
  <si>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</si>
  <si>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</si>
  <si>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</si>
  <si>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</si>
  <si>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</si>
  <si>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</si>
  <si>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</si>
  <si>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</si>
  <si>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</si>
  <si>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</si>
  <si>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</si>
  <si>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</si>
  <si>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</si>
  <si>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</si>
  <si>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</si>
  <si>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</si>
  <si>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</si>
  <si>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</si>
  <si>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</si>
  <si>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</si>
  <si>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</si>
  <si>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</si>
  <si>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</si>
  <si>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</si>
  <si>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</si>
  <si>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</si>
  <si>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</si>
  <si>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</si>
  <si>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</si>
  <si>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</si>
  <si>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</si>
  <si>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</si>
  <si>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</si>
  <si>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</si>
  <si>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</si>
  <si>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</si>
  <si>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</si>
  <si>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</si>
  <si>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</si>
  <si>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</si>
  <si>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</si>
  <si>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</si>
  <si>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</si>
  <si>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</si>
  <si>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</si>
  <si>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</si>
  <si>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</si>
  <si>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</si>
  <si>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</si>
  <si>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</si>
  <si>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</si>
  <si>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</si>
  <si>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</si>
  <si>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</si>
  <si>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</si>
  <si>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</si>
  <si>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</si>
  <si>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</si>
  <si>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</si>
  <si>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</si>
  <si>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</si>
  <si>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</si>
  <si>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</si>
  <si>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</si>
  <si>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</si>
  <si>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</si>
  <si>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</si>
  <si>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</si>
  <si>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</si>
  <si>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</si>
  <si>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</si>
  <si>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</si>
  <si>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</si>
  <si>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</si>
  <si>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</si>
  <si>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</si>
  <si>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</si>
  <si>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</si>
  <si>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</si>
  <si>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</si>
  <si>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</si>
  <si>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</si>
  <si>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</si>
  <si>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</si>
  <si>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</si>
  <si>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</si>
  <si>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</si>
  <si>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</si>
  <si>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</si>
  <si>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</si>
  <si>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</si>
  <si>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</si>
  <si>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</si>
  <si>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</si>
  <si>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</si>
  <si>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</si>
  <si>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</si>
  <si>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</si>
  <si>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</si>
  <si>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</si>
  <si>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</si>
  <si>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</si>
  <si>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</si>
  <si>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</si>
  <si>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</si>
  <si>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</si>
  <si>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</si>
  <si>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</si>
  <si>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</si>
  <si>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</si>
  <si>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</si>
  <si>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</si>
  <si>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</si>
  <si>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</si>
  <si>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</si>
  <si>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</si>
  <si>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</si>
  <si>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</si>
  <si>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</si>
  <si>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</si>
  <si>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</si>
  <si>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</si>
  <si>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</si>
  <si>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</si>
  <si>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</si>
  <si>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</si>
  <si>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</si>
  <si>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</si>
  <si>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</si>
  <si>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</si>
  <si>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</si>
  <si>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</si>
  <si>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</si>
  <si>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</si>
  <si>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</si>
  <si>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</si>
  <si>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</si>
  <si>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</si>
  <si>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</si>
  <si>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</si>
  <si>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</si>
  <si>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</si>
  <si>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</si>
  <si>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</si>
  <si>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</si>
  <si>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</si>
  <si>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</si>
  <si>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</si>
  <si>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</si>
  <si>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</si>
  <si>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</si>
  <si>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</si>
  <si>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</si>
  <si>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</si>
  <si>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</si>
  <si>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</si>
  <si>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</si>
  <si>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</si>
  <si>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</si>
  <si>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</si>
  <si>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</si>
  <si>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</si>
  <si>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</si>
  <si>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</si>
  <si>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</si>
  <si>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</si>
  <si>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</si>
  <si>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</si>
  <si>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</si>
  <si>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</si>
  <si>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</si>
  <si>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</si>
  <si>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</si>
  <si>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</si>
  <si>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</si>
  <si>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</si>
  <si>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</si>
  <si>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</si>
  <si>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</si>
  <si>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</si>
  <si>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</si>
  <si>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</si>
  <si>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</si>
  <si>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</si>
  <si>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</si>
  <si>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</si>
  <si>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</si>
  <si>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</si>
  <si>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</si>
  <si>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</si>
  <si>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</si>
  <si>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</si>
  <si>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</si>
  <si>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</si>
  <si>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</si>
  <si>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</si>
  <si>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</si>
  <si>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</si>
  <si>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</si>
  <si>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</si>
  <si>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</si>
  <si>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</si>
  <si>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</si>
  <si>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</si>
  <si>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</si>
  <si>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</si>
  <si>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</si>
  <si>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</si>
  <si>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</si>
  <si>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</si>
  <si>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</si>
  <si>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</si>
  <si>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</si>
  <si>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</si>
  <si>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</si>
  <si>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</si>
  <si>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</si>
  <si>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</si>
  <si>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</si>
  <si>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</si>
  <si>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</si>
  <si>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</si>
  <si>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</si>
  <si>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</si>
  <si>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</si>
  <si>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</si>
  <si>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</si>
  <si>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</si>
  <si>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</si>
  <si>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</si>
  <si>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</si>
  <si>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</si>
  <si>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</si>
  <si>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</si>
  <si>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</si>
  <si>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</si>
  <si>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</si>
  <si>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</si>
  <si>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</si>
  <si>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</si>
  <si>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</si>
  <si>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</si>
  <si>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</si>
  <si>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</si>
  <si>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</si>
  <si>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</si>
  <si>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</si>
  <si>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</si>
  <si>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</si>
  <si>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</si>
  <si>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</si>
  <si>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</si>
  <si>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</si>
  <si>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</si>
  <si>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</si>
  <si>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</si>
  <si>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</si>
  <si>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</si>
  <si>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</si>
  <si>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</si>
  <si>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</si>
  <si>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</si>
  <si>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</si>
  <si>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</si>
  <si>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</si>
  <si>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</si>
  <si>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</si>
  <si>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</si>
  <si>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</si>
  <si>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</si>
  <si>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</si>
  <si>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</si>
  <si>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</si>
  <si>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</si>
  <si>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</si>
  <si>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</si>
  <si>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</si>
  <si>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</si>
  <si>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</si>
  <si>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</si>
  <si>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</si>
  <si>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</si>
  <si>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</si>
  <si>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</si>
  <si>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</si>
  <si>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</si>
  <si>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</si>
  <si>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</si>
  <si>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</si>
  <si>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</si>
  <si>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</si>
  <si>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</si>
  <si>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</si>
  <si>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</si>
  <si>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</si>
  <si>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</si>
  <si>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</si>
  <si>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</si>
  <si>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</si>
  <si>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</si>
  <si>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</si>
  <si>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</si>
  <si>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</si>
  <si>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</si>
  <si>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</si>
  <si>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</si>
  <si>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</si>
  <si>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</si>
  <si>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</si>
  <si>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</si>
  <si>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</si>
  <si>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</si>
  <si>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</si>
  <si>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</si>
  <si>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</si>
  <si>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</si>
  <si>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</si>
  <si>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</si>
  <si>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</si>
  <si>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</si>
  <si>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</si>
  <si>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</si>
  <si>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</si>
  <si>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</si>
  <si>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</si>
  <si>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</si>
  <si>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</si>
  <si>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</si>
  <si>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</si>
  <si>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</si>
  <si>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</si>
  <si>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</si>
  <si>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</si>
  <si>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</si>
  <si>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</si>
  <si>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</si>
  <si>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</si>
  <si>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</si>
  <si>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</si>
  <si>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</si>
  <si>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</si>
  <si>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</si>
  <si>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</si>
  <si>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</si>
  <si>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</si>
  <si>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</si>
  <si>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</si>
  <si>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</si>
  <si>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</si>
  <si>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</si>
  <si>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</si>
  <si>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</si>
  <si>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</si>
  <si>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</si>
  <si>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</si>
  <si>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</si>
  <si>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</si>
  <si>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</si>
  <si>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</si>
  <si>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</si>
  <si>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</si>
  <si>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</si>
  <si>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</si>
  <si>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</si>
  <si>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</si>
  <si>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</si>
  <si>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</si>
  <si>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</si>
  <si>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</si>
  <si>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</si>
  <si>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</si>
  <si>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</si>
  <si>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</si>
  <si>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</si>
  <si>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</si>
  <si>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</si>
  <si>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</si>
  <si>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</si>
  <si>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</si>
  <si>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</si>
  <si>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</si>
  <si>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</si>
  <si>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</si>
  <si>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</si>
  <si>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</si>
  <si>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</si>
  <si>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</si>
  <si>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</si>
  <si>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</si>
  <si>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</si>
  <si>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</si>
  <si>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</si>
  <si>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</si>
  <si>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</si>
  <si>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</si>
  <si>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</si>
  <si>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</si>
  <si>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</si>
  <si>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</si>
  <si>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</si>
  <si>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</si>
  <si>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</si>
  <si>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</si>
  <si>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</si>
  <si>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</si>
  <si>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</si>
  <si>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</si>
  <si>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</si>
  <si>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</si>
  <si>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</si>
  <si>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</si>
  <si>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</si>
  <si>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</si>
  <si>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</si>
  <si>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</si>
  <si>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</si>
  <si>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</si>
  <si>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</si>
  <si>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</si>
  <si>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</si>
  <si>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</si>
  <si>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</si>
  <si>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</si>
  <si>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</si>
  <si>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</si>
  <si>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</si>
  <si>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</si>
  <si>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</si>
  <si>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</si>
  <si>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</si>
  <si>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</si>
  <si>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</si>
  <si>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</si>
  <si>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</si>
  <si>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</si>
  <si>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</si>
  <si>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</si>
  <si>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</si>
  <si>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</si>
  <si>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</si>
  <si>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</si>
  <si>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</si>
  <si>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</si>
  <si>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</si>
  <si>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</si>
  <si>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</si>
  <si>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</si>
  <si>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</si>
  <si>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</si>
  <si>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</si>
  <si>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</si>
  <si>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</si>
  <si>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</si>
  <si>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</si>
  <si>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</si>
  <si>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</si>
  <si>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</si>
  <si>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</si>
  <si>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</si>
  <si>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</si>
  <si>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</si>
  <si>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</si>
  <si>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</si>
  <si>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</si>
  <si>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</si>
  <si>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</si>
  <si>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</si>
  <si>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</si>
  <si>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</si>
  <si>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</si>
  <si>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</si>
  <si>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</si>
  <si>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</si>
  <si>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</si>
  <si>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</si>
  <si>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</si>
  <si>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</si>
  <si>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</si>
  <si>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</si>
  <si>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</si>
  <si>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</si>
  <si>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</si>
  <si>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</si>
  <si>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</si>
  <si>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</si>
  <si>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</si>
  <si>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</si>
  <si>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</si>
  <si>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</si>
  <si>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</si>
  <si>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</si>
  <si>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</si>
  <si>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</si>
  <si>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</si>
  <si>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</si>
  <si>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</si>
  <si>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</si>
  <si>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</si>
  <si>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</si>
  <si>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</si>
  <si>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</si>
  <si>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</si>
  <si>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</si>
  <si>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</si>
  <si>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</si>
  <si>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</si>
  <si>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</si>
  <si>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</si>
  <si>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</si>
  <si>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</si>
  <si>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</si>
  <si>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</si>
  <si>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</si>
  <si>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</si>
  <si>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</si>
  <si>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</si>
  <si>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</si>
  <si>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</si>
  <si>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</si>
  <si>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</si>
  <si>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</si>
  <si>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</si>
  <si>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</si>
  <si>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</si>
  <si>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</si>
  <si>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</si>
  <si>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</si>
  <si>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</si>
  <si>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</si>
  <si>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</si>
  <si>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</si>
  <si>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</si>
  <si>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</si>
  <si>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</si>
  <si>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</si>
  <si>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</si>
  <si>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</si>
  <si>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</si>
  <si>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</si>
  <si>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</si>
  <si>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</si>
  <si>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</si>
  <si>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</si>
  <si>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</si>
  <si>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</si>
  <si>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</si>
  <si>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</si>
  <si>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</si>
  <si>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</si>
  <si>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</si>
  <si>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</si>
  <si>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</si>
  <si>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</si>
  <si>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</si>
  <si>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</si>
  <si>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</si>
  <si>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</si>
  <si>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</si>
  <si>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</si>
  <si>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</si>
  <si>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</si>
  <si>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</si>
  <si>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</si>
  <si>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</si>
  <si>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</si>
  <si>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</si>
  <si>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</si>
  <si>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</si>
  <si>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</si>
  <si>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</si>
  <si>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</si>
  <si>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</si>
  <si>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</si>
  <si>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</si>
  <si>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</si>
  <si>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</si>
  <si>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</si>
  <si>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</si>
  <si>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</si>
  <si>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</si>
  <si>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</si>
  <si>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</si>
  <si>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</si>
  <si>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</si>
  <si>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</si>
  <si>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</si>
  <si>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</si>
  <si>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</si>
  <si>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</si>
  <si>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</si>
  <si>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</si>
  <si>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</si>
  <si>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</si>
  <si>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</si>
  <si>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</si>
  <si>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</si>
  <si>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</si>
  <si>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</si>
  <si>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</si>
  <si>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</si>
  <si>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</si>
  <si>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</si>
  <si>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</si>
  <si>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</si>
  <si>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</si>
  <si>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</si>
  <si>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</si>
  <si>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</si>
  <si>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</si>
  <si>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</si>
  <si>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</si>
  <si>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</si>
  <si>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</si>
  <si>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</si>
  <si>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</si>
  <si>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</si>
  <si>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</si>
  <si>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</si>
  <si>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</si>
  <si>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</si>
  <si>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</si>
  <si>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</si>
  <si>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</si>
  <si>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</si>
  <si>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</si>
  <si>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</si>
  <si>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</si>
  <si>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</si>
  <si>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</si>
  <si>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</si>
  <si>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</si>
  <si>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</si>
  <si>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</si>
  <si>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</si>
  <si>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</si>
  <si>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</si>
  <si>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</si>
  <si>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</si>
  <si>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</si>
  <si>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</si>
  <si>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</si>
  <si>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</si>
  <si>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</si>
  <si>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</si>
  <si>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</si>
  <si>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</si>
  <si>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</si>
  <si>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</si>
  <si>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</si>
  <si>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</si>
  <si>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</si>
  <si>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</si>
  <si>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</si>
  <si>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</si>
  <si>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</si>
  <si>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</si>
  <si>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</si>
  <si>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</si>
  <si>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</si>
  <si>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</si>
  <si>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</si>
  <si>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</si>
  <si>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</si>
  <si>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</si>
  <si>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</si>
  <si>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</si>
  <si>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</si>
  <si>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</si>
  <si>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</si>
  <si>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</si>
  <si>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</si>
  <si>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</si>
  <si>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</si>
  <si>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</si>
  <si>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</si>
  <si>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</si>
  <si>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</si>
  <si>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</si>
  <si>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</si>
  <si>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</si>
  <si>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</si>
  <si>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</si>
  <si>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</si>
  <si>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</si>
  <si>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</si>
  <si>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</si>
  <si>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</si>
  <si>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</si>
  <si>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</si>
  <si>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</si>
  <si>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</si>
  <si>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</si>
  <si>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</si>
  <si>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</si>
  <si>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</si>
  <si>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</si>
  <si>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</si>
  <si>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</si>
  <si>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</si>
  <si>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</si>
  <si>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</si>
  <si>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</si>
  <si>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</si>
  <si>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</si>
  <si>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</si>
  <si>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</si>
  <si>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</si>
  <si>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</si>
  <si>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</si>
  <si>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</si>
  <si>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</si>
  <si>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</si>
  <si>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</si>
  <si>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</si>
  <si>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</si>
  <si>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</si>
  <si>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</si>
  <si>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</si>
  <si>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</si>
  <si>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</si>
  <si>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</si>
  <si>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</si>
  <si>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</si>
  <si>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</si>
  <si>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</si>
  <si>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</si>
  <si>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</si>
  <si>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</si>
  <si>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</si>
  <si>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</si>
  <si>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</si>
  <si>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</si>
  <si>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</si>
  <si>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</si>
  <si>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</si>
  <si>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</si>
  <si>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</si>
  <si>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</si>
  <si>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</si>
  <si>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</si>
  <si>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</si>
  <si>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</si>
  <si>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</si>
  <si>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</si>
  <si>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</si>
  <si>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</si>
  <si>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</si>
  <si>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</si>
  <si>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</si>
  <si>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</si>
  <si>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</si>
  <si>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</si>
  <si>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</si>
  <si>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</si>
  <si>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</si>
  <si>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</si>
  <si>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</si>
  <si>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</si>
  <si>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</si>
  <si>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</si>
  <si>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</si>
  <si>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</si>
  <si>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</si>
  <si>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</si>
  <si>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</si>
  <si>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</si>
  <si>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</si>
  <si>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</si>
  <si>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</si>
  <si>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</si>
  <si>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</si>
  <si>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</si>
  <si>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</si>
  <si>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</si>
  <si>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</si>
  <si>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</si>
  <si>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</si>
  <si>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</si>
  <si>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</si>
  <si>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</si>
  <si>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</si>
  <si>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</si>
  <si>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</si>
  <si>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</si>
  <si>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</si>
  <si>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</si>
  <si>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</si>
  <si>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</si>
  <si>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</si>
  <si>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</si>
  <si>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</si>
  <si>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</si>
  <si>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</si>
  <si>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</si>
  <si>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</si>
  <si>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</si>
  <si>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</si>
  <si>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</si>
  <si>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</si>
  <si>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</si>
  <si>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</si>
  <si>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</si>
  <si>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</si>
  <si>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</si>
  <si>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</si>
  <si>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</si>
  <si>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</si>
  <si>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</si>
  <si>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</si>
  <si>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</si>
  <si>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</si>
  <si>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</si>
  <si>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</si>
  <si>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</si>
  <si>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</si>
  <si>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</si>
  <si>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</si>
  <si>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</si>
  <si>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</si>
  <si>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</si>
  <si>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</si>
  <si>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</si>
  <si>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</si>
  <si>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</si>
  <si>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</si>
  <si>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</si>
  <si>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</si>
  <si>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</si>
  <si>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</si>
  <si>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</si>
  <si>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</si>
  <si>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</si>
  <si>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</si>
  <si>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</si>
  <si>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</si>
  <si>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</si>
  <si>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</si>
  <si>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</si>
  <si>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</si>
  <si>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</si>
  <si>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</si>
  <si>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</si>
  <si>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</si>
  <si>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</si>
  <si>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</si>
  <si>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</si>
  <si>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</si>
  <si>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</si>
  <si>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</si>
  <si>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</si>
  <si>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</si>
  <si>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</si>
  <si>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</si>
  <si>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</si>
  <si>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</si>
  <si>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</si>
  <si>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</si>
  <si>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</si>
  <si>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</si>
  <si>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</si>
  <si>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</si>
  <si>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</si>
  <si>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</si>
  <si>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</si>
  <si>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</si>
  <si>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</si>
  <si>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</si>
  <si>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</si>
  <si>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</si>
  <si>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</si>
  <si>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</si>
  <si>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</si>
  <si>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</si>
  <si>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</si>
  <si>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</si>
  <si>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</si>
  <si>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</si>
  <si>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</si>
  <si>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</si>
  <si>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</si>
  <si>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</si>
  <si>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</si>
  <si>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</si>
  <si>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</si>
  <si>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</si>
  <si>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</si>
  <si>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</si>
  <si>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</si>
  <si>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</si>
  <si>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</si>
  <si>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</si>
  <si>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</si>
  <si>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</si>
  <si>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</si>
  <si>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</si>
  <si>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</si>
  <si>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</si>
  <si>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</si>
  <si>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</si>
  <si>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</si>
  <si>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</si>
  <si>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</si>
  <si>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</si>
  <si>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</si>
  <si>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</si>
  <si>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</si>
  <si>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</si>
  <si>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</si>
  <si>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</si>
  <si>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</si>
  <si>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</si>
  <si>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</si>
  <si>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</si>
  <si>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</si>
  <si>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</si>
  <si>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</si>
  <si>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</si>
  <si>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</si>
  <si>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</si>
  <si>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</si>
  <si>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</si>
  <si>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</si>
  <si>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</si>
  <si>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</si>
  <si>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</si>
  <si>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</si>
  <si>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</si>
  <si>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</si>
  <si>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</si>
  <si>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</si>
  <si>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</si>
  <si>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</si>
  <si>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</si>
  <si>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</si>
  <si>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</si>
  <si>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</si>
  <si>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</si>
  <si>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</si>
  <si>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</si>
  <si>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</si>
  <si>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</si>
  <si>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</si>
  <si>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</si>
  <si>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</si>
  <si>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</si>
  <si>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</si>
  <si>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</si>
  <si>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</si>
  <si>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</si>
  <si>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</si>
  <si>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</si>
  <si>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</si>
  <si>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</si>
  <si>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</si>
  <si>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</si>
  <si>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</si>
  <si>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</si>
  <si>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</si>
  <si>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</si>
  <si>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</si>
  <si>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</si>
  <si>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</si>
  <si>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</si>
  <si>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</si>
  <si>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</si>
  <si>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</si>
  <si>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</si>
  <si>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</si>
  <si>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</si>
  <si>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</si>
  <si>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</si>
  <si>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</si>
  <si>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</si>
  <si>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</si>
  <si>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</si>
  <si>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</si>
  <si>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</si>
  <si>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</si>
  <si>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</si>
  <si>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</si>
  <si>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</si>
  <si>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</si>
  <si>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</si>
  <si>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</si>
  <si>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</si>
  <si>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</si>
  <si>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</si>
  <si>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</si>
  <si>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</si>
  <si>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</si>
  <si>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</si>
  <si>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</si>
  <si>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</si>
  <si>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</si>
  <si>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</si>
  <si>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</si>
  <si>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</si>
  <si>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</si>
  <si>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</si>
  <si>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</si>
  <si>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</si>
  <si>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</si>
  <si>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</si>
  <si>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</si>
  <si>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</si>
  <si>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</si>
  <si>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</si>
  <si>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</si>
  <si>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</si>
  <si>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</si>
  <si>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</si>
  <si>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</si>
  <si>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</si>
  <si>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</si>
  <si>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</si>
  <si>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</si>
  <si>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</si>
  <si>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</si>
  <si>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</si>
  <si>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</si>
  <si>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</si>
  <si>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</si>
  <si>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</si>
  <si>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</si>
  <si>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</si>
  <si>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</si>
  <si>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</si>
  <si>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</si>
  <si>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</si>
  <si>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</si>
  <si>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</si>
  <si>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</si>
  <si>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</si>
  <si>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</si>
  <si>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</si>
  <si>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</si>
  <si>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</si>
  <si>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</si>
  <si>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</si>
  <si>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</si>
  <si>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</si>
  <si>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</si>
  <si>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</si>
  <si>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</si>
  <si>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</si>
  <si>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</si>
  <si>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</si>
  <si>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</si>
  <si>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</si>
  <si>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</si>
  <si>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</si>
  <si>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</si>
  <si>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</si>
  <si>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</si>
  <si>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</si>
  <si>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</si>
  <si>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</si>
  <si>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</si>
  <si>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</si>
  <si>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</si>
  <si>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</si>
  <si>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</si>
  <si>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</si>
  <si>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</si>
  <si>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</si>
  <si>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</si>
  <si>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</si>
  <si>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</si>
  <si>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</si>
  <si>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</si>
  <si>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</si>
  <si>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</si>
  <si>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</si>
  <si>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</si>
  <si>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</si>
  <si>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</si>
  <si>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</si>
  <si>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</si>
  <si>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</si>
  <si>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</si>
  <si>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</si>
  <si>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</si>
  <si>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</si>
  <si>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</si>
  <si>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</si>
  <si>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</si>
  <si>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</si>
  <si>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</si>
  <si>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</si>
  <si>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</si>
  <si>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</si>
  <si>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</si>
  <si>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</si>
  <si>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</si>
  <si>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</si>
  <si>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</si>
  <si>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</si>
  <si>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</si>
  <si>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</si>
  <si>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</si>
  <si>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</si>
  <si>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</si>
  <si>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</si>
  <si>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</si>
  <si>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</si>
  <si>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</si>
  <si>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</si>
  <si>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</si>
  <si>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</si>
  <si>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</si>
  <si>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</si>
  <si>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</si>
  <si>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</si>
  <si>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</si>
  <si>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</si>
  <si>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</si>
  <si>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</si>
  <si>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</si>
  <si>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</si>
  <si>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</si>
  <si>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</si>
  <si>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</si>
  <si>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</si>
  <si>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</si>
  <si>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</si>
  <si>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</si>
  <si>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</si>
  <si>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</si>
  <si>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</si>
  <si>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</si>
  <si>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</si>
  <si>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</si>
  <si>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</si>
  <si>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</si>
  <si>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</si>
  <si>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</si>
  <si>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</si>
  <si>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</si>
  <si>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</si>
  <si>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</si>
  <si>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</si>
  <si>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</si>
  <si>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</si>
  <si>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</si>
  <si>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</si>
  <si>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</si>
  <si>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</si>
  <si>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</si>
  <si>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</si>
  <si>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</si>
  <si>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</si>
  <si>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</si>
  <si>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</si>
  <si>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</si>
  <si>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</si>
  <si>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</si>
  <si>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</si>
  <si>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</si>
  <si>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</si>
  <si>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</si>
  <si>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</si>
  <si>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</si>
  <si>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</si>
  <si>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</si>
  <si>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</si>
  <si>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</si>
  <si>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</si>
  <si>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</si>
  <si>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</si>
  <si>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</si>
  <si>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</si>
  <si>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</si>
  <si>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</si>
  <si>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</si>
  <si>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</si>
  <si>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</si>
  <si>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</si>
  <si>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</si>
  <si>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</si>
  <si>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</si>
  <si>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</si>
  <si>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</si>
  <si>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</si>
  <si>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</si>
  <si>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</si>
  <si>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</si>
  <si>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</si>
  <si>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</si>
  <si>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</si>
  <si>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</si>
  <si>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</si>
  <si>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</si>
  <si>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</si>
  <si>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</si>
  <si>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</si>
  <si>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</si>
  <si>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</si>
  <si>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</si>
  <si>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</si>
  <si>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</si>
  <si>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</si>
  <si>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</si>
  <si>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</si>
  <si>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</si>
  <si>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</si>
  <si>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</si>
  <si>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</si>
  <si>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</si>
  <si>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</si>
  <si>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</si>
  <si>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</si>
  <si>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</si>
  <si>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</si>
  <si>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</si>
  <si>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</si>
  <si>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</si>
  <si>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</si>
  <si>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</si>
  <si>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</si>
  <si>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</si>
  <si>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</si>
  <si>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</si>
  <si>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</si>
  <si>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</si>
  <si>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</si>
  <si>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</si>
  <si>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</si>
  <si>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</si>
  <si>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</si>
  <si>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</si>
  <si>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</si>
  <si>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</si>
  <si>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</si>
  <si>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</si>
  <si>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</si>
  <si>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</si>
  <si>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</si>
  <si>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</si>
  <si>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</si>
  <si>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</si>
  <si>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</si>
  <si>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</si>
  <si>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</si>
  <si>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</si>
  <si>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</si>
  <si>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</si>
  <si>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</si>
  <si>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</si>
  <si>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</si>
  <si>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</si>
  <si>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</si>
  <si>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</si>
  <si>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</si>
  <si>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</si>
  <si>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</si>
  <si>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</si>
  <si>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</si>
  <si>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</si>
  <si>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</si>
  <si>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</si>
  <si>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</si>
  <si>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</si>
  <si>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</si>
  <si>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</si>
  <si>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</si>
  <si>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</si>
  <si>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</si>
  <si>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</si>
  <si>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</si>
  <si>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</si>
  <si>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</si>
  <si>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</si>
  <si>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</si>
  <si>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</si>
  <si>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</si>
  <si>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</si>
  <si>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</si>
  <si>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</si>
  <si>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</si>
  <si>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</si>
  <si>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</si>
  <si>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</si>
  <si>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</si>
  <si>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</si>
  <si>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</si>
  <si>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</si>
  <si>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</si>
  <si>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</si>
  <si>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</si>
  <si>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</si>
  <si>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</si>
  <si>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</si>
  <si>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</si>
  <si>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</si>
  <si>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</si>
  <si>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</si>
  <si>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</si>
  <si>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</si>
  <si>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</si>
  <si>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</si>
  <si>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</si>
  <si>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</si>
  <si>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</si>
  <si>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</si>
  <si>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</si>
  <si>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</si>
  <si>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</si>
  <si>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</si>
  <si>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</si>
  <si>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</si>
  <si>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</si>
  <si>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</si>
  <si>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</si>
  <si>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</si>
  <si>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</si>
  <si>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</si>
  <si>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</si>
  <si>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</si>
  <si>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</si>
  <si>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</si>
  <si>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</si>
  <si>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</si>
  <si>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</si>
  <si>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</si>
  <si>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</si>
  <si>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</si>
  <si>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</si>
  <si>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</si>
  <si>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</si>
  <si>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</si>
  <si>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</si>
  <si>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</si>
  <si>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</si>
  <si>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</si>
  <si>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</si>
  <si>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</si>
  <si>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</si>
  <si>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</si>
  <si>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</si>
  <si>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</si>
  <si>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</si>
  <si>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</si>
  <si>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</si>
  <si>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</si>
  <si>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</si>
  <si>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</si>
  <si>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</si>
  <si>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</si>
  <si>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</si>
  <si>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</si>
  <si>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</si>
  <si>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</si>
  <si>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</si>
  <si>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</si>
  <si>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</si>
  <si>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</si>
  <si>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</si>
  <si>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</si>
  <si>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</si>
  <si>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</si>
  <si>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</si>
  <si>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</si>
  <si>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</si>
  <si>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</si>
  <si>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</si>
  <si>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</si>
  <si>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</si>
  <si>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</si>
  <si>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</si>
  <si>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</si>
  <si>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</si>
  <si>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</si>
  <si>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</si>
  <si>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</si>
  <si>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</si>
  <si>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</si>
  <si>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</si>
  <si>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</si>
  <si>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</si>
  <si>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</si>
  <si>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</si>
  <si>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</si>
  <si>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</si>
  <si>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</si>
  <si>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</si>
  <si>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</si>
  <si>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</si>
  <si>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</si>
  <si>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</si>
  <si>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</si>
  <si>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</si>
  <si>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</si>
  <si>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</si>
  <si>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</si>
  <si>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</si>
  <si>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</si>
  <si>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</si>
  <si>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</si>
  <si>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</si>
  <si>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</si>
  <si>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</si>
  <si>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</si>
  <si>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</si>
  <si>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</si>
  <si>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</si>
  <si>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</si>
  <si>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</si>
  <si>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</si>
  <si>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</si>
  <si>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</si>
  <si>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</si>
  <si>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</si>
  <si>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</si>
  <si>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</si>
  <si>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</si>
  <si>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</si>
  <si>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</si>
  <si>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</si>
  <si>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</si>
  <si>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</si>
  <si>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</si>
  <si>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</si>
  <si>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</si>
  <si>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</si>
  <si>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</si>
  <si>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</si>
  <si>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</si>
  <si>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</si>
  <si>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</si>
  <si>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</si>
  <si>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</si>
  <si>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</si>
  <si>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</si>
  <si>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</si>
  <si>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</si>
  <si>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</si>
  <si>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</si>
  <si>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</si>
  <si>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</si>
  <si>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</si>
  <si>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</si>
  <si>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</si>
  <si>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</si>
  <si>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</si>
  <si>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</si>
  <si>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</si>
  <si>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</si>
  <si>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</si>
  <si>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</si>
  <si>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</si>
  <si>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</si>
  <si>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</si>
  <si>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</si>
  <si>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</si>
  <si>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</si>
  <si>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</si>
  <si>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</si>
  <si>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</si>
  <si>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</si>
  <si>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</si>
  <si>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</si>
  <si>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</si>
  <si>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</si>
  <si>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</si>
  <si>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</si>
  <si>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</si>
  <si>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</si>
  <si>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</si>
  <si>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</si>
  <si>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</si>
  <si>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</si>
  <si>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</si>
  <si>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</si>
  <si>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</si>
  <si>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</si>
  <si>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</si>
  <si>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</si>
  <si>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</si>
  <si>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</si>
  <si>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</si>
  <si>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</si>
  <si>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</si>
  <si>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</si>
  <si>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</si>
  <si>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</si>
  <si>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</si>
  <si>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</si>
  <si>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</si>
  <si>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</si>
  <si>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</si>
  <si>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</si>
  <si>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</si>
  <si>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</si>
  <si>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</si>
  <si>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</si>
  <si>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</si>
  <si>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</si>
  <si>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</si>
  <si>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</si>
  <si>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</si>
  <si>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</si>
  <si>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</si>
  <si>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</si>
  <si>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</si>
  <si>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</si>
  <si>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</si>
  <si>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</si>
  <si>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</si>
  <si>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</si>
  <si>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</si>
  <si>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</si>
  <si>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</si>
  <si>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</si>
  <si>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</si>
  <si>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</si>
  <si>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</si>
  <si>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</si>
  <si>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</si>
  <si>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</si>
  <si>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</si>
  <si>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</si>
  <si>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</si>
  <si>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</si>
  <si>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</si>
  <si>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</si>
  <si>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</si>
  <si>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</si>
  <si>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</si>
  <si>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</si>
  <si>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</si>
  <si>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</si>
  <si>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</si>
  <si>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</si>
  <si>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</si>
  <si>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</si>
  <si>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</si>
  <si>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</si>
  <si>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</si>
  <si>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</si>
  <si>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</si>
  <si>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</si>
  <si>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</si>
  <si>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</si>
  <si>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</si>
  <si>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</si>
  <si>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</si>
  <si>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</si>
  <si>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</si>
  <si>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</si>
  <si>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</si>
  <si>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</si>
  <si>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</si>
  <si>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</si>
  <si>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</si>
  <si>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</si>
  <si>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</si>
  <si>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</si>
  <si>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</si>
  <si>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</si>
  <si>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</si>
  <si>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</si>
  <si>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</si>
  <si>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</si>
  <si>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</si>
  <si>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</si>
  <si>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</si>
  <si>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</si>
  <si>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</si>
  <si>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</si>
  <si>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</si>
  <si>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</si>
  <si>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</si>
  <si>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</si>
  <si>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</si>
  <si>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</si>
  <si>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</si>
  <si>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</si>
  <si>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</si>
  <si>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</si>
  <si>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</si>
  <si>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</si>
  <si>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</si>
  <si>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</si>
  <si>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</si>
  <si>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</si>
  <si>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</si>
  <si>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</si>
  <si>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</si>
  <si>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</si>
  <si>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</si>
  <si>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</si>
  <si>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</si>
  <si>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</si>
  <si>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</si>
  <si>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</si>
  <si>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</si>
  <si>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</si>
  <si>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</si>
  <si>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</si>
  <si>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</si>
  <si>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</si>
  <si>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</si>
  <si>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</si>
  <si>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</si>
  <si>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</si>
  <si>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</si>
  <si>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</si>
  <si>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</si>
  <si>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</si>
  <si>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</si>
  <si>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</si>
  <si>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</si>
  <si>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</si>
  <si>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</si>
  <si>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</si>
  <si>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</si>
  <si>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</si>
  <si>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</si>
  <si>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</si>
  <si>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</si>
  <si>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</si>
  <si>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</si>
  <si>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</si>
  <si>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</si>
  <si>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</si>
  <si>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</si>
  <si>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</si>
  <si>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</si>
  <si>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</si>
  <si>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</si>
  <si>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</si>
  <si>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</si>
  <si>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</si>
  <si>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</si>
  <si>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</si>
  <si>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</si>
  <si>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</si>
  <si>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</si>
  <si>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</si>
  <si>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</si>
  <si>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</si>
  <si>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</si>
  <si>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</si>
  <si>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</si>
  <si>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</si>
  <si>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</si>
  <si>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</si>
  <si>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</si>
  <si>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</si>
  <si>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</si>
  <si>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</si>
  <si>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</si>
  <si>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</si>
  <si>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</si>
  <si>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</si>
  <si>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</si>
  <si>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</si>
  <si>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</si>
  <si>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</si>
  <si>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</si>
  <si>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</si>
  <si>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</si>
  <si>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</si>
  <si>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</si>
  <si>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</si>
  <si>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</si>
  <si>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</si>
  <si>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</si>
  <si>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</si>
  <si>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</si>
  <si>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</si>
  <si>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</si>
  <si>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</si>
  <si>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</si>
  <si>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</si>
  <si>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</si>
  <si>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</si>
  <si>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</si>
  <si>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</si>
  <si>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</si>
  <si>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</si>
  <si>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</si>
  <si>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</si>
  <si>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</si>
  <si>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</si>
  <si>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</si>
  <si>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</si>
  <si>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</si>
  <si>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</si>
  <si>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</si>
  <si>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</si>
  <si>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</si>
  <si>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</si>
  <si>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</si>
  <si>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</si>
  <si>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</si>
  <si>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</si>
  <si>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</si>
  <si>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</si>
  <si>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</si>
  <si>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</si>
  <si>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</si>
  <si>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</si>
  <si>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</si>
  <si>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</si>
  <si>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</si>
  <si>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</si>
  <si>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</si>
  <si>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</si>
  <si>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</si>
  <si>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</si>
  <si>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</si>
  <si>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</si>
  <si>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</si>
  <si>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</si>
  <si>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</si>
  <si>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</si>
  <si>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</si>
  <si>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</si>
  <si>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</si>
  <si>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</si>
  <si>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</si>
  <si>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</si>
  <si>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</si>
  <si>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</si>
  <si>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</si>
  <si>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</si>
  <si>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</si>
  <si>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</si>
  <si>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</si>
  <si>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</si>
  <si>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</si>
  <si>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</si>
  <si>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</si>
  <si>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</si>
  <si>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</si>
  <si>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</si>
  <si>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</si>
  <si>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</si>
  <si>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</si>
  <si>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</si>
  <si>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</si>
  <si>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</si>
  <si>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</si>
  <si>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</si>
  <si>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</si>
  <si>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</si>
  <si>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</si>
  <si>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</si>
  <si>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</si>
  <si>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</si>
  <si>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</si>
  <si>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</si>
  <si>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</si>
  <si>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</si>
  <si>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</si>
  <si>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</si>
  <si>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</si>
  <si>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</si>
  <si>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</si>
  <si>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</si>
  <si>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</si>
  <si>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</si>
  <si>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</si>
  <si>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</si>
  <si>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</si>
  <si>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</si>
  <si>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</si>
  <si>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</si>
  <si>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</si>
  <si>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</si>
  <si>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</si>
  <si>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</si>
  <si>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</si>
  <si>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</si>
  <si>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</si>
  <si>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</si>
  <si>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</si>
  <si>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</si>
  <si>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</si>
  <si>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</si>
  <si>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</si>
  <si>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</si>
  <si>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</si>
  <si>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</si>
  <si>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</si>
  <si>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</si>
  <si>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</si>
  <si>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</si>
  <si>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</si>
  <si>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</si>
  <si>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</si>
  <si>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</si>
  <si>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</si>
  <si>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</si>
  <si>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</si>
  <si>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</si>
  <si>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</si>
  <si>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</si>
  <si>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</si>
  <si>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</si>
  <si>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</si>
  <si>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</si>
  <si>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</si>
  <si>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</si>
  <si>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</si>
  <si>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</si>
  <si>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</si>
  <si>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</si>
  <si>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</si>
  <si>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</si>
  <si>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</si>
  <si>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</si>
  <si>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</si>
  <si>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</si>
  <si>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</si>
  <si>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</si>
  <si>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</si>
  <si>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</si>
  <si>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</si>
  <si>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</si>
  <si>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</si>
  <si>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</si>
  <si>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</si>
  <si>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</si>
  <si>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</si>
  <si>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</si>
  <si>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</si>
  <si>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</si>
  <si>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</si>
  <si>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</si>
  <si>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</si>
  <si>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</si>
  <si>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</si>
  <si>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</si>
  <si>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</si>
  <si>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</si>
  <si>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</si>
  <si>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</si>
  <si>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</si>
  <si>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</si>
  <si>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</si>
  <si>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</si>
  <si>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</si>
  <si>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</si>
  <si>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</si>
  <si>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</si>
  <si>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</si>
  <si>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</si>
  <si>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</si>
  <si>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</si>
  <si>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</si>
  <si>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</si>
  <si>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</si>
  <si>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</si>
  <si>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</si>
  <si>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</si>
  <si>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</si>
  <si>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</si>
  <si>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</si>
  <si>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</si>
  <si>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</si>
  <si>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</si>
  <si>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</si>
  <si>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</si>
  <si>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</si>
  <si>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</si>
  <si>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</si>
  <si>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</si>
  <si>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</si>
  <si>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</si>
  <si>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</si>
  <si>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</si>
  <si>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</si>
  <si>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</si>
  <si>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</si>
  <si>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</si>
  <si>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</si>
  <si>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</si>
  <si>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</si>
  <si>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</si>
  <si>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</si>
  <si>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</si>
  <si>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</si>
  <si>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</si>
  <si>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</si>
  <si>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</si>
  <si>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</si>
  <si>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</si>
  <si>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</si>
  <si>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</si>
  <si>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</si>
  <si>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</si>
  <si>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</si>
  <si>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</si>
  <si>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</si>
  <si>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</si>
  <si>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</si>
  <si>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</si>
  <si>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</si>
  <si>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</si>
  <si>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</si>
  <si>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</si>
  <si>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</si>
  <si>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</si>
  <si>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</si>
  <si>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</si>
  <si>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</si>
  <si>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</si>
  <si>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</si>
  <si>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</si>
  <si>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</si>
  <si>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</si>
  <si>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</si>
  <si>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</si>
  <si>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</si>
  <si>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</si>
  <si>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</si>
  <si>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</si>
  <si>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</si>
  <si>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</si>
  <si>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</si>
  <si>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</si>
  <si>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</si>
  <si>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</si>
  <si>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</si>
  <si>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</si>
  <si>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</si>
  <si>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</si>
  <si>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</si>
  <si>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</si>
  <si>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</si>
  <si>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</si>
  <si>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</si>
  <si>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</si>
  <si>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</si>
  <si>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</si>
  <si>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</si>
  <si>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</si>
  <si>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</si>
  <si>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</si>
  <si>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</si>
  <si>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</si>
  <si>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</si>
  <si>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</si>
  <si>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</si>
  <si>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</si>
  <si>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</si>
  <si>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</si>
  <si>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</si>
  <si>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</si>
  <si>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</si>
  <si>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</si>
  <si>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</si>
  <si>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</si>
  <si>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</si>
  <si>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</si>
  <si>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</si>
  <si>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</si>
  <si>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</si>
  <si>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</si>
  <si>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</si>
  <si>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</si>
  <si>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</si>
  <si>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</si>
  <si>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</si>
  <si>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</si>
  <si>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</si>
  <si>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</si>
  <si>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</si>
  <si>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</si>
  <si>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</si>
  <si>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</si>
  <si>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</si>
  <si>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</si>
  <si>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</si>
  <si>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</si>
  <si>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</si>
  <si>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</si>
  <si>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</si>
  <si>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</si>
  <si>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</si>
  <si>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</si>
  <si>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</si>
  <si>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</si>
  <si>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</si>
  <si>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</si>
  <si>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</si>
  <si>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</si>
  <si>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</si>
  <si>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</si>
  <si>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</si>
  <si>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</si>
  <si>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</si>
  <si>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</si>
  <si>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</si>
  <si>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</si>
  <si>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</si>
  <si>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</si>
  <si>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</si>
  <si>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</si>
  <si>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</si>
  <si>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</si>
  <si>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</si>
  <si>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</si>
  <si>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</si>
  <si>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</si>
  <si>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</si>
  <si>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</si>
  <si>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</si>
  <si>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</si>
  <si>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</si>
  <si>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</si>
  <si>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</si>
  <si>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</si>
  <si>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</si>
  <si>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</si>
  <si>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</si>
  <si>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</si>
  <si>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</si>
  <si>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</si>
  <si>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</si>
  <si>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</si>
  <si>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</si>
  <si>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</si>
  <si>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</si>
  <si>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</si>
  <si>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</si>
  <si>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</si>
  <si>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</si>
  <si>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</si>
  <si>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</si>
  <si>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</si>
  <si>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</si>
  <si>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</si>
  <si>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</si>
  <si>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</si>
  <si>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</si>
  <si>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</si>
  <si>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</si>
  <si>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</si>
  <si>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</si>
  <si>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</si>
  <si>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</si>
  <si>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</si>
  <si>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</si>
  <si>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</si>
  <si>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</si>
  <si>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</si>
  <si>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</si>
  <si>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</si>
  <si>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</si>
  <si>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</si>
  <si>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</si>
  <si>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</si>
  <si>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</si>
  <si>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</si>
  <si>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</si>
  <si>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</si>
  <si>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</si>
  <si>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</si>
  <si>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</si>
  <si>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</si>
  <si>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</si>
  <si>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</si>
  <si>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</si>
  <si>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</si>
  <si>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</si>
  <si>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</si>
  <si>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</si>
  <si>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</si>
  <si>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</si>
  <si>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</si>
  <si>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</si>
  <si>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</si>
  <si>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</si>
  <si>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</si>
  <si>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</si>
  <si>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</si>
  <si>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</si>
  <si>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</si>
  <si>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</si>
  <si>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</si>
  <si>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</si>
  <si>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</si>
  <si>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</si>
  <si>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</si>
  <si>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</si>
  <si>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</si>
  <si>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</si>
  <si>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</si>
  <si>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</si>
  <si>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</si>
  <si>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</si>
  <si>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</si>
  <si>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</si>
  <si>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</si>
  <si>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</si>
  <si>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</si>
  <si>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</si>
  <si>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</si>
  <si>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</si>
  <si>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</si>
  <si>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</si>
  <si>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</si>
  <si>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</si>
  <si>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</si>
  <si>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</si>
  <si>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</si>
  <si>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</si>
  <si>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</si>
  <si>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</si>
  <si>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</si>
  <si>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</si>
  <si>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</si>
  <si>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</si>
  <si>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</si>
  <si>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</si>
  <si>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</si>
  <si>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</si>
  <si>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</si>
  <si>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</si>
  <si>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</si>
  <si>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</si>
  <si>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</si>
  <si>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</si>
  <si>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</si>
  <si>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</si>
  <si>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</si>
  <si>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</si>
  <si>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</si>
  <si>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</si>
  <si>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</si>
  <si>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</si>
  <si>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</si>
  <si>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</si>
  <si>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</si>
  <si>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</si>
  <si>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</si>
  <si>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</si>
  <si>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</si>
  <si>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</si>
  <si>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</si>
  <si>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</si>
  <si>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</si>
  <si>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</si>
  <si>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</si>
  <si>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</si>
  <si>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</si>
  <si>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</si>
  <si>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</si>
  <si>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</si>
  <si>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</si>
  <si>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</si>
  <si>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</si>
  <si>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</si>
  <si>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</si>
  <si>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</si>
  <si>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</si>
  <si>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</si>
  <si>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</si>
  <si>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</si>
  <si>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</si>
  <si>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</si>
  <si>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</si>
  <si>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</si>
  <si>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</si>
  <si>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</si>
  <si>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</si>
  <si>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</si>
  <si>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</si>
  <si>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</si>
  <si>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</si>
  <si>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</si>
  <si>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</si>
  <si>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</si>
  <si>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</si>
  <si>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</si>
  <si>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</si>
  <si>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</si>
  <si>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</si>
  <si>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</si>
  <si>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</si>
  <si>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</si>
  <si>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</si>
  <si>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</si>
  <si>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</si>
  <si>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</si>
  <si>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</si>
  <si>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</si>
  <si>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</si>
  <si>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</si>
  <si>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</si>
  <si>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</si>
  <si>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</si>
  <si>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</si>
  <si>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</si>
  <si>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</si>
  <si>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</si>
  <si>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</si>
  <si>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</si>
  <si>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</si>
  <si>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</si>
  <si>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</si>
  <si>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</si>
  <si>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</si>
  <si>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</si>
  <si>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</si>
  <si>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</si>
  <si>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</si>
  <si>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</si>
  <si>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</si>
  <si>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</si>
  <si>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</si>
  <si>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</si>
  <si>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</si>
  <si>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</si>
  <si>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</si>
  <si>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</si>
  <si>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</si>
  <si>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</si>
  <si>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</si>
  <si>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</si>
  <si>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</si>
  <si>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</si>
  <si>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</si>
  <si>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</si>
  <si>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</si>
  <si>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</si>
  <si>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</si>
  <si>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</si>
  <si>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</si>
  <si>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</si>
  <si>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</si>
  <si>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</si>
  <si>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</si>
  <si>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</si>
  <si>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</si>
  <si>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</si>
  <si>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</si>
  <si>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</si>
  <si>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</si>
  <si>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</si>
  <si>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</si>
  <si>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</si>
  <si>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</si>
  <si>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</si>
  <si>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</si>
  <si>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</si>
  <si>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</si>
  <si>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</si>
  <si>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</si>
  <si>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</si>
  <si>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</si>
  <si>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</si>
  <si>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</si>
  <si>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</si>
  <si>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</si>
  <si>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</si>
  <si>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</si>
  <si>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</si>
  <si>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</si>
  <si>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</si>
  <si>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</si>
  <si>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</si>
  <si>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</si>
  <si>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</si>
  <si>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</si>
  <si>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</si>
  <si>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</si>
  <si>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</si>
  <si>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</si>
  <si>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</si>
  <si>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</si>
  <si>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</si>
  <si>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</si>
  <si>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</si>
  <si>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</si>
  <si>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</si>
  <si>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</si>
  <si>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</si>
  <si>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</si>
  <si>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</si>
  <si>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</si>
  <si>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</si>
  <si>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</si>
  <si>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</si>
  <si>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</si>
  <si>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</si>
  <si>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</si>
  <si>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</si>
  <si>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</si>
  <si>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</si>
  <si>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</si>
  <si>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</si>
  <si>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</si>
  <si>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</si>
  <si>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</si>
  <si>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</si>
  <si>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</si>
  <si>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</si>
  <si>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</si>
  <si>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</si>
  <si>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</si>
  <si>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</si>
  <si>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</si>
  <si>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</si>
  <si>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</si>
  <si>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</si>
  <si>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</si>
  <si>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</si>
  <si>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</si>
  <si>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</si>
  <si>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</si>
  <si>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</si>
  <si>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</si>
  <si>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</si>
  <si>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</si>
  <si>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</si>
  <si>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</si>
  <si>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</si>
  <si>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</si>
  <si>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</si>
  <si>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</si>
  <si>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</si>
  <si>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</si>
  <si>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</si>
  <si>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</si>
  <si>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</si>
  <si>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</si>
  <si>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</si>
  <si>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</si>
  <si>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</si>
  <si>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</si>
  <si>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</si>
  <si>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</si>
  <si>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</si>
  <si>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</si>
  <si>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</si>
  <si>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</si>
  <si>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</si>
  <si>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</si>
  <si>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</si>
  <si>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</si>
  <si>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</si>
  <si>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</si>
  <si>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</si>
  <si>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</si>
  <si>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</si>
  <si>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</si>
  <si>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</si>
  <si>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</si>
  <si>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</si>
  <si>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</si>
  <si>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</si>
  <si>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</si>
  <si>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</si>
  <si>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</si>
  <si>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</si>
  <si>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</si>
  <si>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</si>
  <si>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</si>
  <si>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</si>
  <si>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</si>
  <si>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</si>
  <si>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</si>
  <si>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</si>
  <si>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</si>
  <si>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</si>
  <si>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</si>
  <si>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</si>
  <si>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</si>
  <si>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</si>
  <si>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</si>
  <si>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</si>
  <si>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</si>
  <si>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</si>
  <si>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</si>
  <si>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</si>
  <si>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</si>
  <si>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</si>
  <si>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</si>
  <si>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</si>
  <si>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</si>
  <si>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</si>
  <si>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</si>
  <si>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</si>
  <si>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</si>
  <si>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</si>
  <si>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</si>
  <si>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</si>
  <si>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</si>
  <si>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</si>
  <si>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</si>
  <si>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</si>
  <si>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</si>
  <si>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</si>
  <si>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</si>
  <si>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</si>
  <si>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</si>
  <si>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</si>
  <si>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</si>
  <si>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</si>
  <si>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</si>
  <si>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</si>
  <si>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</si>
  <si>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</si>
  <si>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</si>
  <si>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</si>
  <si>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</si>
  <si>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</si>
  <si>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</si>
  <si>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</si>
  <si>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</si>
  <si>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</si>
  <si>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</si>
  <si>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</si>
  <si>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</si>
  <si>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</si>
  <si>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</si>
  <si>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</si>
  <si>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</si>
  <si>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</si>
  <si>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</si>
  <si>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</si>
  <si>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</si>
  <si>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</si>
  <si>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</si>
  <si>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</si>
  <si>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</si>
  <si>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</si>
  <si>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</si>
  <si>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</si>
  <si>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</si>
  <si>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</si>
  <si>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</si>
  <si>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</si>
  <si>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</si>
  <si>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</si>
  <si>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</si>
  <si>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</si>
  <si>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</si>
  <si>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</si>
  <si>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</si>
  <si>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</si>
  <si>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</si>
  <si>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</si>
  <si>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</si>
  <si>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</si>
  <si>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</si>
  <si>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</si>
  <si>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</si>
  <si>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</si>
  <si>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</si>
  <si>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</si>
  <si>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</si>
  <si>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</si>
  <si>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</si>
  <si>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</si>
  <si>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</si>
  <si>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</si>
  <si>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</si>
  <si>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</si>
  <si>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</si>
  <si>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</si>
  <si>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</si>
  <si>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</si>
  <si>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</si>
  <si>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</si>
  <si>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</si>
  <si>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</si>
  <si>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</si>
  <si>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</si>
  <si>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</si>
  <si>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</si>
  <si>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</si>
  <si>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</si>
  <si>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</si>
  <si>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</si>
  <si>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</si>
  <si>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</si>
  <si>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</si>
  <si>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</si>
  <si>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</si>
  <si>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</si>
  <si>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</si>
  <si>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</si>
  <si>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</si>
  <si>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</si>
  <si>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</si>
  <si>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</si>
  <si>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</si>
  <si>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</si>
  <si>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</si>
  <si>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</si>
  <si>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</si>
  <si>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</si>
  <si>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</si>
  <si>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</si>
  <si>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</si>
  <si>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</si>
  <si>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</si>
  <si>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</si>
  <si>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</si>
  <si>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</si>
  <si>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</si>
  <si>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</si>
  <si>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</si>
  <si>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</si>
  <si>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</si>
  <si>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</si>
  <si>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</si>
  <si>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</si>
  <si>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</si>
  <si>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</si>
  <si>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</si>
  <si>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</si>
  <si>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</si>
  <si>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</si>
  <si>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</si>
  <si>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</si>
  <si>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</si>
  <si>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</si>
  <si>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</si>
  <si>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</si>
  <si>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</si>
  <si>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</si>
  <si>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</si>
  <si>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</si>
  <si>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</si>
  <si>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</si>
  <si>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</si>
  <si>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</si>
  <si>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</si>
  <si>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</si>
  <si>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</si>
  <si>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</si>
  <si>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</si>
  <si>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</si>
  <si>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</si>
  <si>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</si>
  <si>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</si>
  <si>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</si>
  <si>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</si>
  <si>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</si>
  <si>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</si>
  <si>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</si>
  <si>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</si>
  <si>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</si>
  <si>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</si>
  <si>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</si>
  <si>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</si>
  <si>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</si>
  <si>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</si>
  <si>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</si>
  <si>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</si>
  <si>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</si>
  <si>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</si>
  <si>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</si>
  <si>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</si>
  <si>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</si>
  <si>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</si>
  <si>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</si>
  <si>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</si>
  <si>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</si>
  <si>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</si>
  <si>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</si>
  <si>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</si>
  <si>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</si>
  <si>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</si>
  <si>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</si>
  <si>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</si>
  <si>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</si>
  <si>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</si>
  <si>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</si>
  <si>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</si>
  <si>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</si>
  <si>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</si>
  <si>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</si>
  <si>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</si>
  <si>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</si>
  <si>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</si>
  <si>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</si>
  <si>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</si>
  <si>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</si>
  <si>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</si>
  <si>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</si>
  <si>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</si>
  <si>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</si>
  <si>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</si>
  <si>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</si>
  <si>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</si>
  <si>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</si>
  <si>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</si>
  <si>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</si>
  <si>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</si>
  <si>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</si>
  <si>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</si>
  <si>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</si>
  <si>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</si>
  <si>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</si>
  <si>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</si>
  <si>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</si>
  <si>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</si>
  <si>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</si>
  <si>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</si>
  <si>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</si>
  <si>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</si>
  <si>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</si>
  <si>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</si>
  <si>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</si>
  <si>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</si>
  <si>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</si>
  <si>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</si>
  <si>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</si>
  <si>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</si>
  <si>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</si>
  <si>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</si>
  <si>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</si>
  <si>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</si>
  <si>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</si>
  <si>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</si>
  <si>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</si>
  <si>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</si>
  <si>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</si>
  <si>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</si>
  <si>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</si>
  <si>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</si>
  <si>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</si>
  <si>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</si>
  <si>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</si>
  <si>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</si>
  <si>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</si>
  <si>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</si>
  <si>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</si>
  <si>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</si>
  <si>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</si>
  <si>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</si>
  <si>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</si>
  <si>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</si>
  <si>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</si>
  <si>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</si>
  <si>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</si>
  <si>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</si>
  <si>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</si>
  <si>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</si>
  <si>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</si>
  <si>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</si>
  <si>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</si>
  <si>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</si>
  <si>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</si>
  <si>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</si>
  <si>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</si>
  <si>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</si>
  <si>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</si>
  <si>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</si>
  <si>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</si>
  <si>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</si>
  <si>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</si>
  <si>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</si>
  <si>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</si>
  <si>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</si>
  <si>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</si>
  <si>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</si>
  <si>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</si>
  <si>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</si>
  <si>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</si>
  <si>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</si>
  <si>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</si>
  <si>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</si>
  <si>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</si>
  <si>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</si>
  <si>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</si>
  <si>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</si>
  <si>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</si>
  <si>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</si>
  <si>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</si>
  <si>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</si>
  <si>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</si>
  <si>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</si>
  <si>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</si>
  <si>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</si>
  <si>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</si>
  <si>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</si>
  <si>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</si>
  <si>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</si>
  <si>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</si>
  <si>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</si>
  <si>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</si>
  <si>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</si>
  <si>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</si>
  <si>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</si>
  <si>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</si>
  <si>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</si>
  <si>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</si>
  <si>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</si>
  <si>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</si>
  <si>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</si>
  <si>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</si>
  <si>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</si>
  <si>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</si>
  <si>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</si>
  <si>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</si>
  <si>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</si>
  <si>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</si>
  <si>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</si>
  <si>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</si>
  <si>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</si>
  <si>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</si>
  <si>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</si>
  <si>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</si>
  <si>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</si>
  <si>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</si>
  <si>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</si>
  <si>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</si>
  <si>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</si>
  <si>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</si>
  <si>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</si>
  <si>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</si>
  <si>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</si>
  <si>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</si>
  <si>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</si>
  <si>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</si>
  <si>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</si>
  <si>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</si>
  <si>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</si>
  <si>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</si>
  <si>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</si>
  <si>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</si>
  <si>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</si>
  <si>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</si>
  <si>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</si>
  <si>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</si>
  <si>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</si>
  <si>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</si>
  <si>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</si>
  <si>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</si>
  <si>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</si>
  <si>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</si>
  <si>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</si>
  <si>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</si>
  <si>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</si>
  <si>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</si>
  <si>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</si>
  <si>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</si>
  <si>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</si>
  <si>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</si>
  <si>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</si>
  <si>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</si>
  <si>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</si>
  <si>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</si>
  <si>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</si>
  <si>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</si>
  <si>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</si>
  <si>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</si>
  <si>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</si>
  <si>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</si>
  <si>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</si>
  <si>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</si>
  <si>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</si>
  <si>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</si>
  <si>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</si>
  <si>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</si>
  <si>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</si>
  <si>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</si>
  <si>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</si>
  <si>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</si>
  <si>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</si>
  <si>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</si>
  <si>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</si>
  <si>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</si>
  <si>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</si>
  <si>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</si>
  <si>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</si>
  <si>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</si>
  <si>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</si>
  <si>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</si>
  <si>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</si>
  <si>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</si>
  <si>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</si>
  <si>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</si>
  <si>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</si>
  <si>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</si>
  <si>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</si>
  <si>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</si>
  <si>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</si>
  <si>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</si>
  <si>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</si>
  <si>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</si>
  <si>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</si>
  <si>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</si>
  <si>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</si>
  <si>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</si>
  <si>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</si>
  <si>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</si>
  <si>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</si>
  <si>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</si>
  <si>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</si>
  <si>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</si>
  <si>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</si>
  <si>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</si>
  <si>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</si>
  <si>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</si>
  <si>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</si>
  <si>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</si>
  <si>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</si>
  <si>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</si>
  <si>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</si>
  <si>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</si>
  <si>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</si>
  <si>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</si>
  <si>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</si>
  <si>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</si>
  <si>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</si>
  <si>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</si>
  <si>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</si>
  <si>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</si>
  <si>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</si>
  <si>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</si>
  <si>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</si>
  <si>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</si>
  <si>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</si>
  <si>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</si>
  <si>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</si>
  <si>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</si>
  <si>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</si>
  <si>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</si>
  <si>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Electronics|GeneralPurposeBatteries&amp;BatteryChargers</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</si>
  <si>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</si>
  <si>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</si>
  <si>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</si>
  <si>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</si>
  <si>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</si>
  <si>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</si>
  <si>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</si>
  <si>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</si>
  <si>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</si>
  <si>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</si>
  <si>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</si>
  <si>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</si>
  <si>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</si>
  <si>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</si>
  <si>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</si>
  <si>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</si>
  <si>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</si>
  <si>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</si>
  <si>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</si>
  <si>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</si>
  <si>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</si>
  <si>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</si>
  <si>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</si>
  <si>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</si>
  <si>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</si>
  <si>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</si>
  <si>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</si>
  <si>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</si>
  <si>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</si>
  <si>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</si>
  <si>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</si>
  <si>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</si>
  <si>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</si>
  <si>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</si>
  <si>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</si>
  <si>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</si>
  <si>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</si>
  <si>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</si>
  <si>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</si>
  <si>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</si>
  <si>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</si>
  <si>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</si>
  <si>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</si>
  <si>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</si>
  <si>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</si>
  <si>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</si>
  <si>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</si>
  <si>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</si>
  <si>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</si>
  <si>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</si>
  <si>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</si>
  <si>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</si>
  <si>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</si>
  <si>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</si>
  <si>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</si>
  <si>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</si>
  <si>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</si>
  <si>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</si>
  <si>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</si>
  <si>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</si>
  <si>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</si>
  <si>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</si>
  <si>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</si>
  <si>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</si>
  <si>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</si>
  <si>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</si>
  <si>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</si>
  <si>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</si>
  <si>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</si>
  <si>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</si>
  <si>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</si>
  <si>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</si>
  <si>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</si>
  <si>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</si>
  <si>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</si>
  <si>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</si>
  <si>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</si>
  <si>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</si>
  <si>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</si>
  <si>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</si>
  <si>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</si>
  <si>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</si>
  <si>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</si>
  <si>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</si>
  <si>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</si>
  <si>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</si>
  <si>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</si>
  <si>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</si>
  <si>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</si>
  <si>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</si>
  <si>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</si>
  <si>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</si>
  <si>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</si>
  <si>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</si>
  <si>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</si>
  <si>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</si>
  <si>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</si>
  <si>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</si>
  <si>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</si>
  <si>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</si>
  <si>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</si>
  <si>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</si>
  <si>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</si>
  <si>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</si>
  <si>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</si>
  <si>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</si>
  <si>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</si>
  <si>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</si>
  <si>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</si>
  <si>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</si>
  <si>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</si>
  <si>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</si>
  <si>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</si>
  <si>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</si>
  <si>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</si>
  <si>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</si>
  <si>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</si>
  <si>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</si>
  <si>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</si>
  <si>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</si>
  <si>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</si>
  <si>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</si>
  <si>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</si>
  <si>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</si>
  <si>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</si>
  <si>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</si>
  <si>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</si>
  <si>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</si>
  <si>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</si>
  <si>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</si>
  <si>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</si>
  <si>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</si>
  <si>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</si>
  <si>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</si>
  <si>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</si>
  <si>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</si>
  <si>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</si>
  <si>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</si>
  <si>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</si>
  <si>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</si>
  <si>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</si>
  <si>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</si>
  <si>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</si>
  <si>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</si>
  <si>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</si>
  <si>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</si>
  <si>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</si>
  <si>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</si>
  <si>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</si>
  <si>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</si>
  <si>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</si>
  <si>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</si>
  <si>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</si>
  <si>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</si>
  <si>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</si>
  <si>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</si>
  <si>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</si>
  <si>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</si>
  <si>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</si>
  <si>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</si>
  <si>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</si>
  <si>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</si>
  <si>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</si>
  <si>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</si>
  <si>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</si>
  <si>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</si>
  <si>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</si>
  <si>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</si>
  <si>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</si>
  <si>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</si>
  <si>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</si>
  <si>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</si>
  <si>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</si>
  <si>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</si>
  <si>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</si>
  <si>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</si>
  <si>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</si>
  <si>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</si>
  <si>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</si>
  <si>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</si>
  <si>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</si>
  <si>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</si>
  <si>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</si>
  <si>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</si>
  <si>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</si>
  <si>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</si>
  <si>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</si>
  <si>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</si>
  <si>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</si>
  <si>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</si>
  <si>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</si>
  <si>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</si>
  <si>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</si>
  <si>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</si>
  <si>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</si>
  <si>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</si>
  <si>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</si>
  <si>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</si>
  <si>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</si>
  <si>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</si>
  <si>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</si>
  <si>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</si>
  <si>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</si>
  <si>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</si>
  <si>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</si>
  <si>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</si>
  <si>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</si>
  <si>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</si>
  <si>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</si>
  <si>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</si>
  <si>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</si>
  <si>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</si>
  <si>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</si>
  <si>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</si>
  <si>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</si>
  <si>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</si>
  <si>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</si>
  <si>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</si>
  <si>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</si>
  <si>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</si>
  <si>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</si>
  <si>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</si>
  <si>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</si>
  <si>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</si>
  <si>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</si>
  <si>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</si>
  <si>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</si>
  <si>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</si>
  <si>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</si>
  <si>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</si>
  <si>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</si>
  <si>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</si>
  <si>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</si>
  <si>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</si>
  <si>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</si>
  <si>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</si>
  <si>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</si>
  <si>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</si>
  <si>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</si>
  <si>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</si>
  <si>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</si>
  <si>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</si>
  <si>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</si>
  <si>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</si>
  <si>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</si>
  <si>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</si>
  <si>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</si>
  <si>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</si>
  <si>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</si>
  <si>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</si>
  <si>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</si>
  <si>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</si>
  <si>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</si>
  <si>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</si>
  <si>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</si>
  <si>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</si>
  <si>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</si>
  <si>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</si>
  <si>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</si>
  <si>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</si>
  <si>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</si>
  <si>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</si>
  <si>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</si>
  <si>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</si>
  <si>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</si>
  <si>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</si>
  <si>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</si>
  <si>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</si>
  <si>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</si>
  <si>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</si>
  <si>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</si>
  <si>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</si>
  <si>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</si>
  <si>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</si>
  <si>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</si>
  <si>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</si>
  <si>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</si>
  <si>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</si>
  <si>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</si>
  <si>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</si>
  <si>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</si>
  <si>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</si>
  <si>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</si>
  <si>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</si>
  <si>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</si>
  <si>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</si>
  <si>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</si>
  <si>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</si>
  <si>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</si>
  <si>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</si>
  <si>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</si>
  <si>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</si>
  <si>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</si>
  <si>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</si>
  <si>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</si>
  <si>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</si>
  <si>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</si>
  <si>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</si>
  <si>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</si>
  <si>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</si>
  <si>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</si>
  <si>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</si>
  <si>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</si>
  <si>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</si>
  <si>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</si>
  <si>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</si>
  <si>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</si>
  <si>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</si>
  <si>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</si>
  <si>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</si>
  <si>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</si>
  <si>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</si>
  <si>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</si>
  <si>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</si>
  <si>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</si>
  <si>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</si>
  <si>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</si>
  <si>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</si>
  <si>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</si>
  <si>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</si>
  <si>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</si>
  <si>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</si>
  <si>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</si>
  <si>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</si>
  <si>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</si>
  <si>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</si>
  <si>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</si>
  <si>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</si>
  <si>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</si>
  <si>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</si>
  <si>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</si>
  <si>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</si>
  <si>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</si>
  <si>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</si>
  <si>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</si>
  <si>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</si>
  <si>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</si>
  <si>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</si>
  <si>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</si>
  <si>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</si>
  <si>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</si>
  <si>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</si>
  <si>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</si>
  <si>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</si>
  <si>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</si>
  <si>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</si>
  <si>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</si>
  <si>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</si>
  <si>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</si>
  <si>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</si>
  <si>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</si>
  <si>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</si>
  <si>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</si>
  <si>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</si>
  <si>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</si>
  <si>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</si>
  <si>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</si>
  <si>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</si>
  <si>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</si>
  <si>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</si>
  <si>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</si>
  <si>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</si>
  <si>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</si>
  <si>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</si>
  <si>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</si>
  <si>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</si>
  <si>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</si>
  <si>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</si>
  <si>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</si>
  <si>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</si>
  <si>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</si>
  <si>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</si>
  <si>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</si>
  <si>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</si>
  <si>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</si>
  <si>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</si>
  <si>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</si>
  <si>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</si>
  <si>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</si>
  <si>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</si>
  <si>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</si>
  <si>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</si>
  <si>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</si>
  <si>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</si>
  <si>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</si>
  <si>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</si>
  <si>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</si>
  <si>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</si>
  <si>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</si>
  <si>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</si>
  <si>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</si>
  <si>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</si>
  <si>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</si>
  <si>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</si>
  <si>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</si>
  <si>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</si>
  <si>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</si>
  <si>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</si>
  <si>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</si>
  <si>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</si>
  <si>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</si>
  <si>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</si>
  <si>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</si>
  <si>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</si>
  <si>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</si>
  <si>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</si>
  <si>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</si>
  <si>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</si>
  <si>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</si>
  <si>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</si>
  <si>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</si>
  <si>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</si>
  <si>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</si>
  <si>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</si>
  <si>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</si>
  <si>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</si>
  <si>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</si>
  <si>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</si>
  <si>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</si>
  <si>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</si>
  <si>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</si>
  <si>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</si>
  <si>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</si>
  <si>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</si>
  <si>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</si>
  <si>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</si>
  <si>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</si>
  <si>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</si>
  <si>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</si>
  <si>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</si>
  <si>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</si>
  <si>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</si>
  <si>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</si>
  <si>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</si>
  <si>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</si>
  <si>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</si>
  <si>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</si>
  <si>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</si>
  <si>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</si>
  <si>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</si>
  <si>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</si>
  <si>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</si>
  <si>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</si>
  <si>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</si>
  <si>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</si>
  <si>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</si>
  <si>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</si>
  <si>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</si>
  <si>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</si>
  <si>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</si>
  <si>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</si>
  <si>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</si>
  <si>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</si>
  <si>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</si>
  <si>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</si>
  <si>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</si>
  <si>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</si>
  <si>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</si>
  <si>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</si>
  <si>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</si>
  <si>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</si>
  <si>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</si>
  <si>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</si>
  <si>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</si>
  <si>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</si>
  <si>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</si>
  <si>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</si>
  <si>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</si>
  <si>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</si>
  <si>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</si>
  <si>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</si>
  <si>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</si>
  <si>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</si>
  <si>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</si>
  <si>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</si>
  <si>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</si>
  <si>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</si>
  <si>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</si>
  <si>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</si>
  <si>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</si>
  <si>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</si>
  <si>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</si>
  <si>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</si>
  <si>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</si>
  <si>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</si>
  <si>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</si>
  <si>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</si>
  <si>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</si>
  <si>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</si>
  <si>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</si>
  <si>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</si>
  <si>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</si>
  <si>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</si>
  <si>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</si>
  <si>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</si>
  <si>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</si>
  <si>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</si>
  <si>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</si>
  <si>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</si>
  <si>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</si>
  <si>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</si>
  <si>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</si>
  <si>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</si>
  <si>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</si>
  <si>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</si>
  <si>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</si>
  <si>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</si>
  <si>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</si>
  <si>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</si>
  <si>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</si>
  <si>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</si>
  <si>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</si>
  <si>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</si>
  <si>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</si>
  <si>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</si>
  <si>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</si>
  <si>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</si>
  <si>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</si>
  <si>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</si>
  <si>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</si>
  <si>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</si>
  <si>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</si>
  <si>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</si>
  <si>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</si>
  <si>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</si>
  <si>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</si>
  <si>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</si>
  <si>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</si>
  <si>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</si>
  <si>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</si>
  <si>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</si>
  <si>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</si>
  <si>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</si>
  <si>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</si>
  <si>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</si>
  <si>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</si>
  <si>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</si>
  <si>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</si>
  <si>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</si>
  <si>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</si>
  <si>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</si>
  <si>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</si>
  <si>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</si>
  <si>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</si>
  <si>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</si>
  <si>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</si>
  <si>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</si>
  <si>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</si>
  <si>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</si>
  <si>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</si>
  <si>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</si>
  <si>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</si>
  <si>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</si>
  <si>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</si>
  <si>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</si>
  <si>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</si>
  <si>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</si>
  <si>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</si>
  <si>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</si>
  <si>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</si>
  <si>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</si>
  <si>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</si>
  <si>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</si>
  <si>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</si>
  <si>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</si>
  <si>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</si>
  <si>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</si>
  <si>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</si>
  <si>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</si>
  <si>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</si>
  <si>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</si>
  <si>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</si>
  <si>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</si>
  <si>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</si>
  <si>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</si>
  <si>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</si>
  <si>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</si>
  <si>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</si>
  <si>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</si>
  <si>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</si>
  <si>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</si>
  <si>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</si>
  <si>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</si>
  <si>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</si>
  <si>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</si>
  <si>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</si>
  <si>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</si>
  <si>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</si>
  <si>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</si>
  <si>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</si>
  <si>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</si>
  <si>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</si>
  <si>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</si>
  <si>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</si>
  <si>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</si>
  <si>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</si>
  <si>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</si>
  <si>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</si>
  <si>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</si>
  <si>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</si>
  <si>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</si>
  <si>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</si>
  <si>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</si>
  <si>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</si>
  <si>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</si>
  <si>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</si>
  <si>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</si>
  <si>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</si>
  <si>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</si>
  <si>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</si>
  <si>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</si>
  <si>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</si>
  <si>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</si>
  <si>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</si>
  <si>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</si>
  <si>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</si>
  <si>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</si>
  <si>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</si>
  <si>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</si>
  <si>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</si>
  <si>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</si>
  <si>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</si>
  <si>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</si>
  <si>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</si>
  <si>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</si>
  <si>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</si>
  <si>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</si>
  <si>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</si>
  <si>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</si>
  <si>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</si>
  <si>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</si>
  <si>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</si>
  <si>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</si>
  <si>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</si>
  <si>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</si>
  <si>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</si>
  <si>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</si>
  <si>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</si>
  <si>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</si>
  <si>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</si>
  <si>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</si>
  <si>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</si>
  <si>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</si>
  <si>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</si>
  <si>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</si>
  <si>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</si>
  <si>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</si>
  <si>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</si>
  <si>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</si>
  <si>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</si>
  <si>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</si>
  <si>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</si>
  <si>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</si>
  <si>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</si>
  <si>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</si>
  <si>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</si>
  <si>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</si>
  <si>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</si>
  <si>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</si>
  <si>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</si>
  <si>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</si>
  <si>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</si>
  <si>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</si>
  <si>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</si>
  <si>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</si>
  <si>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</si>
  <si>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</si>
  <si>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</si>
  <si>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</si>
  <si>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</si>
  <si>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</si>
  <si>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</si>
  <si>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</si>
  <si>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</si>
  <si>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</si>
  <si>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</si>
  <si>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</si>
  <si>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</si>
  <si>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</si>
  <si>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</si>
  <si>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</si>
  <si>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</si>
  <si>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</si>
  <si>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</si>
  <si>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</si>
  <si>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</si>
  <si>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</si>
  <si>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</si>
  <si>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</si>
  <si>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</si>
  <si>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</si>
  <si>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</si>
  <si>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</si>
  <si>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</si>
  <si>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</si>
  <si>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</si>
  <si>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</si>
  <si>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</si>
  <si>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</si>
  <si>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</si>
  <si>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</si>
  <si>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</si>
  <si>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</si>
  <si>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</si>
  <si>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</si>
  <si>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</si>
  <si>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</si>
  <si>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</si>
  <si>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</si>
  <si>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</si>
  <si>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</si>
  <si>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</si>
  <si>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</si>
  <si>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</si>
  <si>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</si>
  <si>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</si>
  <si>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</si>
  <si>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</si>
  <si>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</si>
  <si>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</si>
  <si>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</si>
  <si>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</si>
  <si>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</si>
  <si>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</si>
  <si>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</si>
  <si>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</si>
  <si>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</si>
  <si>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</si>
  <si>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</si>
  <si>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</si>
  <si>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</si>
  <si>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</si>
  <si>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</si>
  <si>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</si>
  <si>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</si>
  <si>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</si>
  <si>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</si>
  <si>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</si>
  <si>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</si>
  <si>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</si>
  <si>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</si>
  <si>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</si>
  <si>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</si>
  <si>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</si>
  <si>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</si>
  <si>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</si>
  <si>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</si>
  <si>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</si>
  <si>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</si>
  <si>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</si>
  <si>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</si>
  <si>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</si>
  <si>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</si>
  <si>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</si>
  <si>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</si>
  <si>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</si>
  <si>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</si>
  <si>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</si>
  <si>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</si>
  <si>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</si>
  <si>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</si>
  <si>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</si>
  <si>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</si>
  <si>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</si>
  <si>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</si>
  <si>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</si>
  <si>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</si>
  <si>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</si>
  <si>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</si>
  <si>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</si>
  <si>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</si>
  <si>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</si>
  <si>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</si>
  <si>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</si>
  <si>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</si>
  <si>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</si>
  <si>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</si>
  <si>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</si>
  <si>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</si>
  <si>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</si>
  <si>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</si>
  <si>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</si>
  <si>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</si>
  <si>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</si>
  <si>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</si>
  <si>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</si>
  <si>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</si>
  <si>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</si>
  <si>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</si>
  <si>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</si>
  <si>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</si>
  <si>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</si>
  <si>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</si>
  <si>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</si>
  <si>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</si>
  <si>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</si>
  <si>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</si>
  <si>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</si>
  <si>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</si>
  <si>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</si>
  <si>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</si>
  <si>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</si>
  <si>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</si>
  <si>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</si>
  <si>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</si>
  <si>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</si>
  <si>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</si>
  <si>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</si>
  <si>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</si>
  <si>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</si>
  <si>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</si>
  <si>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</si>
  <si>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</si>
  <si>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</si>
  <si>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</si>
  <si>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</si>
  <si>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</si>
  <si>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</si>
  <si>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</si>
  <si>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</si>
  <si>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</si>
  <si>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</si>
  <si>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</si>
  <si>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</si>
  <si>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</si>
  <si>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</si>
  <si>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</si>
  <si>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</si>
  <si>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</si>
  <si>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</si>
  <si>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</si>
  <si>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</si>
  <si>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</si>
  <si>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</si>
  <si>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</si>
  <si>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</si>
  <si>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</si>
  <si>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</si>
  <si>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</si>
  <si>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</si>
  <si>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</si>
  <si>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</si>
  <si>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</si>
  <si>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</si>
  <si>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</si>
  <si>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</si>
  <si>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</si>
  <si>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</si>
  <si>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</si>
  <si>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</si>
  <si>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</si>
  <si>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</si>
  <si>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</si>
  <si>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</si>
  <si>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</si>
  <si>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</si>
  <si>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</si>
  <si>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</si>
  <si>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</si>
  <si>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</si>
  <si>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</si>
  <si>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</si>
  <si>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</si>
  <si>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</si>
  <si>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</si>
  <si>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</si>
  <si>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</si>
  <si>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</si>
  <si>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</si>
  <si>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</si>
  <si>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</si>
  <si>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</si>
  <si>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</si>
  <si>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</si>
  <si>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</si>
  <si>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</si>
  <si>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</si>
  <si>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</si>
  <si>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</si>
  <si>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</si>
  <si>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</si>
  <si>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</si>
  <si>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</si>
  <si>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</si>
  <si>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</si>
  <si>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</si>
  <si>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</si>
  <si>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</si>
  <si>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</si>
  <si>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</si>
  <si>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</si>
  <si>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</si>
  <si>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</si>
  <si>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</si>
  <si>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</si>
  <si>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</si>
  <si>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</si>
  <si>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</si>
  <si>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</si>
  <si>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</si>
  <si>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</si>
  <si>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</si>
  <si>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</si>
  <si>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</si>
  <si>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</si>
  <si>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</si>
  <si>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</si>
  <si>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</si>
  <si>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</si>
  <si>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</si>
  <si>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</si>
  <si>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</si>
  <si>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</si>
  <si>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</si>
  <si>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</si>
  <si>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</si>
  <si>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</si>
  <si>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</si>
  <si>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</si>
  <si>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</si>
  <si>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</si>
  <si>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</si>
  <si>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</si>
  <si>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</si>
  <si>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</si>
  <si>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</si>
  <si>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</si>
  <si>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</si>
  <si>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</si>
  <si>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</si>
  <si>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</si>
  <si>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</si>
  <si>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</si>
  <si>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</si>
  <si>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</si>
  <si>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</si>
  <si>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</si>
  <si>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</si>
  <si>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</si>
  <si>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</si>
  <si>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</si>
  <si>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</si>
  <si>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</si>
  <si>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</si>
  <si>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</si>
  <si>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</si>
  <si>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</si>
  <si>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</si>
  <si>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</si>
  <si>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</si>
  <si>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</si>
  <si>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</si>
  <si>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</si>
  <si>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</si>
  <si>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</si>
  <si>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</si>
  <si>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</si>
  <si>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</si>
  <si>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</si>
  <si>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</si>
  <si>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</si>
  <si>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</si>
  <si>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</si>
  <si>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</si>
  <si>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</si>
  <si>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</si>
  <si>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</si>
  <si>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</si>
  <si>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</si>
  <si>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</si>
  <si>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</si>
  <si>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</si>
  <si>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</si>
  <si>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</si>
  <si>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</si>
  <si>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</si>
  <si>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</si>
  <si>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</si>
  <si>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</si>
  <si>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</si>
  <si>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</si>
  <si>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</si>
  <si>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</si>
  <si>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</si>
  <si>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</si>
  <si>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</si>
  <si>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</si>
  <si>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</si>
  <si>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</si>
  <si>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</si>
  <si>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</si>
  <si>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</si>
  <si>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</si>
  <si>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</si>
  <si>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</si>
  <si>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</si>
  <si>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</si>
  <si>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</si>
  <si>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</si>
  <si>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</si>
  <si>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</si>
  <si>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</si>
  <si>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</si>
  <si>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</si>
  <si>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</si>
  <si>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</si>
  <si>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</si>
  <si>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</si>
  <si>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</si>
  <si>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</si>
  <si>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</si>
  <si>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</si>
  <si>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</si>
  <si>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</si>
  <si>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</si>
  <si>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</si>
  <si>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</si>
  <si>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</si>
  <si>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</si>
  <si>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</si>
  <si>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</si>
  <si>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</si>
  <si>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</si>
  <si>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</si>
  <si>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</si>
  <si>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</si>
  <si>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</si>
  <si>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</si>
  <si>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</si>
  <si>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</si>
  <si>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</si>
  <si>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</si>
  <si>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</si>
  <si>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</si>
  <si>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</si>
  <si>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</si>
  <si>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</si>
  <si>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</si>
  <si>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</si>
  <si>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</si>
  <si>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</si>
  <si>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</si>
  <si>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</si>
  <si>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</si>
  <si>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</si>
  <si>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</si>
  <si>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</si>
  <si>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</si>
  <si>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</si>
  <si>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</si>
  <si>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</si>
  <si>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</si>
  <si>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</si>
  <si>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</si>
  <si>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</si>
  <si>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</si>
  <si>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</si>
  <si>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</si>
  <si>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</si>
  <si>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</si>
  <si>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</si>
  <si>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</si>
  <si>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</si>
  <si>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</si>
  <si>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</si>
  <si>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</si>
  <si>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</si>
  <si>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</si>
  <si>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</si>
  <si>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</si>
  <si>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</si>
  <si>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</si>
  <si>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</si>
  <si>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</si>
  <si>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</si>
  <si>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</si>
  <si>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</si>
  <si>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</si>
  <si>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</si>
  <si>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</si>
  <si>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</si>
  <si>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</si>
  <si>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</si>
  <si>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</si>
  <si>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</si>
  <si>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</si>
  <si>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</si>
  <si>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</si>
  <si>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</si>
  <si>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</si>
  <si>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</si>
  <si>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</si>
  <si>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</si>
  <si>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</si>
  <si>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</si>
  <si>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</si>
  <si>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</si>
  <si>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</si>
  <si>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</si>
  <si>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</si>
  <si>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</si>
  <si>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</si>
  <si>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</si>
  <si>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</si>
  <si>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</si>
  <si>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</si>
  <si>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</si>
  <si>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</si>
  <si>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</si>
  <si>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</si>
  <si>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</si>
  <si>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</si>
  <si>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</si>
  <si>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</si>
  <si>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</si>
  <si>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</si>
  <si>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</si>
  <si>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</si>
  <si>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</si>
  <si>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</si>
  <si>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</si>
  <si>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</si>
  <si>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</si>
  <si>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</si>
  <si>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</si>
  <si>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</si>
  <si>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</si>
  <si>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</si>
  <si>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</si>
  <si>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</si>
  <si>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</si>
  <si>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</si>
  <si>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</si>
  <si>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</si>
  <si>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</si>
  <si>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</si>
  <si>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</si>
  <si>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</si>
  <si>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</si>
  <si>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</si>
  <si>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</si>
  <si>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</si>
  <si>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</si>
  <si>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</si>
  <si>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</si>
  <si>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</si>
  <si>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</si>
  <si>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</si>
  <si>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</si>
  <si>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</si>
  <si>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</si>
  <si>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</si>
  <si>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</si>
  <si>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</si>
  <si>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</si>
  <si>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</si>
  <si>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</si>
  <si>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</si>
  <si>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</si>
  <si>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</si>
  <si>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</si>
  <si>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</si>
  <si>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</si>
  <si>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</si>
  <si>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</si>
  <si>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</si>
  <si>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</si>
  <si>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</si>
  <si>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</si>
  <si>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</si>
  <si>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</si>
  <si>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</si>
  <si>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</si>
  <si>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</si>
  <si>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</si>
  <si>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</si>
  <si>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</si>
  <si>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</si>
  <si>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</si>
  <si>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</si>
  <si>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</si>
  <si>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</si>
  <si>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</si>
  <si>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</si>
  <si>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</si>
  <si>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</si>
  <si>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</si>
  <si>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</si>
  <si>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</si>
  <si>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</si>
  <si>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</si>
  <si>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</si>
  <si>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</si>
  <si>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</si>
  <si>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</si>
  <si>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</si>
  <si>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</si>
  <si>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</si>
  <si>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</si>
  <si>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</si>
  <si>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</si>
  <si>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</si>
  <si>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</si>
  <si>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</si>
  <si>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</si>
  <si>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</si>
  <si>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</si>
  <si>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</si>
  <si>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</si>
  <si>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</si>
  <si>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</si>
  <si>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</si>
  <si>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</si>
  <si>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</si>
  <si>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</si>
  <si>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</si>
  <si>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</si>
  <si>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</si>
  <si>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</si>
  <si>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</si>
  <si>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</si>
  <si>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</si>
  <si>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</si>
  <si>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</si>
  <si>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</si>
  <si>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</si>
  <si>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</si>
  <si>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</si>
  <si>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</si>
  <si>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</si>
  <si>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</si>
  <si>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</si>
  <si>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</si>
  <si>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</si>
  <si>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</si>
  <si>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</si>
  <si>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</si>
  <si>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</si>
  <si>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</si>
  <si>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</si>
  <si>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</si>
  <si>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</si>
  <si>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</si>
  <si>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</si>
  <si>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</si>
  <si>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</si>
  <si>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</si>
  <si>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</si>
  <si>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</si>
  <si>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</si>
  <si>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</si>
  <si>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</si>
  <si>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</si>
  <si>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</si>
  <si>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</si>
  <si>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</si>
  <si>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</si>
  <si>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</si>
  <si>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</si>
  <si>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</si>
  <si>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</si>
  <si>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</si>
  <si>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</si>
  <si>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</si>
  <si>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</si>
  <si>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</si>
  <si>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</si>
  <si>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</si>
  <si>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</si>
  <si>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</si>
  <si>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</si>
  <si>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</si>
  <si>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</si>
  <si>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</si>
  <si>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</si>
  <si>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</si>
  <si>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</si>
  <si>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</si>
  <si>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</si>
  <si>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</si>
  <si>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</si>
  <si>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</si>
  <si>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</si>
  <si>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</si>
  <si>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</si>
  <si>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</si>
  <si>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</si>
  <si>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</si>
  <si>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</si>
  <si>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</si>
  <si>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</si>
  <si>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</si>
  <si>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</si>
  <si>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</si>
  <si>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</si>
  <si>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</si>
  <si>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</si>
  <si>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</si>
  <si>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</si>
  <si>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</si>
  <si>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</si>
  <si>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</si>
  <si>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</si>
  <si>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</si>
  <si>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</si>
  <si>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</si>
  <si>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</si>
  <si>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</si>
  <si>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</si>
  <si>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</si>
  <si>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</si>
  <si>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</si>
  <si>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</si>
  <si>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</si>
  <si>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</si>
  <si>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</si>
  <si>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</si>
  <si>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</si>
  <si>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</si>
  <si>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</si>
  <si>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</si>
  <si>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</si>
  <si>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</si>
  <si>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</si>
  <si>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</si>
  <si>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</si>
  <si>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</si>
  <si>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</si>
  <si>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</si>
  <si>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</si>
  <si>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</si>
  <si>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</si>
  <si>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</si>
  <si>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</si>
  <si>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</si>
  <si>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</si>
  <si>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</si>
  <si>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</si>
  <si>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</si>
  <si>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</si>
  <si>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</si>
  <si>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</si>
  <si>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</si>
  <si>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</si>
  <si>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</si>
  <si>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</si>
  <si>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</si>
  <si>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</si>
  <si>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</si>
  <si>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</si>
  <si>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</si>
  <si>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</si>
  <si>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</si>
  <si>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</si>
  <si>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</si>
  <si>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</si>
  <si>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</si>
  <si>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</si>
  <si>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</si>
  <si>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</si>
  <si>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</si>
  <si>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</si>
  <si>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</si>
  <si>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</si>
  <si>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</si>
  <si>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</si>
  <si>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</si>
  <si>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</si>
  <si>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</si>
  <si>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</si>
  <si>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</si>
  <si>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</si>
  <si>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</si>
  <si>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</si>
  <si>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</si>
  <si>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</si>
  <si>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</si>
  <si>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</si>
  <si>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</si>
  <si>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</si>
  <si>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</si>
  <si>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</si>
  <si>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</si>
  <si>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</si>
  <si>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</si>
  <si>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</si>
  <si>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</si>
  <si>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</si>
  <si>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</si>
  <si>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</si>
  <si>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</si>
  <si>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</si>
  <si>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</si>
  <si>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</si>
  <si>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</si>
  <si>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</si>
  <si>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</si>
  <si>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</si>
  <si>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</si>
  <si>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</si>
  <si>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</si>
  <si>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</si>
  <si>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</si>
  <si>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</si>
  <si>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</si>
  <si>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</si>
  <si>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</si>
  <si>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</si>
  <si>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</si>
  <si>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</si>
  <si>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</si>
  <si>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</si>
  <si>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</si>
  <si>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</si>
  <si>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</si>
  <si>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</si>
  <si>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</si>
  <si>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</si>
  <si>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</si>
  <si>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</si>
  <si>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</si>
  <si>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</si>
  <si>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</si>
  <si>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</si>
  <si>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</si>
  <si>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</si>
  <si>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</si>
  <si>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</si>
  <si>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</si>
  <si>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</si>
  <si>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</si>
  <si>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</si>
  <si>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</si>
  <si>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</si>
  <si>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</si>
  <si>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</si>
  <si>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</si>
  <si>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</si>
  <si>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</si>
  <si>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</si>
  <si>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</si>
  <si>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</si>
  <si>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</si>
  <si>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</si>
  <si>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</si>
  <si>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</si>
  <si>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</si>
  <si>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</si>
  <si>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</si>
  <si>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</si>
  <si>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</si>
  <si>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</si>
  <si>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</si>
  <si>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</si>
  <si>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</si>
  <si>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</si>
  <si>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</si>
  <si>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</si>
  <si>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</si>
  <si>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</si>
  <si>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</si>
  <si>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</si>
  <si>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</si>
  <si>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</si>
  <si>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</si>
  <si>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</si>
  <si>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</si>
  <si>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</si>
  <si>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</si>
  <si>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</si>
  <si>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</si>
  <si>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</si>
  <si>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</si>
  <si>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</si>
  <si>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</si>
  <si>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</si>
  <si>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</si>
  <si>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</si>
  <si>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</si>
  <si>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</si>
  <si>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</si>
  <si>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</si>
  <si>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</si>
  <si>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</si>
  <si>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</si>
  <si>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</si>
  <si>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</si>
  <si>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</si>
  <si>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</si>
  <si>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</si>
  <si>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</si>
  <si>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</si>
  <si>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</si>
  <si>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</si>
  <si>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</si>
  <si>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</si>
  <si>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</si>
  <si>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</si>
  <si>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</si>
  <si>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</si>
  <si>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</si>
  <si>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</si>
  <si>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</si>
  <si>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</si>
  <si>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</si>
  <si>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</si>
  <si>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</si>
  <si>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</si>
  <si>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</si>
  <si>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</si>
  <si>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</si>
  <si>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</si>
  <si>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</si>
  <si>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</si>
  <si>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</si>
  <si>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</si>
  <si>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</si>
  <si>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</si>
  <si>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</si>
  <si>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</si>
  <si>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</si>
  <si>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</si>
  <si>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</si>
  <si>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</si>
  <si>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</si>
  <si>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</si>
  <si>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</si>
  <si>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</si>
  <si>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</si>
  <si>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</si>
  <si>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</si>
  <si>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</si>
  <si>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</si>
  <si>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</si>
  <si>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</si>
  <si>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</si>
  <si>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</si>
  <si>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</si>
  <si>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</si>
  <si>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</si>
  <si>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</si>
  <si>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</si>
  <si>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</si>
  <si>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</si>
  <si>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</si>
  <si>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</si>
  <si>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</si>
  <si>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</si>
  <si>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</si>
  <si>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</si>
  <si>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</si>
  <si>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</si>
  <si>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</si>
  <si>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</si>
  <si>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</si>
  <si>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</si>
  <si>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</si>
  <si>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</si>
  <si>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</si>
  <si>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</si>
  <si>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</si>
  <si>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</si>
  <si>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</si>
  <si>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</si>
  <si>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</si>
  <si>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</si>
  <si>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</si>
  <si>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</si>
  <si>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</si>
  <si>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</si>
  <si>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</si>
  <si>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</si>
  <si>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</si>
  <si>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</si>
  <si>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</si>
  <si>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</si>
  <si>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</si>
  <si>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</si>
  <si>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</si>
  <si>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</si>
  <si>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</si>
  <si>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</si>
  <si>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</si>
  <si>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</si>
  <si>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</si>
  <si>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</si>
  <si>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</si>
  <si>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</si>
  <si>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</si>
  <si>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</si>
  <si>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</si>
  <si>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</si>
  <si>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</si>
  <si>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</si>
  <si>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</si>
  <si>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</si>
  <si>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</si>
  <si>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</si>
  <si>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</si>
  <si>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</si>
  <si>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</si>
  <si>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</si>
  <si>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</si>
  <si>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</si>
  <si>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</si>
  <si>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</si>
  <si>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</si>
  <si>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</si>
  <si>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</si>
  <si>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</si>
  <si>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</si>
  <si>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</si>
  <si>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</si>
  <si>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</si>
  <si>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</si>
  <si>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</si>
  <si>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</si>
  <si>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</si>
  <si>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</si>
  <si>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</si>
  <si>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</si>
  <si>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</si>
  <si>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</si>
  <si>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</si>
  <si>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</si>
  <si>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</si>
  <si>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</si>
  <si>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</si>
  <si>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</si>
  <si>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</si>
  <si>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</si>
  <si>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</si>
  <si>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</si>
  <si>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</si>
  <si>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</si>
  <si>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</si>
  <si>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</si>
  <si>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</si>
  <si>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</si>
  <si>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</si>
  <si>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</si>
  <si>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</si>
  <si>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</si>
  <si>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</si>
  <si>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</si>
  <si>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</si>
  <si>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</si>
  <si>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</si>
  <si>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</si>
  <si>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</si>
  <si>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</si>
  <si>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</si>
  <si>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</si>
  <si>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</si>
  <si>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</si>
  <si>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</si>
  <si>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</si>
  <si>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</si>
  <si>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</si>
  <si>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</si>
  <si>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</si>
  <si>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</si>
  <si>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</si>
  <si>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</si>
  <si>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</si>
  <si>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</si>
  <si>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</si>
  <si>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</si>
  <si>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</si>
  <si>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</si>
  <si>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</si>
  <si>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</si>
  <si>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</si>
  <si>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</si>
  <si>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</si>
  <si>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</si>
  <si>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</si>
  <si>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</si>
  <si>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</si>
  <si>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</si>
  <si>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</si>
  <si>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</si>
  <si>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</si>
  <si>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</si>
  <si>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</si>
  <si>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</si>
  <si>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</si>
  <si>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</si>
  <si>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</si>
  <si>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</si>
  <si>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</si>
  <si>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</si>
  <si>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</si>
  <si>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</si>
  <si>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</si>
  <si>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</si>
  <si>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</si>
  <si>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</si>
  <si>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</si>
  <si>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</si>
  <si>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</si>
  <si>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</si>
  <si>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</si>
  <si>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</si>
  <si>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</si>
  <si>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</si>
  <si>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</si>
  <si>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</si>
  <si>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</si>
  <si>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</si>
  <si>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</si>
  <si>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</si>
  <si>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</si>
  <si>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</si>
  <si>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</si>
  <si>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</si>
  <si>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</si>
  <si>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</si>
  <si>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</si>
  <si>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</si>
  <si>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</si>
  <si>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</si>
  <si>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</si>
  <si>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</si>
  <si>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</si>
  <si>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</si>
  <si>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</si>
  <si>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</si>
  <si>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</si>
  <si>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</si>
  <si>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</si>
  <si>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</si>
  <si>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</si>
  <si>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</si>
  <si>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</si>
  <si>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</si>
  <si>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</si>
  <si>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</si>
  <si>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</si>
  <si>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</si>
  <si>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</si>
  <si>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</si>
  <si>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</si>
  <si>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</si>
  <si>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</si>
  <si>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</si>
  <si>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</si>
  <si>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</si>
  <si>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</si>
  <si>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</si>
  <si>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</si>
  <si>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</si>
  <si>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</si>
  <si>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</si>
  <si>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</si>
  <si>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</si>
  <si>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</si>
  <si>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</si>
  <si>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</si>
  <si>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</si>
  <si>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</si>
  <si>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</si>
  <si>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</si>
  <si>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</si>
  <si>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</si>
  <si>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</si>
  <si>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</si>
  <si>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</si>
  <si>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</si>
  <si>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</si>
  <si>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</si>
  <si>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</si>
  <si>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</si>
  <si>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</si>
  <si>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</si>
  <si>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</si>
  <si>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</si>
  <si>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</si>
  <si>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</si>
  <si>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</si>
  <si>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</si>
  <si>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</si>
  <si>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</si>
  <si>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</si>
  <si>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</si>
  <si>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</si>
  <si>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</si>
  <si>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</si>
  <si>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</si>
  <si>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</si>
  <si>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</si>
  <si>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</si>
  <si>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</si>
  <si>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</si>
  <si>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</si>
  <si>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</si>
  <si>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</si>
  <si>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</si>
  <si>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</si>
  <si>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</si>
  <si>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</si>
  <si>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</si>
  <si>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</si>
  <si>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</si>
  <si>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</si>
  <si>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</si>
  <si>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</si>
  <si>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</si>
  <si>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</si>
  <si>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</si>
  <si>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</si>
  <si>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</si>
  <si>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</si>
  <si>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</si>
  <si>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</si>
  <si>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</si>
  <si>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</si>
  <si>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</si>
  <si>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</si>
  <si>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</si>
  <si>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</si>
  <si>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</si>
  <si>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</si>
  <si>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</si>
  <si>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</si>
  <si>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</si>
  <si>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</si>
  <si>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</si>
  <si>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</si>
  <si>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</si>
  <si>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</si>
  <si>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</si>
  <si>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</si>
  <si>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</si>
  <si>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</si>
  <si>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</si>
  <si>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</si>
  <si>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</si>
  <si>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</si>
  <si>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</si>
  <si>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</si>
  <si>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</si>
  <si>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</si>
  <si>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</si>
  <si>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</si>
  <si>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</si>
  <si>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</si>
  <si>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</si>
  <si>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</si>
  <si>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</si>
  <si>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</si>
  <si>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</si>
  <si>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</si>
  <si>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</si>
  <si>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</si>
  <si>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</si>
  <si>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</si>
  <si>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</si>
  <si>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</si>
  <si>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</si>
  <si>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</si>
  <si>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</si>
  <si>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</si>
  <si>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</si>
  <si>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</si>
  <si>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</si>
  <si>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</si>
  <si>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</si>
  <si>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</si>
  <si>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</si>
  <si>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</si>
  <si>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</si>
  <si>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</si>
  <si>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</si>
  <si>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</si>
  <si>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</si>
  <si>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</si>
  <si>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</si>
  <si>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</si>
  <si>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</si>
  <si>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</si>
  <si>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</si>
  <si>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</si>
  <si>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</si>
  <si>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</si>
  <si>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</si>
  <si>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</si>
  <si>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</si>
  <si>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</si>
  <si>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</si>
  <si>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</si>
  <si>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</si>
  <si>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</si>
  <si>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</si>
  <si>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</si>
  <si>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</si>
  <si>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</si>
  <si>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</si>
  <si>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</si>
  <si>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</si>
  <si>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</si>
  <si>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</si>
  <si>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</si>
  <si>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</si>
  <si>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</si>
  <si>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</si>
  <si>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</si>
  <si>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</si>
  <si>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</si>
  <si>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</si>
  <si>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</si>
  <si>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</si>
  <si>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</si>
  <si>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</si>
  <si>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</si>
  <si>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</si>
  <si>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</si>
  <si>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</si>
  <si>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</si>
  <si>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</si>
  <si>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</si>
  <si>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</si>
  <si>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</si>
  <si>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</si>
  <si>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</si>
  <si>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</si>
  <si>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</si>
  <si>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</si>
  <si>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</si>
  <si>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</si>
  <si>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</si>
  <si>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</si>
  <si>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</si>
  <si>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</si>
  <si>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</si>
  <si>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</si>
  <si>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</si>
  <si>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</si>
  <si>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</si>
  <si>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</si>
  <si>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</si>
  <si>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</si>
  <si>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</si>
  <si>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</si>
  <si>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</si>
  <si>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</si>
  <si>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</si>
  <si>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</si>
  <si>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</si>
  <si>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</si>
  <si>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</si>
  <si>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</si>
  <si>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</si>
  <si>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</si>
  <si>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</si>
  <si>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</si>
  <si>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</si>
  <si>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</si>
  <si>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</si>
  <si>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</si>
  <si>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</si>
  <si>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</si>
  <si>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</si>
  <si>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</si>
  <si>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</si>
  <si>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</si>
  <si>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</si>
  <si>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</si>
  <si>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</si>
  <si>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</si>
  <si>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</si>
  <si>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</si>
  <si>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</si>
  <si>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</si>
  <si>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</si>
  <si>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</si>
  <si>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</si>
  <si>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</si>
  <si>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</si>
  <si>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</si>
  <si>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</si>
  <si>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</si>
  <si>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</si>
  <si>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</si>
  <si>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</si>
  <si>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</si>
  <si>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</si>
  <si>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</si>
  <si>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</si>
  <si>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</si>
  <si>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</si>
  <si>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</si>
  <si>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</si>
  <si>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</si>
  <si>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</si>
  <si>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</si>
  <si>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</si>
  <si>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</si>
  <si>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</si>
  <si>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</si>
  <si>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</si>
  <si>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</si>
  <si>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</si>
  <si>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</si>
  <si>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</si>
  <si>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</si>
  <si>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</si>
  <si>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</si>
  <si>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</si>
  <si>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</si>
  <si>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</si>
  <si>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</si>
  <si>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</si>
  <si>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</si>
  <si>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</si>
  <si>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</si>
  <si>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</si>
  <si>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</si>
  <si>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</si>
  <si>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</si>
  <si>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</si>
  <si>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</si>
  <si>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</si>
  <si>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</si>
  <si>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</si>
  <si>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</si>
  <si>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</si>
  <si>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</si>
  <si>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</si>
  <si>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</si>
  <si>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</si>
  <si>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</si>
  <si>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</si>
  <si>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</si>
  <si>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</si>
  <si>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</si>
  <si>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</si>
  <si>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</si>
  <si>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</si>
  <si>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</si>
  <si>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</si>
  <si>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</si>
  <si>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</si>
  <si>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</si>
  <si>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</si>
  <si>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</si>
  <si>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</si>
  <si>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</si>
  <si>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</si>
  <si>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</si>
  <si>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</si>
  <si>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</si>
  <si>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</si>
  <si>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</si>
  <si>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</si>
  <si>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</si>
  <si>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</si>
  <si>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</si>
  <si>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</si>
  <si>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</si>
  <si>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</si>
  <si>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</si>
  <si>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</si>
  <si>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</si>
  <si>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</si>
  <si>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</si>
  <si>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</si>
  <si>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</si>
  <si>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</si>
  <si>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</si>
  <si>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</si>
  <si>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</si>
  <si>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</si>
  <si>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</si>
  <si>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</si>
  <si>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</si>
  <si>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</si>
  <si>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</si>
  <si>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</si>
  <si>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</si>
  <si>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</si>
  <si>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</si>
  <si>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</si>
  <si>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</si>
  <si>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</si>
  <si>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</si>
  <si>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</si>
  <si>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</si>
  <si>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</si>
  <si>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</si>
  <si>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</si>
  <si>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</si>
  <si>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</si>
  <si>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</si>
  <si>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</si>
  <si>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</si>
  <si>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</si>
  <si>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</si>
  <si>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</si>
  <si>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</si>
  <si>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</si>
  <si>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</si>
  <si>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</si>
  <si>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</si>
  <si>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</si>
  <si>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</si>
  <si>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</si>
  <si>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</si>
  <si>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</si>
  <si>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</si>
  <si>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</si>
  <si>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</si>
  <si>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</si>
  <si>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</si>
  <si>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</si>
  <si>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</si>
  <si>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</si>
  <si>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</si>
  <si>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</si>
  <si>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</si>
  <si>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</si>
  <si>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</si>
  <si>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</si>
  <si>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</si>
  <si>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</si>
  <si>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</si>
  <si>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</si>
  <si>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</si>
  <si>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</si>
  <si>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</si>
  <si>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</si>
  <si>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</si>
  <si>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</si>
  <si>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</si>
  <si>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</si>
  <si>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</si>
  <si>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</si>
  <si>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</si>
  <si>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</si>
  <si>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</si>
  <si>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</si>
  <si>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</si>
  <si>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</si>
  <si>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</si>
  <si>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</si>
  <si>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</si>
  <si>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</si>
  <si>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</si>
  <si>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</si>
  <si>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</si>
  <si>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</si>
  <si>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</si>
  <si>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</si>
  <si>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</si>
  <si>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</si>
  <si>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</si>
  <si>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</si>
  <si>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</si>
  <si>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</si>
  <si>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</si>
  <si>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</si>
  <si>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</si>
  <si>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</si>
  <si>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</si>
  <si>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</si>
  <si>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</si>
  <si>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</si>
  <si>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</si>
  <si>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</si>
  <si>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</si>
  <si>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</si>
  <si>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</si>
  <si>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</si>
  <si>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</si>
  <si>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</si>
  <si>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</si>
  <si>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</si>
  <si>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</si>
  <si>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</si>
  <si>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</si>
  <si>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</si>
  <si>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</si>
  <si>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</si>
  <si>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</si>
  <si>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</si>
  <si>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</si>
  <si>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</si>
  <si>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</si>
  <si>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</si>
  <si>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</si>
  <si>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</si>
  <si>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</si>
  <si>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</si>
  <si>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</si>
  <si>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</si>
  <si>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</si>
  <si>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</si>
  <si>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</si>
  <si>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</si>
  <si>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</si>
  <si>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</si>
  <si>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</si>
  <si>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</si>
  <si>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</si>
  <si>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</si>
  <si>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</si>
  <si>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</si>
  <si>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</si>
  <si>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</si>
  <si>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</si>
  <si>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</si>
  <si>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</si>
  <si>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</si>
  <si>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</si>
  <si>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</si>
  <si>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</si>
  <si>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</si>
  <si>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</si>
  <si>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</si>
  <si>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</si>
  <si>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</si>
  <si>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</si>
  <si>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</si>
  <si>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</si>
  <si>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</si>
  <si>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</si>
  <si>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</si>
  <si>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</si>
  <si>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</si>
  <si>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</si>
  <si>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</si>
  <si>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</si>
  <si>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</si>
  <si>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</si>
  <si>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</si>
  <si>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</si>
  <si>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</si>
  <si>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</si>
  <si>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</si>
  <si>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</si>
  <si>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</si>
  <si>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</si>
  <si>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</si>
  <si>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</si>
  <si>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</si>
  <si>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</si>
  <si>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</si>
  <si>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</si>
  <si>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</si>
  <si>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</si>
  <si>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</si>
  <si>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</si>
  <si>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</si>
  <si>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</si>
  <si>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</si>
  <si>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</si>
  <si>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</si>
  <si>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</si>
  <si>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</si>
  <si>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</si>
  <si>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</si>
  <si>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</si>
  <si>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</si>
  <si>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</si>
  <si>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user_id</t>
  </si>
  <si>
    <t>user_name</t>
  </si>
  <si>
    <t>review_id</t>
  </si>
  <si>
    <t>review_title</t>
  </si>
  <si>
    <t>review_content</t>
  </si>
  <si>
    <t>img_link</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</si>
  <si>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</si>
  <si>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</si>
  <si>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</si>
  <si>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</si>
  <si>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</si>
  <si>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</si>
  <si>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</si>
  <si>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</si>
  <si>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</si>
  <si>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</si>
  <si>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</si>
  <si>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</si>
  <si>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</si>
  <si>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</si>
  <si>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</si>
  <si>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</si>
  <si>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</si>
  <si>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</si>
  <si>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</si>
  <si>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</si>
  <si>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</si>
  <si>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</si>
  <si>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</si>
  <si>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</si>
  <si>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</si>
  <si>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</si>
  <si>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</si>
  <si>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</si>
  <si>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</si>
  <si>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</si>
  <si>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</si>
  <si>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</si>
  <si>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</si>
  <si>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</si>
  <si>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</si>
  <si>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</si>
  <si>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</si>
  <si>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</si>
  <si>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</si>
  <si>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का केबल मेरे लिए बहुत ही लाभदायक है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</si>
  <si>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t>
  </si>
  <si>
    <t>https://m.media-amazon.com/images/W/WEBP_402378-T2/images/I/41jlwEZpa5L._SX300_SY300_QL70_FMwebp_.jpg</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</si>
  <si>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</si>
  <si>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</si>
  <si>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</si>
  <si>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</si>
  <si>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</si>
  <si>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</si>
  <si>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</si>
  <si>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</si>
  <si>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</si>
  <si>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</si>
  <si>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</si>
  <si>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</si>
  <si>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https://m.media-amazon.com/images/W/WEBP_402378-T2/images/I/31kj3q4SepL._SY445_SX342_QL70_FMwebp_.jpg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</si>
  <si>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</si>
  <si>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</si>
  <si>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</si>
  <si>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</si>
  <si>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t>
  </si>
  <si>
    <t>https://m.media-amazon.com/images/I/31dJ+lXJq3L._SY300_SX300_.jpg</t>
  </si>
  <si>
    <t>https://m.media-amazon.com/images/I/41SDfuK7L2L._SX300_SY300_QL70_FMwebp_.jpg</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</si>
  <si>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</si>
  <si>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</si>
  <si>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</si>
  <si>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</si>
  <si>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</si>
  <si>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</si>
  <si>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</si>
  <si>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</si>
  <si>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</si>
  <si>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</si>
  <si>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</si>
  <si>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</si>
  <si>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</si>
  <si>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</si>
  <si>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</si>
  <si>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</si>
  <si>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</si>
  <si>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</si>
  <si>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</si>
  <si>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</si>
  <si>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</si>
  <si>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</si>
  <si>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</si>
  <si>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</si>
  <si>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</si>
  <si>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</si>
  <si>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</si>
  <si>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</si>
  <si>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</si>
  <si>
    <t>https://m.media-amazon.com/images/I/51fmHk3km+L._SX300_SY300_.jpg</t>
  </si>
  <si>
    <t>https://m.media-amazon.com/images/I/41d84o5-M-L._SY445_SX342_QL70_FMwebp_.jpg</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</si>
  <si>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</si>
  <si>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</si>
  <si>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</si>
  <si>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transfer,ਮਜ਼ਬੂਤ,Good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</si>
  <si>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</si>
  <si>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</si>
  <si>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</si>
  <si>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</si>
  <si>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</si>
  <si>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</si>
  <si>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</si>
  <si>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</si>
  <si>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</si>
  <si>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</si>
  <si>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</si>
  <si>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</si>
  <si>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</si>
  <si>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</si>
  <si>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</si>
  <si>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</si>
  <si>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</si>
  <si>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</si>
  <si>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</si>
  <si>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</si>
  <si>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</si>
  <si>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</si>
  <si>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</si>
  <si>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</si>
  <si>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</si>
  <si>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</si>
  <si>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</si>
  <si>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⚖️,indrajyoti d.,Aditya Kumar,E.C.GEORGE</t>
  </si>
  <si>
    <t>R3F4T5TRYPTMIG,R3DQIEC603E7AY,R1O4Z15FD40PV5,RDVX50PD4CTFE,R3H6WKG0TA5CGU,R3Q3L1KP5QWPV3,RU0LU2PAIIME,R20FTANBPFA653</t>
  </si>
  <si>
    <t>Worked on iPhone 7 and didn’t work on XR,Good one,Dull Physical Looks,Just Buy it,Go for it,About the product,Get charging cable at the price,Working well.</t>
  </si>
  <si>
    <t>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</si>
  <si>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</si>
  <si>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</si>
  <si>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</si>
  <si>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</si>
  <si>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</si>
  <si>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</si>
  <si>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</si>
  <si>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</si>
  <si>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</si>
  <si>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</si>
  <si>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</si>
  <si>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</si>
  <si>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</si>
  <si>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</si>
  <si>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</si>
  <si>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</si>
  <si>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</si>
  <si>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</si>
  <si>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</si>
  <si>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</si>
  <si>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</si>
  <si>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</si>
  <si>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supported,पैसा वसूल 🙂</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</si>
  <si>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</si>
  <si>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</si>
  <si>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</si>
  <si>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</si>
  <si>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</si>
  <si>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brand,It’s like original apple cable,One of the best wire ..,Super well build. Quality product worth the money,Good product</t>
  </si>
  <si>
    <t>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</si>
  <si>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</si>
  <si>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</si>
  <si>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</si>
  <si>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</si>
  <si>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</si>
  <si>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</si>
  <si>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</si>
  <si>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</si>
  <si>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</si>
  <si>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</si>
  <si>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</si>
  <si>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</si>
  <si>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</si>
  <si>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</si>
  <si>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</si>
  <si>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</si>
  <si>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👍🏻,So far super,Good,Good but issues with design,Maine ₹99 me liya hai offer me or ye worth hai.</t>
  </si>
  <si>
    <t>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</si>
  <si>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</si>
  <si>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</si>
  <si>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</si>
  <si>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</si>
  <si>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</si>
  <si>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</si>
  <si>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</si>
  <si>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</si>
  <si>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</si>
  <si>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</si>
  <si>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</si>
  <si>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</si>
  <si>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</si>
  <si>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AF477BP57JM7Z4JD4PYB2K33R6AQ,AGTDD34Y77OB36JNYQWQDN7MHECQ,AG7POKBSWQUO4VOYD4HDWYKMMJ4Q,AFZS6H2ZFJEJHRWIJ3IYL7V6KRPA,AHCYM2ECKI2MNOIDHDG4PT6IIN6A,AECZ4IP3TBM4EUG52BZAOQV3EKIA,AH6RQDXZYKAUPNBOYC4NAZERTFOQ,AFTVETL4HGH4KRUF4NXGJUEDPBAQ</t>
  </si>
  <si>
    <t>Placeholder,श्रीPKजी,Gauri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</si>
  <si>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</si>
  <si>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</si>
  <si>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</si>
  <si>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https://m.media-amazon.com/images/I/41wN7jooz0L._SX300_SY300_QL70_FMwebp_.jpg</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</si>
  <si>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</si>
  <si>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</si>
  <si>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</si>
  <si>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</si>
  <si>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</si>
  <si>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</si>
  <si>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</si>
  <si>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</si>
  <si>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</si>
  <si>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</si>
  <si>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</si>
  <si>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</si>
  <si>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</si>
  <si>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</si>
  <si>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</si>
  <si>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</si>
  <si>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</si>
  <si>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</si>
  <si>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t>
  </si>
  <si>
    <t>https://m.media-amazon.com/images/I/51hQfTroMzL._SX300_SY300_QL70_FMwebp_.jpg</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</si>
  <si>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</si>
  <si>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</si>
  <si>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</si>
  <si>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</si>
  <si>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</si>
  <si>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</si>
  <si>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</si>
  <si>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</si>
  <si>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</si>
  <si>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</si>
  <si>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t>
  </si>
  <si>
    <t>https://m.media-amazon.com/images/I/4101vlzySzL._SY300_SX300_QL70_FMwebp_.jpg</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</si>
  <si>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</si>
  <si>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</si>
  <si>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</si>
  <si>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</si>
  <si>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t>
  </si>
  <si>
    <t>https://m.media-amazon.com/images/I/41nsy8kxWUL._SY300_SX300_QL70_FMwebp_.jpg</t>
  </si>
  <si>
    <t>https://m.media-amazon.com/images/W/WEBP_402378-T1/images/I/41rB0DnVFmL._SX300_SY300_QL70_FMwebp_.jpg</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</si>
  <si>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</si>
  <si>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</si>
  <si>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</si>
  <si>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</si>
  <si>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</si>
  <si>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</si>
  <si>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https://m.media-amazon.com/images/I/31v7NnnAItL._SY445_SX342_QL70_FMwebp_.jpg</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</si>
  <si>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</si>
  <si>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</si>
  <si>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</si>
  <si>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</si>
  <si>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</si>
  <si>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</si>
  <si>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</si>
  <si>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</si>
  <si>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</si>
  <si>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</si>
  <si>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</si>
  <si>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</si>
  <si>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https://m.media-amazon.com/images/I/41bCxnHksnL._SY300_SX300_QL70_FMwebp_.jpg</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</si>
  <si>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</si>
  <si>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</si>
  <si>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</si>
  <si>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</si>
  <si>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</si>
  <si>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</si>
  <si>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</si>
  <si>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</si>
  <si>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</si>
  <si>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t>
  </si>
  <si>
    <t>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</si>
  <si>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</si>
  <si>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</si>
  <si>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</si>
  <si>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</si>
  <si>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</si>
  <si>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</si>
  <si>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</si>
  <si>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https://m.media-amazon.com/images/W/WEBP_402378-T1/images/I/31iESA2h2gL._SY300_SX300_QL70_FMwebp_.jpg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</si>
  <si>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</si>
  <si>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</si>
  <si>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</si>
  <si>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costly,It’s really long n sturdy no homo 🔥,Takes longer to charge than the regular cable,Quality is really good,iPhone X pink charging cable long one ☝️,A good purchase,It charges fine for me,Absolutely fantastic USB👍👍👍</t>
  </si>
  <si>
    <t>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t>
  </si>
  <si>
    <t>https://m.media-amazon.com/images/I/31kw1RgU5yL._SX300_SY300_QL70_FMwebp_.jpg</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</si>
  <si>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</si>
  <si>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</si>
  <si>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</si>
  <si>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</si>
  <si>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</si>
  <si>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</si>
  <si>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</si>
  <si>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</si>
  <si>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</si>
  <si>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 👍 product,Good 👍🏻,Good,USB,Strong buid , study design , charging speed ☹️</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</si>
  <si>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</si>
  <si>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</si>
  <si>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</si>
  <si>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</si>
  <si>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</si>
  <si>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</si>
  <si>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</si>
  <si>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</si>
  <si>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https://m.media-amazon.com/images/I/41jxZkzNcnL._SX300_SY300_QL70_FMwebp_.jpg</t>
  </si>
  <si>
    <t>https://m.media-amazon.com/images/I/512YHGuR4RL._SX300_SY300_QL70_FMwebp_.jpg</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</si>
  <si>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</si>
  <si>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</si>
  <si>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</si>
  <si>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charger🤏,Expensive at this price,Multiple mobile can’t be charged at a time,THIS IS FAST CHARGING ON BOTH MY SAMSUNG PHONES AND IPHONE TOO. Go for it !!,Excellent quality!,CHARGING CABLE</t>
  </si>
  <si>
    <t>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</si>
  <si>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</si>
  <si>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</si>
  <si>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</si>
  <si>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</si>
  <si>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</si>
  <si>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t>
  </si>
  <si>
    <t>https://m.media-amazon.com/images/W/WEBP_402378-T1/images/I/31pQZsxPR4L._SX300_SY300_QL70_FMwebp_.jpg</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</si>
  <si>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</si>
  <si>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</si>
  <si>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</si>
  <si>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</si>
  <si>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</si>
  <si>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</si>
  <si>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</si>
  <si>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</si>
  <si>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</si>
  <si>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</si>
  <si>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</si>
  <si>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</si>
  <si>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</si>
  <si>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</si>
  <si>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</si>
  <si>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</si>
  <si>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</si>
  <si>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</si>
  <si>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</si>
  <si>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</si>
  <si>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</si>
  <si>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</si>
  <si>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</si>
  <si>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</si>
  <si>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</si>
  <si>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</si>
  <si>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</si>
  <si>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</si>
  <si>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t>
  </si>
  <si>
    <t>https://m.media-amazon.com/images/W/WEBP_402378-T2/images/I/41611VFTGwL._SY300_SX300_QL70_FMwebp_.jpg</t>
  </si>
  <si>
    <t>https://m.media-amazon.com/images/I/41eJqkFjCRL._SY300_SX300_QL70_FMwebp_.jpg</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</si>
  <si>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</si>
  <si>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</si>
  <si>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</si>
  <si>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</si>
  <si>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</si>
  <si>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</si>
  <si>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</si>
  <si>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</si>
  <si>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</si>
  <si>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</si>
  <si>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</si>
  <si>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</si>
  <si>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</si>
  <si>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</si>
  <si>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</si>
  <si>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</si>
  <si>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</si>
  <si>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</si>
  <si>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</si>
  <si>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</si>
  <si>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</si>
  <si>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</si>
  <si>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</si>
  <si>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</si>
  <si>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</si>
  <si>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</si>
  <si>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</si>
  <si>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</si>
  <si>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</si>
  <si>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</si>
  <si>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</si>
  <si>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</si>
  <si>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</si>
  <si>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👍,Best Alternative to Original Cable</t>
  </si>
  <si>
    <t>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t>
  </si>
  <si>
    <t>https://m.media-amazon.com/images/W/WEBP_402378-T2/images/I/41SNaWjuZWL._SX300_SY300_QL70_FMwebp_.jpg</t>
  </si>
  <si>
    <t>https://m.media-amazon.com/images/W/WEBP_402378-T2/images/I/41w1didcczL._SY300_SX300_QL70_FMwebp_.jpg</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</si>
  <si>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</si>
  <si>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</si>
  <si>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</si>
  <si>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 trustable…,Just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</si>
  <si>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</si>
  <si>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</si>
  <si>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</si>
  <si>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</si>
  <si>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</si>
  <si>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</si>
  <si>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</si>
  <si>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</si>
  <si>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</si>
  <si>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</si>
  <si>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</si>
  <si>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</si>
  <si>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</si>
  <si>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</si>
  <si>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</si>
  <si>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</si>
  <si>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</si>
  <si>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</si>
  <si>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t>
  </si>
  <si>
    <t>https://m.media-amazon.com/images/W/WEBP_402378-T1/images/I/31l-eZHBfKL._SX300_SY300_QL70_FMwebp_.jpg</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</si>
  <si>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</si>
  <si>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</si>
  <si>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</si>
  <si>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</si>
  <si>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</si>
  <si>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</si>
  <si>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</si>
  <si>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</si>
  <si>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</si>
  <si>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</si>
  <si>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</si>
  <si>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</si>
  <si>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</si>
  <si>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</si>
  <si>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</si>
  <si>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</si>
  <si>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</si>
  <si>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</si>
  <si>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</si>
  <si>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</si>
  <si>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</si>
  <si>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</si>
  <si>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</si>
  <si>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</si>
  <si>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</si>
  <si>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</si>
  <si>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</si>
  <si>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</si>
  <si>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AHDJJLKORMH72SSEBWOVAKE66EHA,AHEONKS6KOZ4SIOZNOLYFGQBXU4A,AEUPILALWUFFD34CNWRYX4PFQKSA,AEKWBYGLEXUNRAJKVPO6HMF52W7A,AETM4APJU6TQILR5HKP3CSPYQL5A,AFOGCVLE7W7ZM5OW3XW7JXCNSIVA,AFLFHQMJXDKP4FNRZVNDLBCI7ULA,AGLH5KPYCT4MGPQ34MNWKLR6NXEA</t>
  </si>
  <si>
    <t>𝕵𝖆𝖙𝖎𝖓 𝕮𝖍𝖆𝖉𝖍𝖆,palpandia153,Arvind,Nithyadhakshina,Basha_Neerati,shaker,Amazon Customer,D Ravi</t>
  </si>
  <si>
    <t>R23CC5VDSVR49B,R1AWZE3731748T,R388KOR9TWPX5H,R2PLH1UHYDQWFA,R1B7Q58I1P83OY,R1C13PY8A3WUC5,RTEAGC48PIYAU,R2E0N8Q0ZQM9N9</t>
  </si>
  <si>
    <t>Good Stuff... Recommended!!!,Need better quality,एक मजबूत प्रोडक्ट है,Good,best buy of this cable,Best for,Tough,Nil</t>
  </si>
  <si>
    <t>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t>
  </si>
  <si>
    <t>https://m.media-amazon.com/images/I/412XfBAEikL._SX300_SY300_QL70_FMwebp_.jpg</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</si>
  <si>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</si>
  <si>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</si>
  <si>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</si>
  <si>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</si>
  <si>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</si>
  <si>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</si>
  <si>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https://m.media-amazon.com/images/W/WEBP_402378-T2/images/I/51ovMTXv9RL._SX300_SY300_QL70_FMwebp_.jpg</t>
  </si>
  <si>
    <t>https://m.media-amazon.com/images/W/WEBP_402378-T1/images/I/41imW51RweL._SY300_SX300_QL70_FMwebp_.jpg</t>
  </si>
  <si>
    <t>https://m.media-amazon.com/images/I/41RVzq6GiIL._SY300_SX300_QL70_FMwebp_.jpg</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</si>
  <si>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</si>
  <si>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</si>
  <si>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</si>
  <si>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</si>
  <si>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</si>
  <si>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</si>
  <si>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</si>
  <si>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</si>
  <si>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</si>
  <si>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</si>
  <si>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</si>
  <si>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</si>
  <si>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</si>
  <si>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</si>
  <si>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https://m.media-amazon.com/images/I/51F6FClq10L._SX300_SY300_QL70_FMwebp_.jpg</t>
  </si>
  <si>
    <t>https://m.media-amazon.com/images/W/WEBP_402378-T1/images/I/4112nea7JlL._SX300_SY300_QL70_FMwebp_.jpg</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</si>
  <si>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</si>
  <si>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</si>
  <si>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</si>
  <si>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</si>
  <si>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t>
  </si>
  <si>
    <t>https://m.media-amazon.com/images/W/WEBP_402378-T1/images/I/31Uqr+A2THL._SY300_SX300_.jpg</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</si>
  <si>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</si>
  <si>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</si>
  <si>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</si>
  <si>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</si>
  <si>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</si>
  <si>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</si>
  <si>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</si>
  <si>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</si>
  <si>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</si>
  <si>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</si>
  <si>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</si>
  <si>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</si>
  <si>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</si>
  <si>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</si>
  <si>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</si>
  <si>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</si>
  <si>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</si>
  <si>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</si>
  <si>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</si>
  <si>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</si>
  <si>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</si>
  <si>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good,ठीक ठीक है</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</si>
  <si>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t>
  </si>
  <si>
    <t>https://m.media-amazon.com/images/W/WEBP_402378-T1/images/I/41nGfip4QuS._SX300_SY300_QL70_FMwebp_.jpg</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</si>
  <si>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</si>
  <si>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</si>
  <si>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</si>
  <si>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</si>
  <si>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t>
  </si>
  <si>
    <t>https://m.media-amazon.com/images/W/WEBP_402378-T1/images/I/219039qa+PL._SY300_SX300_.jpg</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</si>
  <si>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</si>
  <si>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</si>
  <si>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</si>
  <si>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</si>
  <si>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</si>
  <si>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</si>
  <si>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</si>
  <si>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</si>
  <si>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</si>
  <si>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</si>
  <si>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</si>
  <si>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</si>
  <si>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</si>
  <si>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</si>
  <si>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</si>
  <si>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</si>
  <si>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</si>
  <si>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</si>
  <si>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</si>
  <si>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</si>
  <si>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ভালই কাজ করছে, পয়সা উসুল।,Just what I wanted.. works perfect,Great 👍,Good,Works fine with my Samsung smart TV.,Works perfectly,Not OEM. But works as expected.,Its a good buy works</t>
  </si>
  <si>
    <t>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</si>
  <si>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</si>
  <si>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</si>
  <si>
    <t>https://m.media-amazon.com/images/W/WEBP_402378-T2/images/I/41GTMteNtdL._SX300_SY300_QL70_FMwebp_.jpg</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</si>
  <si>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</si>
  <si>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</si>
  <si>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</si>
  <si>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</si>
  <si>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</si>
  <si>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</si>
  <si>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</si>
  <si>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</si>
  <si>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</si>
  <si>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</si>
  <si>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</si>
  <si>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</si>
  <si>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</si>
  <si>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</si>
  <si>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</si>
  <si>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</si>
  <si>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</si>
  <si>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</si>
  <si>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</si>
  <si>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</si>
  <si>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</si>
  <si>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</si>
  <si>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</si>
  <si>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</si>
  <si>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</si>
  <si>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</si>
  <si>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</si>
  <si>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</si>
  <si>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</si>
  <si>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👌,The product is great but you might get scammed on Amazon,Very good 👍,Nice tv,Budget free</t>
  </si>
  <si>
    <t>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</si>
  <si>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</si>
  <si>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https://m.media-amazon.com/images/W/WEBP_402378-T2/images/I/41jk4zYjTsL._SX300_SY300_QL70_FMwebp_.jpg</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</si>
  <si>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</si>
  <si>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</si>
  <si>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</si>
  <si>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 👍,Nice,It's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</si>
  <si>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</si>
  <si>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</si>
  <si>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https://m.media-amazon.com/images/W/WEBP_402378-T1/images/I/41+3EsgcpzL._SY300_SX300_.jpg</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</si>
  <si>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</si>
  <si>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</si>
  <si>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</si>
  <si>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</si>
  <si>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</si>
  <si>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</si>
  <si>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</si>
  <si>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</si>
  <si>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</si>
  <si>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</si>
  <si>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</si>
  <si>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</si>
  <si>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</si>
  <si>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</si>
  <si>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</si>
  <si>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</si>
  <si>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</si>
  <si>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</si>
  <si>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</si>
  <si>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</si>
  <si>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</si>
  <si>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</si>
  <si>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</si>
  <si>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</si>
  <si>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https://m.media-amazon.com/images/W/WEBP_402378-T1/images/I/41ipWb8mrKL._SX300_SY300_QL70_FMwebp_.jpg</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</si>
  <si>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</si>
  <si>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</si>
  <si>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</si>
  <si>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</si>
  <si>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</si>
  <si>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</si>
  <si>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</si>
  <si>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</si>
  <si>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</si>
  <si>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</si>
  <si>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</si>
  <si>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</si>
  <si>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</si>
  <si>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</si>
  <si>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</si>
  <si>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</si>
  <si>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t>
  </si>
  <si>
    <t>https://m.media-amazon.com/images/I/31-J+oOnb8L._SY300_SX300_.jpg</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</si>
  <si>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</si>
  <si>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</si>
  <si>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</si>
  <si>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</si>
  <si>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</si>
  <si>
    <t>https://m.media-amazon.com/images/I/41P2TNMG-hL._SY300_SX300_QL70_FMwebp_.jpg</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</si>
  <si>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</si>
  <si>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</si>
  <si>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</si>
  <si>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</si>
  <si>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</si>
  <si>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</si>
  <si>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https://m.media-amazon.com/images/I/41Om+JyC4iL._SX300_SY300_.jpg</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</si>
  <si>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</si>
  <si>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</si>
  <si>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</si>
  <si>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</si>
  <si>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</si>
  <si>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</si>
  <si>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</si>
  <si>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</si>
  <si>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</si>
  <si>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</si>
  <si>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</si>
  <si>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</si>
  <si>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</si>
  <si>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</si>
  <si>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</si>
  <si>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</si>
  <si>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t>
  </si>
  <si>
    <t>https://m.media-amazon.com/images/I/51O93lUTxtL._SY300_SX300_QL70_FMwebp_.jpg</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</si>
  <si>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</si>
  <si>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</si>
  <si>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</si>
  <si>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me😊),Just works</t>
  </si>
  <si>
    <t>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</si>
  <si>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</si>
  <si>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</si>
  <si>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</si>
  <si>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</si>
  <si>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</si>
  <si>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</si>
  <si>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</si>
  <si>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https://m.media-amazon.com/images/W/WEBP_402378-T1/images/I/417QOjrqyBL._SY300_SX300_QL70_FMwebp_.jpg</t>
  </si>
  <si>
    <t>https://m.media-amazon.com/images/I/41Rd-jDNOmL._SY445_SX342_QL70_FMwebp_.jpg</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</si>
  <si>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</si>
  <si>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</si>
  <si>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</si>
  <si>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product,अच्छा है।,Nice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</si>
  <si>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</si>
  <si>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</si>
  <si>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</si>
  <si>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</si>
  <si>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</si>
  <si>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</si>
  <si>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</si>
  <si>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</si>
  <si>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</si>
  <si>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</si>
  <si>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</si>
  <si>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 battery health,Did not like,awesome product,Good</t>
  </si>
  <si>
    <t>https://m.media-amazon.com/images/I/71SaXlf9TZL._SY88.jpg,Small cable otherwise good,,I like the product.,Quality is good but after a month immediately I lose 9% of battery health so that’s why I stop using it,Not sturdy, cable will break in just weeks,i suggest this product,Nice</t>
  </si>
  <si>
    <t>https://m.media-amazon.com/images/I/31R8-XSK40L._SX342_SY445_QL70_FMwebp_.jpg</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</si>
  <si>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</si>
  <si>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</si>
  <si>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</si>
  <si>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</si>
  <si>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</si>
  <si>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</si>
  <si>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https://m.media-amazon.com/images/I/41gUqtvpULL._SX300_SY300_QL70_FMwebp_.jpg</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</si>
  <si>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</si>
  <si>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</si>
  <si>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</si>
  <si>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</si>
  <si>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</si>
  <si>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</si>
  <si>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</si>
  <si>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</si>
  <si>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</si>
  <si>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work,It’s Working</t>
  </si>
  <si>
    <t>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t>
  </si>
  <si>
    <t>https://m.media-amazon.com/images/W/WEBP_402378-T1/images/I/41hpz9rFbZL._SX300_SY300_QL70_FMwebp_.jpg</t>
  </si>
  <si>
    <t>https://m.media-amazon.com/images/I/41alINWQKXL._SX300_SY300_QL70_FMwebp_.jpg</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</si>
  <si>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</si>
  <si>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</si>
  <si>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</si>
  <si>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</si>
  <si>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</si>
  <si>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</si>
  <si>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https://m.media-amazon.com/images/W/WEBP_402378-T1/images/I/21jLkYGoSEL._SX300_SY300_QL70_FMwebp_.jpg</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</si>
  <si>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</si>
  <si>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</si>
  <si>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</si>
  <si>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</si>
  <si>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</si>
  <si>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</si>
  <si>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https://m.media-amazon.com/images/I/31Wb+A3VVdL._SY300_SX300_.jpg</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</si>
  <si>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</si>
  <si>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</si>
  <si>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</si>
  <si>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</si>
  <si>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</si>
  <si>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</si>
  <si>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</si>
  <si>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</si>
  <si>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</si>
  <si>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</si>
  <si>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doesn’t work properly.</t>
  </si>
  <si>
    <t>https://m.media-amazon.com/images/W/WEBP_402378-T2/images/I/41R3n7+taUL._SY300_SX300_.jpg</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</si>
  <si>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</si>
  <si>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</si>
  <si>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</si>
  <si>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</si>
  <si>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</si>
  <si>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</si>
  <si>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</si>
  <si>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</si>
  <si>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</si>
  <si>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</si>
  <si>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</si>
  <si>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</si>
  <si>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</si>
  <si>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</si>
  <si>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</si>
  <si>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</si>
  <si>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</si>
  <si>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</si>
  <si>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</si>
  <si>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</si>
  <si>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</si>
  <si>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</si>
  <si>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</si>
  <si>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</si>
  <si>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</si>
  <si>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</si>
  <si>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</si>
  <si>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</si>
  <si>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</si>
  <si>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</si>
  <si>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https://m.media-amazon.com/images/W/WEBP_402378-T1/images/I/419QKVTxaSL._SX300_SY300_QL70_FMwebp_.jpg</t>
  </si>
  <si>
    <t>https://m.media-amazon.com/images/W/WEBP_402378-T1/images/I/41+b6inZEkL._SX300_SY300_.jpg</t>
  </si>
  <si>
    <t>https://m.media-amazon.com/images/W/WEBP_402378-T1/images/I/21WhHd9leXL._SX300_SY300_QL70_FMwebp_.jpg</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</si>
  <si>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</si>
  <si>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</si>
  <si>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</si>
  <si>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</si>
  <si>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</si>
  <si>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</si>
  <si>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</si>
  <si>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</si>
  <si>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</si>
  <si>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</si>
  <si>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</si>
  <si>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</si>
  <si>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https://m.media-amazon.com/images/W/WEBP_402378-T2/images/I/21fnuilweNL._SY445_SX342_QL70_FMwebp_.jpg</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</si>
  <si>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</si>
  <si>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</si>
  <si>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</si>
  <si>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</si>
  <si>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</si>
  <si>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</si>
  <si>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</si>
  <si>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</si>
  <si>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</si>
  <si>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</si>
  <si>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</si>
  <si>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</si>
  <si>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</si>
  <si>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</si>
  <si>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</si>
  <si>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</si>
  <si>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</si>
  <si>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</si>
  <si>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</si>
  <si>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</si>
  <si>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</si>
  <si>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</si>
  <si>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</si>
  <si>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</si>
  <si>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</si>
  <si>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</si>
  <si>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</si>
  <si>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</si>
  <si>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</si>
  <si>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</si>
  <si>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https://m.media-amazon.com/images/I/41agXfR4tqL._SX300_SY300_QL70_FMwebp_.jpg</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</si>
  <si>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</si>
  <si>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</si>
  <si>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</si>
  <si>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</si>
  <si>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one….,Very good sturdy,I am using this in the car and work fine for far, writing this review after 2 weeks.,This cable charge as well transfer data without even any mfi certified,Very Happy with this one,my cable stopped working in a week.,Worth🌱,This material was good</t>
  </si>
  <si>
    <t>https://m.media-amazon.com/images/W/WEBP_402378-T2/images/I/313Ja+mXy6L._SY300_SX300_.jpg</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</si>
  <si>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</si>
  <si>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</si>
  <si>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</si>
  <si>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</si>
  <si>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</si>
  <si>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</si>
  <si>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</si>
  <si>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</si>
  <si>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</si>
  <si>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</si>
  <si>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</si>
  <si>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</si>
  <si>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https://m.media-amazon.com/images/I/41bkm5HhWsL._SY445_SX342_QL70_FMwebp_.jpg</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</si>
  <si>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</si>
  <si>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</si>
  <si>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</si>
  <si>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</si>
  <si>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</si>
  <si>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</si>
  <si>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</si>
  <si>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</si>
  <si>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</si>
  <si>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</si>
  <si>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</si>
  <si>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</si>
  <si>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</si>
  <si>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</si>
  <si>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</si>
  <si>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</si>
  <si>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</si>
  <si>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</si>
  <si>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</si>
  <si>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</si>
  <si>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</si>
  <si>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</si>
  <si>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t>
  </si>
  <si>
    <t>https://m.media-amazon.com/images/W/WEBP_402378-T1/images/I/31IdziegWVL._SX300_SY300_QL70_FMwebp_.jpg</t>
  </si>
  <si>
    <t>https://m.media-amazon.com/images/W/WEBP_402378-T2/images/I/41ECCMs7tjL._SY300_SX300_QL70_FMwebp_.jpg</t>
  </si>
  <si>
    <t>https://m.media-amazon.com/images/W/WEBP_402378-T2/images/I/414P4JCZY-L._SX300_SY300_QL70_FMwebp_.jpg</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</si>
  <si>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</si>
  <si>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</si>
  <si>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</si>
  <si>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</si>
  <si>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</si>
  <si>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</si>
  <si>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</si>
  <si>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</si>
  <si>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</si>
  <si>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</si>
  <si>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</si>
  <si>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</si>
  <si>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</si>
  <si>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</si>
  <si>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</si>
  <si>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</si>
  <si>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t>
  </si>
  <si>
    <t>https://m.media-amazon.com/images/W/WEBP_402378-T2/images/I/31HMoFzGZjL._SY300_SX300_QL70_FMwebp_.jpg</t>
  </si>
  <si>
    <t>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</si>
  <si>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</si>
  <si>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https://m.media-amazon.com/images/I/41EhlNJ-v8L._SX300_SY300_QL70_FMwebp_.jpg</t>
  </si>
  <si>
    <t>https://m.media-amazon.com/images/I/31jSLNakA7L._SY445_SX342_QL70_FMwebp_.jpg</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</si>
  <si>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</si>
  <si>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</si>
  <si>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</si>
  <si>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</si>
  <si>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</si>
  <si>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</si>
  <si>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</si>
  <si>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</si>
  <si>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</si>
  <si>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</si>
  <si>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</si>
  <si>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</si>
  <si>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</si>
  <si>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</si>
  <si>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</si>
  <si>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</si>
  <si>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</si>
  <si>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</si>
  <si>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</si>
  <si>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</si>
  <si>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</si>
  <si>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</si>
  <si>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t>
  </si>
  <si>
    <t>https://m.media-amazon.com/images/I/41vVXPCqnML._SX300_SY300_QL70_FMwebp_.jpg</t>
  </si>
  <si>
    <t>https://m.media-amazon.com/images/I/41JooboBmuL._SX300_SY300_QL70_FMwebp_.jpg</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</si>
  <si>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</si>
  <si>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</si>
  <si>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</si>
  <si>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😎,Gud data cabel....,Very good USB C TO USB C Cable .The one does not entangle to develop fold leading to cracks and cuts,Best,Rigid and high quality,Super durable,Great i have been using for 6 month</t>
  </si>
  <si>
    <t>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</si>
  <si>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</si>
  <si>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</si>
  <si>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</si>
  <si>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</si>
  <si>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</si>
  <si>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</si>
  <si>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</si>
  <si>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https://m.media-amazon.com/images/W/WEBP_402378-T1/images/I/514S7MylddL._SX300_SY300_QL70_FMwebp_.jpg</t>
  </si>
  <si>
    <t>https://m.media-amazon.com/images/I/417MtmtMOvL._SY445_SX342_QL70_FMwebp_.jpg</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</si>
  <si>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</si>
  <si>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</si>
  <si>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</si>
  <si>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</si>
  <si>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t>
  </si>
  <si>
    <t>https://m.media-amazon.com/images/W/WEBP_402378-T1/images/I/41Q5zqyjWPL._SY300_SX300_QL70_FMwebp_.jpg</t>
  </si>
  <si>
    <t>https://m.media-amazon.com/images/W/WEBP_402378-T2/images/I/41CF6GtnpKL._SX300_SY300_QL70_FMwebp_.jpg</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</si>
  <si>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</si>
  <si>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</si>
  <si>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</si>
  <si>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</si>
  <si>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</si>
  <si>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</si>
  <si>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</si>
  <si>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</si>
  <si>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https://m.media-amazon.com/images/W/WEBP_402378-T1/images/I/41IAkUhz1NL._SY300_SX300_QL70_FMwebp_.jpg</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</si>
  <si>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</si>
  <si>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</si>
  <si>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</si>
  <si>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👍,Works fine with Vu smart TV,Good Product. Suitable for VU,Ok, Quality can be improved</t>
  </si>
  <si>
    <t>Not as good as the original remote, but does the job. Really happy with this product,Very light,Good one, working as expected.,Good product,Nice product.....👌 value for money,The quality of the buttons is average, but it does the job. Works fine with Vu smart TV.,Perfect fit for VU tv,Ok</t>
  </si>
  <si>
    <t>https://m.media-amazon.com/images/W/WEBP_402378-T2/images/I/316rtwd6jOL._SX300_SY300_QL70_FMwebp_.jpg</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</si>
  <si>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</si>
  <si>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</si>
  <si>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</si>
  <si>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</si>
  <si>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</si>
  <si>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</si>
  <si>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</si>
  <si>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</si>
  <si>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</si>
  <si>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</si>
  <si>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</si>
  <si>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</si>
  <si>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https://m.media-amazon.com/images/I/31s3DOD2d1L._SY445_SX342_QL70_FMwebp_.jpg</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</si>
  <si>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</si>
  <si>
    <t>https://m.media-amazon.com/images/W/WEBP_402378-T1/images/I/41jh12qGXuL._SX300_SY300_QL70_FMwebp_.jpg</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</si>
  <si>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</si>
  <si>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</si>
  <si>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</si>
  <si>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</si>
  <si>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</si>
  <si>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</si>
  <si>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</si>
  <si>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</si>
  <si>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</si>
  <si>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</si>
  <si>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</si>
  <si>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</si>
  <si>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</si>
  <si>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</si>
  <si>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</si>
  <si>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product,👌🏻Fit, 👍🏻cost wise, 👍🏻👍🏻material.,Wonderful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</si>
  <si>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</si>
  <si>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</si>
  <si>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</si>
  <si>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</si>
  <si>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</si>
  <si>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</si>
  <si>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</si>
  <si>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</si>
  <si>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</si>
  <si>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</si>
  <si>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</si>
  <si>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</si>
  <si>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t>
  </si>
  <si>
    <t>https://m.media-amazon.com/images/W/WEBP_402378-T2/images/I/41qMoS4lfRL._SX300_SY300_QL70_FMwebp_.jpg</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</si>
  <si>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</si>
  <si>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</si>
  <si>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</si>
  <si>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</si>
  <si>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</si>
  <si>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</si>
  <si>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</si>
  <si>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</si>
  <si>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</si>
  <si>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👍,Good quality product my solve screen onn off,Ok,This cable support HDMI arc, but each time we have to select port in TV</t>
  </si>
  <si>
    <t>Perfect hdmi cable for boat soundbar and lg smart tv,This product is overpriced,Value for money &amp; good quality product,Quality product,Good 👍,Good quality,Good,It's ok to purchase for and as arc port</t>
  </si>
  <si>
    <t>https://m.media-amazon.com/images/W/WEBP_402378-T2/images/I/41k0WxE3sKS._SY445_SX342_QL70_FMwebp_.jpg</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</si>
  <si>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</si>
  <si>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</si>
  <si>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</si>
  <si>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</si>
  <si>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</si>
  <si>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</si>
  <si>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</si>
  <si>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</si>
  <si>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</si>
  <si>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</si>
  <si>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it,https://m.media-amazon.com/images/I/71R-NmGhkYL._SY88.jpg,,It’s a nice smart android television support all the web OTT platform,Nice ,product worth for the price</t>
  </si>
  <si>
    <t>https://m.media-amazon.com/images/I/51lDlqmDxQL._SY300_SX300_QL70_FMwebp_.jpg</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</si>
  <si>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</si>
  <si>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</si>
  <si>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</si>
  <si>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</si>
  <si>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</si>
  <si>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</si>
  <si>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</si>
  <si>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</si>
  <si>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</si>
  <si>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</si>
  <si>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t>
  </si>
  <si>
    <t>https://m.media-amazon.com/images/W/WEBP_402378-T2/images/I/31xucq3GGyL._SX300_SY300_QL70_FMwebp_.jpg</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</si>
  <si>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</si>
  <si>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</si>
  <si>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</si>
  <si>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</si>
  <si>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</si>
  <si>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</si>
  <si>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</si>
  <si>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</si>
  <si>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</si>
  <si>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</si>
  <si>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t>
  </si>
  <si>
    <t>https://m.media-amazon.com/images/I/41p+lllC3HL._SY300_SX300_.jpg</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</si>
  <si>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</si>
  <si>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</si>
  <si>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</si>
  <si>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</si>
  <si>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</si>
  <si>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</si>
  <si>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https://m.media-amazon.com/images/I/41WuKPTQhTL._SY300_SX300_QL70_FMwebp_.jpg</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</si>
  <si>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</si>
  <si>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</si>
  <si>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</si>
  <si>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</si>
  <si>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t>
  </si>
  <si>
    <t>https://m.media-amazon.com/images/I/31f4cZdDnJL._SX300_SY300_QL70_FMwebp_.jpg</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</si>
  <si>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</si>
  <si>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</si>
  <si>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</si>
  <si>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</si>
  <si>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t>
  </si>
  <si>
    <t>https://m.media-amazon.com/images/I/31QdoA5bJAL._SX300_SY300_QL70_FMwebp_.jpg</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</si>
  <si>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</si>
  <si>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</si>
  <si>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</si>
  <si>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</si>
  <si>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good,,Good,अच्छा,Only for home drama and cinema experienceGood to buy in this price rangeReview after two months its working fine without any issues,</t>
  </si>
  <si>
    <t>https://m.media-amazon.com/images/I/41YDz0uQZaL._SY300_SX300_QL70_FMwebp_.jpg</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</si>
  <si>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</si>
  <si>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</si>
  <si>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</si>
  <si>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</si>
  <si>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</si>
  <si>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</si>
  <si>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</si>
  <si>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</si>
  <si>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</si>
  <si>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</si>
  <si>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</si>
  <si>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</si>
  <si>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</si>
  <si>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</si>
  <si>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</si>
  <si>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</si>
  <si>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</si>
  <si>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</si>
  <si>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</si>
  <si>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</si>
  <si>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</si>
  <si>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</si>
  <si>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t>
  </si>
  <si>
    <t>https://m.media-amazon.com/images/I/41ovRStbxUL._SX300_SY300_QL70_FMwebp_.jpg</t>
  </si>
  <si>
    <t>https://m.media-amazon.com/images/I/41eHLj-wfGL._SX300_SY300_QL70_FMwebp_.jpg</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</si>
  <si>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</si>
  <si>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</si>
  <si>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</si>
  <si>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</si>
  <si>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</si>
  <si>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</si>
  <si>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</si>
  <si>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</si>
  <si>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</si>
  <si>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</si>
  <si>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</si>
  <si>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</si>
  <si>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</si>
  <si>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</si>
  <si>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</si>
  <si>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</si>
  <si>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</si>
  <si>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</si>
  <si>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</si>
  <si>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</si>
  <si>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</si>
  <si>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</si>
  <si>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</si>
  <si>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</si>
  <si>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</si>
  <si>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</si>
  <si>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</si>
  <si>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</si>
  <si>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</si>
  <si>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</si>
  <si>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</si>
  <si>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</si>
  <si>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</si>
  <si>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</si>
  <si>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</si>
  <si>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</si>
  <si>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</si>
  <si>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</si>
  <si>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</si>
  <si>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</si>
  <si>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</si>
  <si>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</si>
  <si>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</si>
  <si>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</si>
  <si>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</si>
  <si>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</si>
  <si>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months,Boat💕,Nice product,Worth a buy,Really satisfying quality and product is still working fine.,Worth itSame as original,Not worthy,Thik aaw</t>
  </si>
  <si>
    <t>https://m.media-amazon.com/images/I/41VKU5Lkg3L._SX300_SY300_QL70_FMwebp_.jpg</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</si>
  <si>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</si>
  <si>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</si>
  <si>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</si>
  <si>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</si>
  <si>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</si>
  <si>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</si>
  <si>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</si>
  <si>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</si>
  <si>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</si>
  <si>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</si>
  <si>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</si>
  <si>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</si>
  <si>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</si>
  <si>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</si>
  <si>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</si>
  <si>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💰,Display and build,Good Sound and pictures,Good product 👍,Good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</si>
  <si>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</si>
  <si>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</si>
  <si>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</si>
  <si>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</si>
  <si>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</si>
  <si>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👍,Sound quality not good,Appropriate,Good</t>
  </si>
  <si>
    <t>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</si>
  <si>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</si>
  <si>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</si>
  <si>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</si>
  <si>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</si>
  <si>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</si>
  <si>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get👍👍,No syncing needed, just put batteries in and use it</t>
  </si>
  <si>
    <t>https://m.media-amazon.com/images/I/4173mQ7F-mL._SX300_SY300_QL70_FMwebp_.jpg</t>
  </si>
  <si>
    <t>https://m.media-amazon.com/images/W/WEBP_402378-T2/images/I/31q4l5k9uOL._SX300_SY300_QL70_FMwebp_.jpg</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</si>
  <si>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</si>
  <si>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</si>
  <si>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</si>
  <si>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</si>
  <si>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</si>
  <si>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</si>
  <si>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</si>
  <si>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</si>
  <si>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</si>
  <si>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can’t find the original this comes handy.,No voice communication,Acceptable for the price,Bad finish, but good product,No,voice recognition is not available,Nice Remote,worked find keys are hard</t>
  </si>
  <si>
    <t>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</si>
  <si>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</si>
  <si>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</si>
  <si>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</si>
  <si>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</si>
  <si>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</si>
  <si>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</si>
  <si>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</si>
  <si>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</si>
  <si>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</si>
  <si>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</si>
  <si>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</si>
  <si>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t>
  </si>
  <si>
    <t>https://m.media-amazon.com/images/W/WEBP_402378-T2/images/I/41FQPJ+s61L._SX342_SY445_.jpg</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</si>
  <si>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</si>
  <si>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</si>
  <si>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</si>
  <si>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</si>
  <si>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</si>
  <si>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</si>
  <si>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https://m.media-amazon.com/images/W/WEBP_402378-T2/images/I/31VemHkewfL._SX300_SY300_QL70_FMwebp_.jpg</t>
  </si>
  <si>
    <t>https://m.media-amazon.com/images/I/41etMsrKqTL._SX300_SY300_QL70_FMwebp_.jpg</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</si>
  <si>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</si>
  <si>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</si>
  <si>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</si>
  <si>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</si>
  <si>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</si>
  <si>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</si>
  <si>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</si>
  <si>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</si>
  <si>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</si>
  <si>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</si>
  <si>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</si>
  <si>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</si>
  <si>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</si>
  <si>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</si>
  <si>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</si>
  <si>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</si>
  <si>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t>
  </si>
  <si>
    <t>https://m.media-amazon.com/images/W/WEBP_402378-T2/images/I/41rEpW57SyL._SX300_SY300_QL70_FMwebp_.jpg</t>
  </si>
  <si>
    <t>https://m.media-amazon.com/images/I/317rlQQXhYL._SX300_SY300_QL70_FMwebp_.jpg</t>
  </si>
  <si>
    <t>https://m.media-amazon.com/images/W/WEBP_402378-T1/images/I/41pOYlC-U8L._SX300_SY300_QL70_FMwebp_.jpg</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</si>
  <si>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</si>
  <si>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</si>
  <si>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</si>
  <si>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</si>
  <si>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t>
  </si>
  <si>
    <t>https://m.media-amazon.com/images/I/31qs7auuBKL._SY445_SX342_QL70_FMwebp_.jpg</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</si>
  <si>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</si>
  <si>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</si>
  <si>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</si>
  <si>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</si>
  <si>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</si>
  <si>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</si>
  <si>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</si>
  <si>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</si>
  <si>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</si>
  <si>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</si>
  <si>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t>
  </si>
  <si>
    <t>https://m.media-amazon.com/images/I/31x9nSr-rqL._SY300_SX300_QL70_FMwebp_.jpg</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</si>
  <si>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</si>
  <si>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</si>
  <si>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</si>
  <si>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</si>
  <si>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</si>
  <si>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</si>
  <si>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</si>
  <si>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</si>
  <si>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</si>
  <si>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</si>
  <si>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</si>
  <si>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</si>
  <si>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https://m.media-amazon.com/images/W/WEBP_402378-T1/images/I/31-ACQj+oDL._SY445_SX342_.jpg</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</si>
  <si>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</si>
  <si>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</si>
  <si>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</si>
  <si>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</si>
  <si>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</si>
  <si>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</si>
  <si>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https://m.media-amazon.com/images/W/WEBP_402378-T2/images/I/41pdZIhY+gL._SY300_SX300_.jpg</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</si>
  <si>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</si>
  <si>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</si>
  <si>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</si>
  <si>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</si>
  <si>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</si>
  <si>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</si>
  <si>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https://m.media-amazon.com/images/W/WEBP_402378-T1/images/I/31mfWNStU9L._SX300_SY300_QL70_FMwebp_.jpg</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</si>
  <si>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</si>
  <si>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</si>
  <si>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</si>
  <si>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</si>
  <si>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</si>
  <si>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</si>
  <si>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</si>
  <si>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</si>
  <si>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</si>
  <si>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</si>
  <si>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</si>
  <si>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</si>
  <si>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https://m.media-amazon.com/images/W/WEBP_402378-T1/images/I/41DXzzwydTL._SX300_SY300_QL70_FMwebp_.jpg</t>
  </si>
  <si>
    <t>https://m.media-amazon.com/images/W/WEBP_402378-T2/images/I/31vIaLbBXmL._SY445_SX342_QL70_FMwebp_.jpg</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</si>
  <si>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</si>
  <si>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</si>
  <si>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</si>
  <si>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</si>
  <si>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t>
  </si>
  <si>
    <t>https://m.media-amazon.com/images/W/WEBP_402378-T2/images/I/315sEpeo50L._SX300_SY300_QL70_FMwebp_.jpg</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</si>
  <si>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</si>
  <si>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</si>
  <si>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</si>
  <si>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</si>
  <si>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</si>
  <si>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</si>
  <si>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https://m.media-amazon.com/images/W/WEBP_402378-T1/images/I/515t5K7hdqL._SY300_SX300_QL70_FMwebp_.jpg</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</si>
  <si>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</si>
  <si>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</si>
  <si>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</si>
  <si>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</si>
  <si>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</si>
  <si>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</si>
  <si>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</si>
  <si>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</si>
  <si>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</si>
  <si>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</si>
  <si>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</si>
  <si>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</si>
  <si>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</si>
  <si>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</si>
  <si>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</si>
  <si>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</si>
  <si>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</si>
  <si>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</si>
  <si>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</si>
  <si>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</si>
  <si>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</si>
  <si>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</si>
  <si>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</si>
  <si>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</si>
  <si>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https://m.media-amazon.com/images/I/51aFoI9nNZL._SY300_SX300_QL70_FMwebp_.jpg</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</si>
  <si>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</si>
  <si>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</si>
  <si>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</si>
  <si>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</si>
  <si>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</si>
  <si>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</si>
  <si>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https://m.media-amazon.com/images/W/WEBP_402378-T1/images/I/41+tGYXUN8L._SX342_SY445_.jpg</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</si>
  <si>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</si>
  <si>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</si>
  <si>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</si>
  <si>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it’s so good,Not bad ok,Very good👍👍,Very Nice</t>
  </si>
  <si>
    <t>Tv is good in this price range,It's an excellent product for this price range,Good,Picture quality is good,Amazing product sound quality is okay and smart features is little bit slow but it’s okay overall ✅ love this product,Ok super work,Good product,</t>
  </si>
  <si>
    <t>https://m.media-amazon.com/images/W/WEBP_402378-T2/images/I/51HNUsgY29L._SY300_SX300_QL70_FMwebp_.jpg</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</si>
  <si>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</si>
  <si>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</si>
  <si>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</si>
  <si>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</si>
  <si>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</si>
  <si>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</si>
  <si>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</si>
  <si>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</si>
  <si>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</si>
  <si>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😞😞,Remote very 👎 bad,Doesn’t works at all, material quality isn’t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</si>
  <si>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t>
  </si>
  <si>
    <t>https://m.media-amazon.com/images/W/WEBP_402378-T1/images/I/31GCzAA+FyL._SY300_SX300_.jpg</t>
  </si>
  <si>
    <t>https://m.media-amazon.com/images/W/WEBP_402378-T1/images/I/41Y9XnzBHTL._SY300_SX300_QL70_FMwebp_.jpg</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</si>
  <si>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</si>
  <si>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</si>
  <si>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</si>
  <si>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</si>
  <si>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</si>
  <si>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</si>
  <si>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https://m.media-amazon.com/images/W/WEBP_402378-T2/images/I/41giUEJJGDL._SY300_SX300_QL70_FMwebp_.jpg</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</si>
  <si>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</si>
  <si>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</si>
  <si>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</si>
  <si>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</si>
  <si>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</si>
  <si>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</si>
  <si>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</si>
  <si>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</si>
  <si>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</si>
  <si>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</si>
  <si>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t>
  </si>
  <si>
    <t>https://m.media-amazon.com/images/W/WEBP_402378-T2/images/I/51iQQPQSiGL._SX300_SY300_QL70_FMwebp_.jpg</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</si>
  <si>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</si>
  <si>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</si>
  <si>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</si>
  <si>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</si>
  <si>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</si>
  <si>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</si>
  <si>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</si>
  <si>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</si>
  <si>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</si>
  <si>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</si>
  <si>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</si>
  <si>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</si>
  <si>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https://m.media-amazon.com/images/W/WEBP_402378-T2/images/I/51dOjIreG4L._SX300_SY300_QL70_FMwebp_.jpg</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</si>
  <si>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</si>
  <si>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</si>
  <si>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</si>
  <si>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</si>
  <si>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</si>
  <si>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</si>
  <si>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</si>
  <si>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https://m.media-amazon.com/images/W/WEBP_402378-T2/images/I/31XFe74gRjL._SX300_SY300_QL70_FMwebp_.jpg</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</si>
  <si>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</si>
  <si>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</si>
  <si>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</si>
  <si>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</si>
  <si>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</si>
  <si>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</si>
  <si>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</si>
  <si>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</si>
  <si>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</si>
  <si>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</si>
  <si>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</si>
  <si>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</si>
  <si>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</si>
  <si>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</si>
  <si>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</si>
  <si>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</si>
  <si>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</si>
  <si>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</si>
  <si>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https://m.media-amazon.com/images/W/WEBP_402378-T1/images/I/41AUgZQAs5L._SX300_SY300_QL70_FMwebp_.jpg</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</si>
  <si>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</si>
  <si>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</si>
  <si>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</si>
  <si>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</si>
  <si>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</si>
  <si>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</si>
  <si>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</si>
  <si>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</si>
  <si>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</si>
  <si>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</si>
  <si>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</si>
  <si>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</si>
  <si>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</si>
  <si>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</si>
  <si>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</si>
  <si>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</si>
  <si>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t>
  </si>
  <si>
    <t>https://m.media-amazon.com/images/I/41uqZs26+oL._SY300_SX300_.jpg</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</si>
  <si>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</si>
  <si>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</si>
  <si>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</si>
  <si>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👍,Best the hdmi cable,Exactly as discribed, enchanced Quality</t>
  </si>
  <si>
    <t>As mention in description, its awesome.,Nice,Good lengthy with good Metalic body on jack side., Difference can't find with older cable.,Great Stuff and superb quality,Good product,Nice 👍,I am like the hdmi cable,</t>
  </si>
  <si>
    <t>https://m.media-amazon.com/images/I/41+BBk2fGcL._SX342_SY445_.jpg</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</si>
  <si>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</si>
  <si>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</si>
  <si>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</si>
  <si>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</si>
  <si>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</si>
  <si>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</si>
  <si>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</si>
  <si>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</si>
  <si>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</si>
  <si>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</si>
  <si>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</si>
  <si>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</si>
  <si>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</si>
  <si>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</si>
  <si>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</si>
  <si>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</si>
  <si>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</si>
  <si>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</si>
  <si>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</si>
  <si>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</si>
  <si>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</si>
  <si>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</si>
  <si>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</si>
  <si>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</si>
  <si>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</si>
  <si>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</si>
  <si>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</si>
  <si>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</si>
  <si>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</si>
  <si>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</si>
  <si>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</si>
  <si>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</si>
  <si>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</si>
  <si>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Nice,सानदार है,Received damaged product,Good quality product,It's very good.,101% fake lava usb,Average product,Costless</t>
  </si>
  <si>
    <t>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</si>
  <si>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</si>
  <si>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https://m.media-amazon.com/images/I/51aZN040THL._SX300_SY300_QL70_FMwebp_.jpg</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</si>
  <si>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</si>
  <si>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</si>
  <si>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</si>
  <si>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</si>
  <si>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</si>
  <si>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</si>
  <si>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</si>
  <si>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</si>
  <si>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</si>
  <si>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</si>
  <si>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</si>
  <si>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</si>
  <si>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</si>
  <si>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</si>
  <si>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</si>
  <si>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</si>
  <si>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</si>
  <si>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</si>
  <si>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</si>
  <si>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</si>
  <si>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</si>
  <si>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</si>
  <si>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</si>
  <si>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</si>
  <si>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</si>
  <si>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</si>
  <si>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</si>
  <si>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</si>
  <si>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</si>
  <si>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</si>
  <si>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</si>
  <si>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</si>
  <si>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</si>
  <si>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</si>
  <si>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</si>
  <si>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</si>
  <si>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</si>
  <si>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</si>
  <si>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</si>
  <si>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</si>
  <si>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</si>
  <si>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</si>
  <si>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</si>
  <si>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</si>
  <si>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</si>
  <si>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</si>
  <si>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</si>
  <si>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https://m.media-amazon.com/images/I/41bO-mGKk+L._SY300_SX300_.jpg</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</si>
  <si>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</si>
  <si>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</si>
  <si>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</si>
  <si>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</si>
  <si>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</si>
  <si>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</si>
  <si>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</si>
  <si>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</si>
  <si>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</si>
  <si>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☺️,Don't buy</t>
  </si>
  <si>
    <t>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</si>
  <si>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</si>
  <si>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</si>
  <si>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</si>
  <si>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</si>
  <si>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</si>
  <si>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</si>
  <si>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</si>
  <si>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</si>
  <si>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</si>
  <si>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</si>
  <si>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</si>
  <si>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</si>
  <si>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</si>
  <si>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</si>
  <si>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</si>
  <si>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</si>
  <si>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👌,Price very high,Value for money,Perfect Snug Fit,Must buy,Nice,It's a good and solid fit</t>
  </si>
  <si>
    <t>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t>
  </si>
  <si>
    <t>https://m.media-amazon.com/images/W/WEBP_402378-T1/images/I/213GZPC7uwL._SX300_SY300_QL70_FMwebp_.jpg</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</si>
  <si>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</si>
  <si>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</si>
  <si>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</si>
  <si>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</si>
  <si>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t>
  </si>
  <si>
    <t>https://m.media-amazon.com/images/W/WEBP_402378-T2/images/I/31WPRa-K7GL._SY445_SX342_QL70_FMwebp_.jpg</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</si>
  <si>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</si>
  <si>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</si>
  <si>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</si>
  <si>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</si>
  <si>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</si>
  <si>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</si>
  <si>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</si>
  <si>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</si>
  <si>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</si>
  <si>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</si>
  <si>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</si>
  <si>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</si>
  <si>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</si>
  <si>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</si>
  <si>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</si>
  <si>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</si>
  <si>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</si>
  <si>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</si>
  <si>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</si>
  <si>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</si>
  <si>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</si>
  <si>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</si>
  <si>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</si>
  <si>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</si>
  <si>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</si>
  <si>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</si>
  <si>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</si>
  <si>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</si>
  <si>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</si>
  <si>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</si>
  <si>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</si>
  <si>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</si>
  <si>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</si>
  <si>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</si>
  <si>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</si>
  <si>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</si>
  <si>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</si>
  <si>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</si>
  <si>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</si>
  <si>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</si>
  <si>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t>
  </si>
  <si>
    <t>https://m.media-amazon.com/images/I/51UuhCYmBnL._SY300_SX300_QL70_FMwebp_.jpg</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</si>
  <si>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</si>
  <si>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</si>
  <si>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</si>
  <si>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</si>
  <si>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</si>
  <si>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</si>
  <si>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https://m.media-amazon.com/images/I/41sSPp4pkYL._SY300_SX300_QL70_FMwebp_.jpg</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</si>
  <si>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</si>
  <si>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</si>
  <si>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</si>
  <si>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</si>
  <si>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</si>
  <si>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</si>
  <si>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https://m.media-amazon.com/images/W/WEBP_402378-T2/images/I/41xL87ElgjL._SY300_SX300_QL70_FMwebp_.jpg</t>
  </si>
  <si>
    <t>https://m.media-amazon.com/images/I/31FmMK7a9PL._SY445_SX342_QL70_FMwebp_.jpg</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</si>
  <si>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</si>
  <si>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</si>
  <si>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</si>
  <si>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small,ನೀವು ಕಳುಹಿಸಿದ ವಸ್ತು ಸರಿಯಾಗಿ ಕೆಲಸ ಮಾಡುತ್ತಿಲ,Sturdy,Good,Works perfectly with Airtel HD set up box,Item is value for money.,,On Off button doesn’t work.</t>
  </si>
  <si>
    <t>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t>
  </si>
  <si>
    <t>https://m.media-amazon.com/images/W/WEBP_402378-T1/images/I/31Lfjbfc47L._SX300_SY300_QL70_FMwebp_.jpg</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</si>
  <si>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</si>
  <si>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</si>
  <si>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</si>
  <si>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☺️,Cable is short,Good,All channel  view nice,Very fast and good service,Ok,The product was 🙌</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</si>
  <si>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</si>
  <si>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</si>
  <si>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</si>
  <si>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</si>
  <si>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</si>
  <si>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 you can go for it ♥️,Excellent Product,Yup good in all over</t>
  </si>
  <si>
    <t>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</si>
  <si>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</si>
  <si>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</si>
  <si>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</si>
  <si>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</si>
  <si>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💰,Display and build,Good Sound and pictures,Good product 👍,Good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</si>
  <si>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</si>
  <si>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</si>
  <si>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</si>
  <si>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</si>
  <si>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</si>
  <si>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</si>
  <si>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</si>
  <si>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</si>
  <si>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</si>
  <si>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</si>
  <si>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</si>
  <si>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</si>
  <si>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</si>
  <si>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</si>
  <si>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</si>
  <si>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</si>
  <si>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</si>
  <si>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</si>
  <si>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</si>
  <si>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</si>
  <si>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</si>
  <si>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</si>
  <si>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</si>
  <si>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👍,Value of money,nice product,Good product,Super value for money,Awesome product,Product itv</t>
  </si>
  <si>
    <t>[Update: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</si>
  <si>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</si>
  <si>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</si>
  <si>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</si>
  <si>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</si>
  <si>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banks,👍,Nice product,Performance is OK,Very Slim &amp; easy to carry,Decent product,GOAT</t>
  </si>
  <si>
    <t>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</si>
  <si>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</si>
  <si>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</si>
  <si>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</si>
  <si>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</si>
  <si>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</si>
  <si>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</si>
  <si>
    <t>https://m.media-amazon.com/images/I/41Wd9J6nfpL._SX300_SY300_QL70_ML2_.jpg</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</si>
  <si>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</si>
  <si>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</si>
  <si>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</si>
  <si>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</si>
  <si>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</si>
  <si>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</si>
  <si>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https://m.media-amazon.com/images/I/41qLZhKF5ZL._SX300_SY300_QL70_ML2_.jpg</t>
  </si>
  <si>
    <t>https://m.media-amazon.com/images/I/41CB1rnC5tL._SX300_SY300_QL70_ML2_.jpg</t>
  </si>
  <si>
    <t>https://m.media-amazon.com/images/I/41JM3Ra+tiL._SY300_SX300_.jpg</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</si>
  <si>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</si>
  <si>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</si>
  <si>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</si>
  <si>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</si>
  <si>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</si>
  <si>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</si>
  <si>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</si>
  <si>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</si>
  <si>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</si>
  <si>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</si>
  <si>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</si>
  <si>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</si>
  <si>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</si>
  <si>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</si>
  <si>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</si>
  <si>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</si>
  <si>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</si>
  <si>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</si>
  <si>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</si>
  <si>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</si>
  <si>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</si>
  <si>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Product,Ok,उपयोगी एवं संतोषजनक,Ok in this price range,Battery,It is a good watch,Nice watch,Average</t>
  </si>
  <si>
    <t>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t>
  </si>
  <si>
    <t>https://m.media-amazon.com/images/I/41rxRY5TDSL._SX300_SY300_QL70_ML2_.jpg</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</si>
  <si>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</si>
  <si>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</si>
  <si>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</si>
  <si>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</si>
  <si>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</si>
  <si>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</si>
  <si>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</si>
  <si>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</si>
  <si>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</si>
  <si>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</si>
  <si>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t>
  </si>
  <si>
    <t>https://m.media-amazon.com/images/I/41kg-+XWoxL._SY300_SX300_.jpg</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</si>
  <si>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</si>
  <si>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</si>
  <si>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</si>
  <si>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liking😅,A good deal under Rs.800/-,Worth the price,Itam damage,Le skte hain,Nice product👍👍,Nice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</si>
  <si>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t>
  </si>
  <si>
    <t>https://m.media-amazon.com/images/I/41KBaLUTYHL._SX300_SY300_QL70_ML2_.jpg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</si>
  <si>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</si>
  <si>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</si>
  <si>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</si>
  <si>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money,ठीक-ठाक hai ☺️,Overall review,Good</t>
  </si>
  <si>
    <t>Camera and display is very poor quality and battery 🔋 is very good nothing bad,Nice phone at reasonable price.,Good,NICE,Value for money,Theek hai 🥰,Not bad,Good</t>
  </si>
  <si>
    <t>https://m.media-amazon.com/images/I/41WpD4fqT4L._SX300_SY300_QL70_ML2_.jpg</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</si>
  <si>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</si>
  <si>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</si>
  <si>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</si>
  <si>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</si>
  <si>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</si>
  <si>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</si>
  <si>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</si>
  <si>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</si>
  <si>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</si>
  <si>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</si>
  <si>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</si>
  <si>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</si>
  <si>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https://m.media-amazon.com/images/I/413qMt0RdpL._SY300_SX300_QL70_ML2_.jpg</t>
  </si>
  <si>
    <t>https://m.media-amazon.com/images/I/41IcuNkyrdL._SX300_SY300_QL70_ML2_.jpg</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</si>
  <si>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</si>
  <si>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</si>
  <si>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</si>
  <si>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</si>
  <si>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</si>
  <si>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</si>
  <si>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https://m.media-amazon.com/images/I/21luyw7JrrL._SX300_SY300_QL70_ML2_.jpg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</si>
  <si>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</si>
  <si>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</si>
  <si>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</si>
  <si>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</si>
  <si>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</si>
  <si>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</si>
  <si>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</si>
  <si>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</si>
  <si>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</si>
  <si>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</si>
  <si>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</si>
  <si>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</si>
  <si>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</si>
  <si>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</si>
  <si>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</si>
  <si>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</si>
  <si>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</si>
  <si>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</si>
  <si>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</si>
  <si>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</si>
  <si>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</si>
  <si>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</si>
  <si>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</si>
  <si>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</si>
  <si>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AHJJY3GFDJFTDTX5536IMIXVNCNQ,AEYIVONPYGGVCE7K4Y3PNQPKVHSQ</t>
  </si>
  <si>
    <t>Atulya Sinha,SujayZ™️☑️</t>
  </si>
  <si>
    <t>R36UIGIQWYOKT,RISUCL5YV9EZN</t>
  </si>
  <si>
    <t>THE PERFECT PHONE – FOR MY REQUIREMENTS,Galaxy M33 5G a mixed bag of Affordability</t>
  </si>
  <si>
    <t>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</si>
  <si>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</si>
  <si>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https://m.media-amazon.com/images/I/41aV2T7qLgL._SY300_SX300_QL70_ML2_.jpg</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</si>
  <si>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</si>
  <si>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</si>
  <si>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</si>
  <si>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</si>
  <si>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</si>
  <si>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</si>
  <si>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https://m.media-amazon.com/images/I/41mzbWC6AkL._SX300_SY300_QL70_ML2_.jpg</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</si>
  <si>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</si>
  <si>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</si>
  <si>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</si>
  <si>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</si>
  <si>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</si>
  <si>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</si>
  <si>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https://m.media-amazon.com/images/I/419KF2t1nML._SX300_SY300_QL70_ML2_.jpg</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</si>
  <si>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</si>
  <si>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</si>
  <si>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</si>
  <si>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</si>
  <si>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</si>
  <si>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</si>
  <si>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https://m.media-amazon.com/images/I/41ivjqdXb0L._SX300_SY300_QL70_ML2_.jpg</t>
  </si>
  <si>
    <t>https://m.media-amazon.com/images/I/51UsScvHQNL._SX300_SY300_QL70_ML2_.jpg</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</si>
  <si>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</si>
  <si>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</si>
  <si>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</si>
  <si>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</si>
  <si>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</si>
  <si>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</si>
  <si>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https://m.media-amazon.com/images/I/41i7LM0pGwL._SX300_SY300_QL70_ML2_.jpg</t>
  </si>
  <si>
    <t>https://m.media-amazon.com/images/I/410VGCE+q2L._SY300_SX300_.jpg</t>
  </si>
  <si>
    <t>https://m.media-amazon.com/images/I/41wNAXmtvIL._SX300_SY300_QL70_ML2_.jpg</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</si>
  <si>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</si>
  <si>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</si>
  <si>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</si>
  <si>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</si>
  <si>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</si>
  <si>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</si>
  <si>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</si>
  <si>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</si>
  <si>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</si>
  <si>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</si>
  <si>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</si>
  <si>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</si>
  <si>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</si>
  <si>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</si>
  <si>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https://m.media-amazon.com/images/I/31zOsqQOAOL._SY445_SX342_QL70_ML2_.jpg</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</si>
  <si>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</si>
  <si>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</si>
  <si>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</si>
  <si>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</si>
  <si>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</si>
  <si>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</si>
  <si>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</si>
  <si>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</si>
  <si>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https://m.media-amazon.com/images/I/41Fq27ZjJfL._SX300_SY300_QL70_ML2_.jpg</t>
  </si>
  <si>
    <t>https://m.media-amazon.com/images/I/41VcqwZ-O8L._SX300_SY300_QL70_ML2_.jpg</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</si>
  <si>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</si>
  <si>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</si>
  <si>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</si>
  <si>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beast,♥️👌Super fast charging, 1 hour main full charge, dono mobile hi fast charge hote hai.,Nice product,Super fast charger,Very Good!!</t>
  </si>
  <si>
    <t>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</si>
  <si>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</si>
  <si>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</si>
  <si>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</si>
  <si>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</si>
  <si>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</si>
  <si>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</si>
  <si>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</si>
  <si>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</si>
  <si>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</si>
  <si>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</si>
  <si>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</si>
  <si>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</si>
  <si>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</si>
  <si>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https://m.media-amazon.com/images/I/41-CKEKnjyL._SX300_SY300_QL70_ML2_.jpg</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</si>
  <si>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</si>
  <si>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</si>
  <si>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</si>
  <si>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</si>
  <si>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</si>
  <si>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</si>
  <si>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</si>
  <si>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</si>
  <si>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</si>
  <si>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</si>
  <si>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</si>
  <si>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</si>
  <si>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</si>
  <si>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</si>
  <si>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</si>
  <si>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</si>
  <si>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</si>
  <si>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</si>
  <si>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</si>
  <si>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</si>
  <si>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</si>
  <si>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</si>
  <si>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t>
  </si>
  <si>
    <t>https://m.media-amazon.com/images/I/41NuSTFXerL._SX300_SY300_QL70_ML2_.jpg</t>
  </si>
  <si>
    <t>https://m.media-amazon.com/images/I/41Coma77U+L._SY300_SX300_.jpg</t>
  </si>
  <si>
    <t>https://m.media-amazon.com/images/I/411q-oMvehL._SX300_SY300_QL70_ML2_.jpg</t>
  </si>
  <si>
    <t>https://m.media-amazon.com/images/I/41V5FtEWPkL._SX300_SY300_QL70_ML2_.jpg</t>
  </si>
  <si>
    <t>https://m.media-amazon.com/images/I/31VzNhhqifL._SX300_SY300_QL70_ML2_.jpg</t>
  </si>
  <si>
    <t>AFLMOZFV4PMKSM3JHJ7ITUT6OVBA,AE2TS2DBYLAJ5WY6FFWFNXFY24SQ</t>
  </si>
  <si>
    <t>Goutham Giridhar Kamath,Antara M.</t>
  </si>
  <si>
    <t>R1X7186WUECR3,RIXG2KYOQHKVB</t>
  </si>
  <si>
    <t>Let's bust some myth,IQOO Neo 6 5G –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</si>
  <si>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</si>
  <si>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</si>
  <si>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</si>
  <si>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</si>
  <si>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</si>
  <si>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</si>
  <si>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</si>
  <si>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</si>
  <si>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</si>
  <si>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</si>
  <si>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</si>
  <si>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</si>
  <si>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</si>
  <si>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</si>
  <si>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</si>
  <si>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</si>
  <si>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</si>
  <si>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</si>
  <si>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t>
  </si>
  <si>
    <t>https://m.media-amazon.com/images/I/31R6RP26dzL._SY300_SX300_QL70_ML2_.jpg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</si>
  <si>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</si>
  <si>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</si>
  <si>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</si>
  <si>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</si>
  <si>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t>
  </si>
  <si>
    <t>https://m.media-amazon.com/images/I/31wqydqbA9L._SX300_SY300_QL70_ML2_.jpg</t>
  </si>
  <si>
    <t>https://m.media-amazon.com/images/I/413sCRKobNL._SX300_SY300_QL70_ML2_.jpg</t>
  </si>
  <si>
    <t>https://m.media-amazon.com/images/I/31qVddHyy5L._SX300_SY300_QL70_ML2_.jpg</t>
  </si>
  <si>
    <t>https://m.media-amazon.com/images/I/41iVkyHeTUL._SX300_SY300_QL70_ML2_.jpg</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</si>
  <si>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</si>
  <si>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</si>
  <si>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</si>
  <si>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</si>
  <si>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</si>
  <si>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</si>
  <si>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</si>
  <si>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</si>
  <si>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</si>
  <si>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</si>
  <si>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</si>
  <si>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</si>
  <si>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</si>
  <si>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</si>
  <si>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</si>
  <si>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</si>
  <si>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</si>
  <si>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</si>
  <si>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</si>
  <si>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</si>
  <si>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</si>
  <si>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</si>
  <si>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</si>
  <si>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</si>
  <si>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</si>
  <si>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</si>
  <si>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</si>
  <si>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</si>
  <si>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t>
  </si>
  <si>
    <t>https://m.media-amazon.com/images/I/41nf9n-v3pL._SX300_SY300_QL70_ML2_.jpg</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</si>
  <si>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</si>
  <si>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</si>
  <si>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</si>
  <si>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</si>
  <si>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</si>
  <si>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</si>
  <si>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</si>
  <si>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</si>
  <si>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</si>
  <si>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</si>
  <si>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</si>
  <si>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</si>
  <si>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</si>
  <si>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</si>
  <si>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</si>
  <si>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</si>
  <si>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</si>
  <si>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</si>
  <si>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</si>
  <si>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</si>
  <si>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</si>
  <si>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</si>
  <si>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</si>
  <si>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</si>
  <si>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https://m.media-amazon.com/images/I/41w5fk8Vl6L._SX300_SY300_QL70_ML2_.jpg</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</si>
  <si>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</si>
  <si>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</si>
  <si>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</si>
  <si>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</si>
  <si>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</si>
  <si>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</si>
  <si>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https://m.media-amazon.com/images/I/31P2d7102lL._SY300_SX300_QL70_ML2_.jpg</t>
  </si>
  <si>
    <t>AFAKEZV7KMVT2SGF4KYWXGQRIW4A,AE33MAZWYRVAAICGNACZAIWACK7Q,AGBITVO2DOMNZU6DB4QF2WXXELLA,AFNFUGSKHFEN7D2XJICFYQIK62VQ,AH3HGPTMWGF4FTGDEKIODKTU5RCA,AEMKH7NSGFU5YGYOC54RHG54WHXQ,AGUTBT3QDFUJECX3SI4FAX647CZA,AGZJITIDEQNYDGVCPZDNXLBYDYYA</t>
  </si>
  <si>
    <t>Vikrant,Ganesh Gholap,⚡ Pushpendra Singh Patel ⚡,Gaurav,sumegh,Jigar,Dhruba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</si>
  <si>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</si>
  <si>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</si>
  <si>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t>
  </si>
  <si>
    <t>https://m.media-amazon.com/images/I/31RktQKvhoL._SX300_SY300_QL70_ML2_.jpg</t>
  </si>
  <si>
    <t>https://m.media-amazon.com/images/I/41jlwEZpa5L._SX300_SY300_QL70_ML2_.jpg</t>
  </si>
  <si>
    <t>https://m.media-amazon.com/images/I/41Vj+8XWIQL._SY300_SX300_.jpg</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</si>
  <si>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</si>
  <si>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</si>
  <si>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</si>
  <si>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Alexa,👍,Good product,I don't have flashlight function and speaker is not working,Nice,It's little cost,Wach not working</t>
  </si>
  <si>
    <t>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t>
  </si>
  <si>
    <t>https://m.media-amazon.com/images/I/41pfjyUPZLL._SX300_SY300_QL70_ML2_.jpg</t>
  </si>
  <si>
    <t>https://m.media-amazon.com/images/I/41R9fDKo6iL._SX300_SY300_QL70_ML2_.jpg</t>
  </si>
  <si>
    <t>https://m.media-amazon.com/images/I/31XO-wfGGGL._SX300_SY300_QL70_ML2_.jpg</t>
  </si>
  <si>
    <t>https://m.media-amazon.com/images/I/31kj3q4SepL._SY445_SX342_QL70_ML2_.jpg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</si>
  <si>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</si>
  <si>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</si>
  <si>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</si>
  <si>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</si>
  <si>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</si>
  <si>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</si>
  <si>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</si>
  <si>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</si>
  <si>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</si>
  <si>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</si>
  <si>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t>
  </si>
  <si>
    <t>https://m.media-amazon.com/images/I/511g3fIVsqL._SY300_SX300_QL70_ML2_.jpg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</si>
  <si>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</si>
  <si>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</si>
  <si>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</si>
  <si>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</si>
  <si>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</si>
  <si>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</si>
  <si>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https://m.media-amazon.com/images/I/410TBgL2KXL._SX300_SY300_QL70_ML2_.jpg</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</si>
  <si>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</si>
  <si>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</si>
  <si>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</si>
  <si>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</si>
  <si>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</si>
  <si>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</si>
  <si>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</si>
  <si>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</si>
  <si>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</si>
  <si>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</si>
  <si>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</si>
  <si>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</si>
  <si>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</si>
  <si>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</si>
  <si>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</si>
  <si>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</si>
  <si>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</si>
  <si>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</si>
  <si>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</si>
  <si>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</si>
  <si>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</si>
  <si>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</si>
  <si>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</si>
  <si>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</si>
  <si>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https://m.media-amazon.com/images/I/41Yylo75u7L._SX300_SY300_QL70_ML2_.jpg</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</si>
  <si>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</si>
  <si>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</si>
  <si>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</si>
  <si>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</si>
  <si>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</si>
  <si>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</si>
  <si>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</si>
  <si>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</si>
  <si>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</si>
  <si>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</si>
  <si>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</si>
  <si>
    <t>https://m.media-amazon.com/images/I/31mbyi7ocJL._SX300_SY300_QL70_ML2_.jpg</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</si>
  <si>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</si>
  <si>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</si>
  <si>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</si>
  <si>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</si>
  <si>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</si>
  <si>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</si>
  <si>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https://m.media-amazon.com/images/I/31YFSh7g63L._SX300_SY300_QL70_ML2_.jpg</t>
  </si>
  <si>
    <t>https://m.media-amazon.com/images/I/41o7qy-j6KL._SX300_SY300_QL70_ML2_.jpg</t>
  </si>
  <si>
    <t>https://m.media-amazon.com/images/I/41Lif4YWC2L._SX300_SY300_QL70_ML2_.jpg</t>
  </si>
  <si>
    <t>https://m.media-amazon.com/images/I/41SDfuK7L2L._SX300_SY300_QL70_ML2_.jpg</t>
  </si>
  <si>
    <t>https://m.media-amazon.com/images/I/31oA0-q5UzL._SX300_SY300_QL70_ML2_.jpg</t>
  </si>
  <si>
    <t>https://m.media-amazon.com/images/I/41fNkwj-vnL._SX300_SY300_QL70_ML2_.jpg</t>
  </si>
  <si>
    <t>https://m.media-amazon.com/images/I/41iHN9Y07cS._SX300_SY300_QL70_ML2_.jpg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</si>
  <si>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</si>
  <si>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</si>
  <si>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</si>
  <si>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</si>
  <si>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t>
  </si>
  <si>
    <t>https://m.media-amazon.com/images/I/41Usew0lrWL._SX300_SY300_QL70_ML2_.jpg</t>
  </si>
  <si>
    <t>AHECNVXSW6REC5TOGBH6OJXIBL4A,AFWAX2O5B5I36ESHPOWZKN25BYPA,AHSDH2Q4Q2QSUYUGEAGPIR22MT7Q,AFSJOIQSSLDDJPOWX3DDKXDA6T5A,AGUXZXNTCLWNP7Y5QA2KYEJLBMKA,AHOZLLUCMPI33IIR3Z5Y7UT2LCLQ,AGBT7W456GGMVOR73SNSIGLSK5DQ,AGYF2BCD5W756VOY2V5HJQCX4H4A</t>
  </si>
  <si>
    <t>Ankita Dwivedi,Malathi Alunkar,Shubham♎,Oishi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</si>
  <si>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</si>
  <si>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</si>
  <si>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</si>
  <si>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</si>
  <si>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</si>
  <si>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</si>
  <si>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</si>
  <si>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</si>
  <si>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t>
  </si>
  <si>
    <t>https://m.media-amazon.com/images/I/41XtHlbmOHL._SX300_SY300_QL70_ML2_.jpg</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</si>
  <si>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</si>
  <si>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</si>
  <si>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</si>
  <si>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</si>
  <si>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</si>
  <si>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</si>
  <si>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</si>
  <si>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</si>
  <si>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</si>
  <si>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</si>
  <si>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</si>
  <si>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</si>
  <si>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https://m.media-amazon.com/images/I/31J6qGhAL9L._SX300_SY300_QL70_ML2_.jpg</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</si>
  <si>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</si>
  <si>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</si>
  <si>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</si>
  <si>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</si>
  <si>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</si>
  <si>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</si>
  <si>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https://m.media-amazon.com/images/I/41R08zLK69L._SX300_SY300_QL70_ML2_.jpg</t>
  </si>
  <si>
    <t>https://m.media-amazon.com/images/I/41fjUA7leTL._SX300_SY300_QL70_ML2_.jpg</t>
  </si>
  <si>
    <t>https://m.media-amazon.com/images/I/4141l8ZBWXL._SX300_SY300_QL70_ML2_.jpg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</si>
  <si>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</si>
  <si>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</si>
  <si>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</si>
  <si>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</si>
  <si>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t>
  </si>
  <si>
    <t>https://m.media-amazon.com/images/I/51EiPNlJDgL._SX300_SY300_QL70_ML2_.jpg</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</si>
  <si>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</si>
  <si>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</si>
  <si>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</si>
  <si>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</si>
  <si>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t>
  </si>
  <si>
    <t>https://m.media-amazon.com/images/I/31jgUvSar0L._SX300_SY300_QL70_ML2_.jpg</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</si>
  <si>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</si>
  <si>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</si>
  <si>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</si>
  <si>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</si>
  <si>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</si>
  <si>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</si>
  <si>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</si>
  <si>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</si>
  <si>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</si>
  <si>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</si>
  <si>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</si>
  <si>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</si>
  <si>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</si>
  <si>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</si>
  <si>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</si>
  <si>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low.,Good,ভালো,Damaged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</si>
  <si>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t>
  </si>
  <si>
    <t>https://m.media-amazon.com/images/I/41k-VlGbYnL._SX300_SY300_QL70_ML2_.jpg</t>
  </si>
  <si>
    <t>I like it 👍👍,Best charging power . I used this cable on note 8 pro mi. Using 8month also fast working.,350 might be a little expensive but physically it’s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</si>
  <si>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</si>
  <si>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https://m.media-amazon.com/images/I/41S7tnENirL._SX300_SY300_QL70_ML2_.jpg</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</si>
  <si>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</si>
  <si>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</si>
  <si>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</si>
  <si>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</si>
  <si>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</si>
  <si>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</si>
  <si>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https://m.media-amazon.com/images/I/41TZJiPRRwL._SX300_SY300_QL70_ML2_.jpg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</si>
  <si>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</si>
  <si>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</si>
  <si>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</si>
  <si>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It’s Money!🔥,Nice quality, but comes with a price!,Easiest to install,Easy to install,Worth every penny!,Worth it,Good but costly,Totally worth it</t>
  </si>
  <si>
    <t>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</si>
  <si>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</si>
  <si>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https://m.media-amazon.com/images/I/41d84o5-M-L._SY445_SX342_QL70_ML2_.jpg</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</si>
  <si>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</si>
  <si>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</si>
  <si>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</si>
  <si>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</si>
  <si>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</si>
  <si>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</si>
  <si>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</si>
  <si>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</si>
  <si>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</si>
  <si>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transfer,ਮਜ਼ਬੂਤ,Good Quality but less Power Delivery,Fantastic!,Good,Not useful,Doesn't fit properly,Boat ⛵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</si>
  <si>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</si>
  <si>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</si>
  <si>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https://m.media-amazon.com/images/I/41P4Al+S3zL._SY300_SX300_.jpg</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</si>
  <si>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</si>
  <si>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</si>
  <si>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</si>
  <si>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</si>
  <si>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</si>
  <si>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</si>
  <si>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</si>
  <si>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</si>
  <si>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</si>
  <si>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</si>
  <si>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</si>
  <si>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</si>
  <si>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</si>
  <si>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</si>
  <si>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</si>
  <si>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</si>
  <si>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t>
  </si>
  <si>
    <t>https://m.media-amazon.com/images/I/31hDWwY8iWL._SX300_SY300_QL70_ML2_.jpg</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</si>
  <si>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</si>
  <si>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</si>
  <si>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</si>
  <si>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</si>
  <si>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t>
  </si>
  <si>
    <t>https://m.media-amazon.com/images/I/41PNVbmQdfL._SX300_SY300_QL70_ML2_.jpg</t>
  </si>
  <si>
    <t>https://m.media-amazon.com/images/I/31qGpf8uzuL._SY445_SX342_QL70_ML2_.jpg</t>
  </si>
  <si>
    <t>https://m.media-amazon.com/images/I/31kLQHU5pdL._SX300_SY300_QL70_ML2_.jpg</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</si>
  <si>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</si>
  <si>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</si>
  <si>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</si>
  <si>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</si>
  <si>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</si>
  <si>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</si>
  <si>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https://m.media-amazon.com/images/I/3187gPkT6GL._SX300_SY300_QL70_ML2_.jpg</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</si>
  <si>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</si>
  <si>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</si>
  <si>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</si>
  <si>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 I'm happy,Best buy in the reasonable price,Great product,product review MI charger!!,MI mobile charger,Top quality charger. Original MI brand. Do buy it if you need a B type charge,Good charger</t>
  </si>
  <si>
    <t>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</si>
  <si>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</si>
  <si>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https://m.media-amazon.com/images/I/41vMaBVWDjL._SX300_SY300_QL70_ML2_.jpg</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</si>
  <si>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</si>
  <si>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</si>
  <si>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</si>
  <si>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</si>
  <si>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</si>
  <si>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</si>
  <si>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https://m.media-amazon.com/images/I/31tWzHMz6vL._SY445_SX342_QL70_ML2_.jpg</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</si>
  <si>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</si>
  <si>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</si>
  <si>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</si>
  <si>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</si>
  <si>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</si>
  <si>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</si>
  <si>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</si>
  <si>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</si>
  <si>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</si>
  <si>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</si>
  <si>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</si>
  <si>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</si>
  <si>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</si>
  <si>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</si>
  <si>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</si>
  <si>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</si>
  <si>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</si>
  <si>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</si>
  <si>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</si>
  <si>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</si>
  <si>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</si>
  <si>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</si>
  <si>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</si>
  <si>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</si>
  <si>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https://m.media-amazon.com/images/I/41BDYVKRmWL._SX300_SY300_QL70_ML2_.jpg</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</si>
  <si>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</si>
  <si>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</si>
  <si>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</si>
  <si>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</si>
  <si>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</si>
  <si>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</si>
  <si>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</si>
  <si>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</si>
  <si>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</si>
  <si>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</si>
  <si>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</si>
  <si>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</si>
  <si>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</si>
  <si>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</si>
  <si>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</si>
  <si>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</si>
  <si>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t>
  </si>
  <si>
    <t>https://m.media-amazon.com/images/I/416+IXsM9lL._SY300_SX300_.jpg</t>
  </si>
  <si>
    <t>https://m.media-amazon.com/images/I/41Bj3iYflTL._SX300_SY300_QL70_ML2_.jpg</t>
  </si>
  <si>
    <t>https://m.media-amazon.com/images/I/41XUW74HLlL._SX300_SY300_QL70_ML2_.jpg</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</si>
  <si>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</si>
  <si>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</si>
  <si>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</si>
  <si>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</si>
  <si>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</si>
  <si>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</si>
  <si>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</si>
  <si>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</si>
  <si>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</si>
  <si>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</si>
  <si>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</si>
  <si>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</si>
  <si>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https://m.media-amazon.com/images/I/4121yWSVFmL._SX300_SY300_QL70_ML2_.jpg</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</si>
  <si>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</si>
  <si>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</si>
  <si>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</si>
  <si>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</si>
  <si>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</si>
  <si>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</si>
  <si>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</si>
  <si>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</si>
  <si>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</si>
  <si>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</si>
  <si>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</si>
  <si>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</si>
  <si>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https://m.media-amazon.com/images/I/4177nw8okbL._SX300_SY300_QL70_ML2_.jpg</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</si>
  <si>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</si>
  <si>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</si>
  <si>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</si>
  <si>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</si>
  <si>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</si>
  <si>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</si>
  <si>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https://m.media-amazon.com/images/I/41GXZy6dLIL._SX300_SY300_QL70_ML2_.jpg</t>
  </si>
  <si>
    <t>https://m.media-amazon.com/images/I/41g54hBpHkL._SY300_SX300_QL70_ML2_.jpg</t>
  </si>
  <si>
    <t>https://m.media-amazon.com/images/I/41vjHoqVHJL._SX300_SY300_QL70_ML2_.jpg</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</si>
  <si>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</si>
  <si>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</si>
  <si>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</si>
  <si>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👍,Thik thak,Avarage,Smart watch,They can improve more</t>
  </si>
  <si>
    <t>I really like this product. Gifted to my sister, and she likes it,Great ⌚,Good product,Nice 👍,Thik hai,In this price range it's ok product,Color so nice..I loved it,Need some more features:(</t>
  </si>
  <si>
    <t>https://m.media-amazon.com/images/I/41zs4v3adaL._SX300_SY300_QL70_ML2_.jpg</t>
  </si>
  <si>
    <t>https://m.media-amazon.com/images/I/417k0DCw0GL._SX300_SY300_QL70_ML2_.jpg</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</si>
  <si>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</si>
  <si>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</si>
  <si>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</si>
  <si>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buy,👍👍,It's  good,Low battery life and it's okay to buy,Superb 😘,Good,Good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</si>
  <si>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</si>
  <si>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</si>
  <si>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</si>
  <si>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</si>
  <si>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</si>
  <si>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</si>
  <si>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</si>
  <si>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</si>
  <si>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https://m.media-amazon.com/images/I/31ew3okQR2L._SX300_SY300_QL70_ML2_.jpg</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</si>
  <si>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</si>
  <si>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</si>
  <si>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</si>
  <si>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</si>
  <si>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</si>
  <si>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</si>
  <si>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https://m.media-amazon.com/images/I/412DrCgktiL._SX300_SY300_QL70_ML2_.jpg</t>
  </si>
  <si>
    <t>https://m.media-amazon.com/images/I/41-IPkI1Y5L._SX300_SY300_QL70_ML2_.jpg</t>
  </si>
  <si>
    <t>https://m.media-amazon.com/images/I/3183iGEWksL._SX300_SY300_QL70_ML2_.jpg</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</si>
  <si>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</si>
  <si>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</si>
  <si>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</si>
  <si>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</si>
  <si>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</si>
  <si>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</si>
  <si>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</si>
  <si>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</si>
  <si>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</si>
  <si>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</si>
  <si>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</si>
  <si>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</si>
  <si>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https://m.media-amazon.com/images/I/41R0DrIbTNL._SX300_SY300_QL70_ML2_.jpg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</si>
  <si>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</si>
  <si>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</si>
  <si>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</si>
  <si>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</si>
  <si>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</si>
  <si>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</si>
  <si>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https://m.media-amazon.com/images/I/31+GLbqRPtL._SY300_SX300_.jpg</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</si>
  <si>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</si>
  <si>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</si>
  <si>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</si>
  <si>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</si>
  <si>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👍🏼,Good,Fulfil purpose, easy to carry, solid material. Think it will last long.,Nice,Liked the product. Easy to carry, portable,  foldable, lightweight.,Good</t>
  </si>
  <si>
    <t>https://m.media-amazon.com/images/I/31xJT-3ZAkL._SX300_SY300_QL70_ML2_.jpg</t>
  </si>
  <si>
    <t>https://m.media-amazon.com/images/I/41LDspRanIL._SX300_SY300_QL70_ML2_.jpg</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</si>
  <si>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</si>
  <si>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</si>
  <si>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</si>
  <si>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</si>
  <si>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</si>
  <si>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</si>
  <si>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</si>
  <si>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</si>
  <si>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</si>
  <si>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🙂👍,Great product,Good product,Works well enough, it isn’t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</si>
  <si>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t>
  </si>
  <si>
    <t>https://m.media-amazon.com/images/I/41bFp+Wev+L._SY300_SX300_.jpg</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</si>
  <si>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</si>
  <si>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</si>
  <si>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</si>
  <si>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</si>
  <si>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</si>
  <si>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</si>
  <si>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</si>
  <si>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</si>
  <si>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</si>
  <si>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</si>
  <si>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</si>
  <si>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</si>
  <si>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</si>
  <si>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</si>
  <si>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</si>
  <si>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</si>
  <si>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</si>
  <si>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</si>
  <si>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</si>
  <si>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</si>
  <si>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</si>
  <si>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</si>
  <si>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</si>
  <si>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</si>
  <si>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https://m.media-amazon.com/images/I/41sJ50FH9OL._SX300_SY300_QL70_ML2_.jpg</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</si>
  <si>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</si>
  <si>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</si>
  <si>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</si>
  <si>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</si>
  <si>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</si>
  <si>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</si>
  <si>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</si>
  <si>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</si>
  <si>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</si>
  <si>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</si>
  <si>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</si>
  <si>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</si>
  <si>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</si>
  <si>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</si>
  <si>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</si>
  <si>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</si>
  <si>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</si>
  <si>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</si>
  <si>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</si>
  <si>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</si>
  <si>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</si>
  <si>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</si>
  <si>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t>
  </si>
  <si>
    <t>https://m.media-amazon.com/images/I/41zejggGzLL._SX300_SY300_QL70_ML2_.jpg</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</si>
  <si>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</si>
  <si>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</si>
  <si>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</si>
  <si>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It’s worth,Good,Iphone 18w adapter.,The product is good to use,Nice,Excellent,Very useful and excellent product at an very affordable price. tag,Affordable price, Great deal!</t>
  </si>
  <si>
    <t>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</si>
  <si>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</si>
  <si>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</si>
  <si>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</si>
  <si>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</si>
  <si>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</si>
  <si>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</si>
  <si>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</si>
  <si>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https://m.media-amazon.com/images/I/31kw1RgU5yL._SX300_SY300_QL70_ML2_.jpg</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</si>
  <si>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</si>
  <si>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</si>
  <si>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</si>
  <si>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</si>
  <si>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</si>
  <si>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</si>
  <si>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</si>
  <si>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</si>
  <si>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</si>
  <si>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</si>
  <si>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t>
  </si>
  <si>
    <t>https://m.media-amazon.com/images/I/4155YhLwDiL._SX300_SY300_QL70_ML2_.jpg</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</si>
  <si>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</si>
  <si>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</si>
  <si>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</si>
  <si>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</si>
  <si>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</si>
  <si>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</si>
  <si>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</si>
  <si>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</si>
  <si>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</si>
  <si>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👽,Overall good,Good performance oriented phone,An all Rounder in the &lt; 30k segment,All good, battery life could be better.,A good Phone with few disadvantages.,Value for Money product,❤️</t>
  </si>
  <si>
    <t>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</si>
  <si>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</si>
  <si>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</si>
  <si>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</si>
  <si>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</si>
  <si>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 nice</t>
  </si>
  <si>
    <t>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t>
  </si>
  <si>
    <t>https://m.media-amazon.com/images/I/41lnTFZGz9L._SX300_SY300_QL70_ML2_.jpg</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</si>
  <si>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</si>
  <si>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</si>
  <si>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</si>
  <si>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t>
  </si>
  <si>
    <t>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t>
  </si>
  <si>
    <t>https://m.media-amazon.com/images/I/41UhF7l9I4L._SX300_SY300_QL70_ML2_.jpg</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</si>
  <si>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</si>
  <si>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</si>
  <si>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</si>
  <si>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</si>
  <si>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</si>
  <si>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</si>
  <si>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</si>
  <si>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</si>
  <si>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</si>
  <si>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</si>
  <si>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</si>
  <si>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</si>
  <si>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</si>
  <si>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</si>
  <si>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</si>
  <si>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</si>
  <si>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</si>
  <si>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</si>
  <si>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</si>
  <si>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</si>
  <si>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</si>
  <si>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</si>
  <si>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</si>
  <si>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</si>
  <si>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</si>
  <si>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</si>
  <si>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</si>
  <si>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</si>
  <si>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</si>
  <si>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</si>
  <si>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</si>
  <si>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</si>
  <si>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</si>
  <si>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</si>
  <si>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</si>
  <si>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</si>
  <si>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</si>
  <si>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</si>
  <si>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</si>
  <si>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</si>
  <si>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</si>
  <si>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</si>
  <si>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</si>
  <si>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</si>
  <si>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</si>
  <si>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</si>
  <si>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</si>
  <si>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</si>
  <si>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https://m.media-amazon.com/images/I/31gNcDrEskL._SX300_SY300_QL70_ML2_.jpg</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</si>
  <si>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</si>
  <si>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</si>
  <si>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</si>
  <si>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</si>
  <si>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</si>
  <si>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</si>
  <si>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</si>
  <si>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</si>
  <si>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</si>
  <si>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</si>
  <si>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</si>
  <si>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</si>
  <si>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https://m.media-amazon.com/images/I/41GwFR981CL._SX300_SY300_QL70_ML2_.jpg</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</si>
  <si>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</si>
  <si>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</si>
  <si>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</si>
  <si>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</si>
  <si>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one❤️,Value for money,https://m.media-amazon.com/images/I/71veEcoG5-L._SY88.jpg,Phone works well.</t>
  </si>
  <si>
    <t>https://m.media-amazon.com/images/I/41ynwpRq+kL._SY300_SX300_.jpg</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</si>
  <si>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</si>
  <si>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</si>
  <si>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</si>
  <si>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don’t mind the edges,Recommended !!,Looks premium,Real value for money however I wish there would have been stronger adhesive,Its a genuine product,Precision!,Does the job perfectly,A perfect fit for iPhone 13 and has transparent edges too.</t>
  </si>
  <si>
    <t>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</si>
  <si>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</si>
  <si>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https://m.media-amazon.com/images/I/31-BRsjrvDL._SY300_SX300_QL70_ML2_.jpg</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</si>
  <si>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</si>
  <si>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</si>
  <si>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</si>
  <si>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</si>
  <si>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</si>
  <si>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</si>
  <si>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https://m.media-amazon.com/images/I/41gFqSHngyL._SX300_SY300_QL70_ML2_.jpg</t>
  </si>
  <si>
    <t>https://m.media-amazon.com/images/I/31Iuz7jlfqL._SX300_SY300_QL70_ML2_.jpg</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</si>
  <si>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</si>
  <si>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</si>
  <si>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</si>
  <si>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</si>
  <si>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</si>
  <si>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</si>
  <si>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</si>
  <si>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</si>
  <si>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</si>
  <si>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</si>
  <si>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</si>
  <si>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</si>
  <si>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https://m.media-amazon.com/images/I/31x3IUfMneL._SX300_SY300_QL70_ML2_.jpg</t>
  </si>
  <si>
    <t>https://m.media-amazon.com/images/I/31l-eZHBfKL._SX300_SY300_QL70_ML2_.jpg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</si>
  <si>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</si>
  <si>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</si>
  <si>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</si>
  <si>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</si>
  <si>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</si>
  <si>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</si>
  <si>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</si>
  <si>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</si>
  <si>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</si>
  <si>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Buy,Ók,Nice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</si>
  <si>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</si>
  <si>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</si>
  <si>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</si>
  <si>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</si>
  <si>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</si>
  <si>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</si>
  <si>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</si>
  <si>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</si>
  <si>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https://m.media-amazon.com/images/I/41dtbrNRHdL._SX300_SY300_QL70_ML2_.jpg</t>
  </si>
  <si>
    <t>AFQ7AUYJOIE2HH63KIUQK45ENQ2A,AHT7TTZ5JOTUL7CYSG5BBVPKD37A,AFB2AKARKRKHAB2PUCALX2GXOM3A</t>
  </si>
  <si>
    <t>Prabhanjan,Chittiprolu Ramya,Litu prasada mahanty</t>
  </si>
  <si>
    <t>R33M2Q7OES3GBK,R125QF7WMZW3NW,RMDVRDSEK73L8</t>
  </si>
  <si>
    <t>Quality product,Excellent, it's fast charging,After 12 days not working 😔</t>
  </si>
  <si>
    <t>Product works well and charges the devices in a quick mannerValue for money.,I like this product,Not working 😔 after 12 days</t>
  </si>
  <si>
    <t>https://m.media-amazon.com/images/I/31poWDDorOL._SY300_SX300_QL70_ML2_.jpg</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</si>
  <si>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</si>
  <si>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</si>
  <si>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</si>
  <si>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</si>
  <si>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</si>
  <si>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</si>
  <si>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</si>
  <si>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</si>
  <si>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</si>
  <si>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</si>
  <si>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t>
  </si>
  <si>
    <t>https://m.media-amazon.com/images/I/31zYqHExOPS._SX300_SY300_QL70_ML2_.jpg</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</si>
  <si>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</si>
  <si>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</si>
  <si>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</si>
  <si>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</si>
  <si>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</si>
  <si>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</si>
  <si>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</si>
  <si>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</si>
  <si>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</si>
  <si>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</si>
  <si>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</si>
  <si>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</si>
  <si>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https://m.media-amazon.com/images/I/41pmcRIe45L._SX300_SY300_QL70_ML2_.jpg</t>
  </si>
  <si>
    <t>https://m.media-amazon.com/images/I/41Ims-JX0kL._SX300_SY300_QL70_ML2_.jpg</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</si>
  <si>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</si>
  <si>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</si>
  <si>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</si>
  <si>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</si>
  <si>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</si>
  <si>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</si>
  <si>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</si>
  <si>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</si>
  <si>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</si>
  <si>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</si>
  <si>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t>
  </si>
  <si>
    <t>https://m.media-amazon.com/images/I/217Lv1D3bHL._SX300_SY300_QL70_ML2_.jpg</t>
  </si>
  <si>
    <t>https://m.media-amazon.com/images/I/31IdiM9ZM8L._SX300_SY300_QL70_FMwebp_.jpg</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</si>
  <si>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</si>
  <si>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</si>
  <si>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</si>
  <si>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</si>
  <si>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</si>
  <si>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</si>
  <si>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https://m.media-amazon.com/images/I/41sHRWXCfvL._SX300_SY300_QL70_FMwebp_.jpg</t>
  </si>
  <si>
    <t>https://m.media-amazon.com/images/I/41d69zua5LL._SX300_SY300_QL70_FMwebp_.jpg</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</si>
  <si>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</si>
  <si>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</si>
  <si>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</si>
  <si>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</si>
  <si>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</si>
  <si>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</si>
  <si>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</si>
  <si>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</si>
  <si>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</si>
  <si>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</si>
  <si>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</si>
  <si>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</si>
  <si>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</si>
  <si>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</si>
  <si>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</si>
  <si>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</si>
  <si>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t>
  </si>
  <si>
    <t>https://m.media-amazon.com/images/I/51YTmlApiXL._SX300_SY300_QL70_FMwebp_.jpg</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</si>
  <si>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</si>
  <si>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</si>
  <si>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</si>
  <si>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</si>
  <si>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</si>
  <si>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</si>
  <si>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</si>
  <si>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</si>
  <si>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</si>
  <si>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 Good As Compared to Market Products,Totally is good 😊</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</si>
  <si>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t>
  </si>
  <si>
    <t>https://m.media-amazon.com/images/I/41EbxurQIDL._SX300_SY300_QL70_FMwebp_.jpg</t>
  </si>
  <si>
    <t>https://m.media-amazon.com/images/I/41ML8ZbPiiL._SY300_SX300_QL70_FMwebp_.jpg</t>
  </si>
  <si>
    <t>https://m.media-amazon.com/images/W/WEBP_402378-T2/images/I/41Peg4pz7fL._SX300_SY300_QL70_FMwebp_.jpg</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</si>
  <si>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</si>
  <si>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</si>
  <si>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</si>
  <si>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</si>
  <si>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</si>
  <si>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</si>
  <si>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</si>
  <si>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</si>
  <si>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</si>
  <si>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</si>
  <si>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</si>
  <si>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</si>
  <si>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</si>
  <si>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</si>
  <si>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</si>
  <si>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</si>
  <si>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</si>
  <si>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</si>
  <si>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https://m.media-amazon.com/images/W/WEBP_402378-T2/images/I/31NnmYempPL._SX300_SY300_QL70_FMwebp_.jpg</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</si>
  <si>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</si>
  <si>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</si>
  <si>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</si>
  <si>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</si>
  <si>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</si>
  <si>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</si>
  <si>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</si>
  <si>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</si>
  <si>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</si>
  <si>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Product,Ok,उपयोगी एवं संतोषजनक,Ok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</si>
  <si>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t>
  </si>
  <si>
    <t>https://m.media-amazon.com/images/W/WEBP_402378-T1/images/I/41rxRY5TDSL._SX300_SY300_QL70_FMwebp_.jpg</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</si>
  <si>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</si>
  <si>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</si>
  <si>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</si>
  <si>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</si>
  <si>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</si>
  <si>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</si>
  <si>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</si>
  <si>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</si>
  <si>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</si>
  <si>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</si>
  <si>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t>
  </si>
  <si>
    <t>https://m.media-amazon.com/images/W/WEBP_402378-T2/images/I/41oSVnJMFKL._SX300_SY300_QL70_FMwebp_.jpg</t>
  </si>
  <si>
    <t>https://m.media-amazon.com/images/W/WEBP_402378-T2/images/I/41LZP1CmYRL._SX300_SY300_QL70_FMwebp_.jpg</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</si>
  <si>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</si>
  <si>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</si>
  <si>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</si>
  <si>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</si>
  <si>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t>
  </si>
  <si>
    <t>https://m.media-amazon.com/images/I/31febYa30qL._SX300_SY300_QL70_FMwebp_.jpg</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</si>
  <si>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</si>
  <si>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</si>
  <si>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</si>
  <si>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</si>
  <si>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</si>
  <si>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</si>
  <si>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</si>
  <si>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</si>
  <si>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</si>
  <si>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</si>
  <si>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</si>
  <si>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</si>
  <si>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https://m.media-amazon.com/images/W/WEBP_402378-T1/images/I/41qqmdUWnhL._SX300_SY300_QL70_FMwebp_.jpg</t>
  </si>
  <si>
    <t>https://m.media-amazon.com/images/W/WEBP_402378-T2/images/I/41ApzUQQFVL._SX300_SY300_QL70_FMwebp_.jpg</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</si>
  <si>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</si>
  <si>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</si>
  <si>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</si>
  <si>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</si>
  <si>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t>
  </si>
  <si>
    <t>https://m.media-amazon.com/images/I/31DbAD6EoCL._SX300_SY300_QL70_FMwebp_.jpg</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</si>
  <si>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</si>
  <si>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</si>
  <si>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</si>
  <si>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</si>
  <si>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</si>
  <si>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</si>
  <si>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</si>
  <si>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</si>
  <si>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</si>
  <si>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</si>
  <si>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</si>
  <si>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</si>
  <si>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</si>
  <si>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</si>
  <si>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</si>
  <si>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</si>
  <si>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</si>
  <si>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</si>
  <si>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</si>
  <si>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</si>
  <si>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</si>
  <si>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</si>
  <si>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</si>
  <si>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</si>
  <si>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https://m.media-amazon.com/images/W/WEBP_402378-T2/images/I/51UsScvHQNL._SX300_SY300_QL70_FMwebp_.jpg</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</si>
  <si>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</si>
  <si>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</si>
  <si>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</si>
  <si>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</si>
  <si>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</si>
  <si>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</si>
  <si>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</si>
  <si>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</si>
  <si>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</si>
  <si>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</si>
  <si>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</si>
  <si>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</si>
  <si>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</si>
  <si>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</si>
  <si>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</si>
  <si>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</si>
  <si>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</si>
  <si>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</si>
  <si>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</si>
  <si>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</si>
  <si>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</si>
  <si>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</si>
  <si>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</si>
  <si>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</si>
  <si>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https://m.media-amazon.com/images/I/41r1d8a2WGL._SX300_SY300_QL70_FMwebp_.jpg</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</si>
  <si>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</si>
  <si>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</si>
  <si>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</si>
  <si>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</si>
  <si>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t>
  </si>
  <si>
    <t>https://m.media-amazon.com/images/I/41dNRo8Hu8L._SX300_SY300_QL70_FMwebp_.jpg</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</si>
  <si>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</si>
  <si>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</si>
  <si>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</si>
  <si>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</si>
  <si>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</si>
  <si>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</si>
  <si>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</si>
  <si>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</si>
  <si>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</si>
  <si>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</si>
  <si>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</si>
  <si>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</si>
  <si>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</si>
  <si>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</si>
  <si>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</si>
  <si>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</si>
  <si>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</si>
  <si>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</si>
  <si>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</si>
  <si>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</si>
  <si>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</si>
  <si>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</si>
  <si>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</si>
  <si>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</si>
  <si>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</si>
  <si>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</si>
  <si>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</si>
  <si>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🙂,Good product,Good product at this price.,Not for gaming,Good product.</t>
  </si>
  <si>
    <t>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</si>
  <si>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</si>
  <si>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https://m.media-amazon.com/images/W/WEBP_402378-T1/images/I/41V5FtEWPkL._SX300_SY300_QL70_FMwebp_.jpg</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</si>
  <si>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</si>
  <si>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</si>
  <si>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</si>
  <si>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</si>
  <si>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</si>
  <si>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</si>
  <si>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</si>
  <si>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</si>
  <si>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</si>
  <si>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</si>
  <si>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t>
  </si>
  <si>
    <t>https://m.media-amazon.com/images/I/41Fm0YcrDqL._SX300_SY300_QL70_FMwebp_.jpg</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</si>
  <si>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</si>
  <si>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</si>
  <si>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</si>
  <si>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</si>
  <si>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</si>
  <si>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</si>
  <si>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https://m.media-amazon.com/images/I/31VzNhhqifL._SX300_SY300_QL70_FMwebp_.jpg</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</si>
  <si>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</si>
  <si>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</si>
  <si>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</si>
  <si>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</si>
  <si>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</si>
  <si>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</si>
  <si>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https://m.media-amazon.com/images/W/WEBP_402378-T1/images/I/41lQan54SPL._SX300_SY300_QL70_FMwebp_.jpg</t>
  </si>
  <si>
    <t>https://m.media-amazon.com/images/I/41MmsYTi06L._SX300_SY300_QL70_FMwebp_.jpg</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</si>
  <si>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</si>
  <si>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</si>
  <si>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</si>
  <si>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</si>
  <si>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</si>
  <si>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</si>
  <si>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</si>
  <si>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</si>
  <si>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</si>
  <si>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</si>
  <si>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</si>
  <si>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</si>
  <si>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</si>
  <si>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</si>
  <si>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</si>
  <si>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</si>
  <si>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</si>
  <si>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</si>
  <si>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</si>
  <si>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</si>
  <si>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</si>
  <si>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</si>
  <si>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t>
  </si>
  <si>
    <t>https://m.media-amazon.com/images/W/WEBP_402378-T1/images/I/41nGG6kJr9L._SX300_SY300_QL70_FMwebp_.jpg</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</si>
  <si>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</si>
  <si>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</si>
  <si>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</si>
  <si>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 NOT VALUE FOR 💸💰,Good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</si>
  <si>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</si>
  <si>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</si>
  <si>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</si>
  <si>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</si>
  <si>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</si>
  <si>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</si>
  <si>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t>
  </si>
  <si>
    <t>https://m.media-amazon.com/images/I/31R6RP26dzL._SY300_SX300_QL70_FMwebp_.jpg</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</si>
  <si>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</si>
  <si>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</si>
  <si>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</si>
  <si>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</si>
  <si>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</si>
  <si>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</si>
  <si>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https://m.media-amazon.com/images/I/41nf9n-v3pL._SX300_SY300_QL70_FMwebp_.jpg</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</si>
  <si>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</si>
  <si>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</si>
  <si>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</si>
  <si>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</si>
  <si>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</si>
  <si>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</si>
  <si>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</si>
  <si>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</si>
  <si>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</si>
  <si>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</si>
  <si>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</si>
  <si>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</si>
  <si>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</si>
  <si>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</si>
  <si>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</si>
  <si>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</si>
  <si>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</si>
  <si>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</si>
  <si>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</si>
  <si>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</si>
  <si>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</si>
  <si>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</si>
  <si>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</si>
  <si>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</si>
  <si>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</si>
  <si>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</si>
  <si>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</si>
  <si>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</si>
  <si>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</si>
  <si>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</si>
  <si>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</si>
  <si>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</si>
  <si>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</si>
  <si>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</si>
  <si>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</si>
  <si>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</si>
  <si>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</si>
  <si>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</si>
  <si>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</si>
  <si>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</si>
  <si>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</si>
  <si>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</si>
  <si>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</si>
  <si>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</si>
  <si>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</si>
  <si>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</si>
  <si>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t>
  </si>
  <si>
    <t>https://m.media-amazon.com/images/W/WEBP_402378-T1/images/I/4136eo-yWlL._SX300_SY300_QL70_FMwebp_.jpg</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</si>
  <si>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</si>
  <si>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</si>
  <si>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</si>
  <si>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</si>
  <si>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</si>
  <si>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</si>
  <si>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</si>
  <si>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</si>
  <si>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</si>
  <si>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</si>
  <si>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</si>
  <si>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</si>
  <si>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</si>
  <si>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</si>
  <si>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</si>
  <si>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</si>
  <si>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</si>
  <si>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</si>
  <si>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</si>
  <si>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</si>
  <si>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</si>
  <si>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</si>
  <si>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</si>
  <si>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</si>
  <si>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https://m.media-amazon.com/images/W/WEBP_402378-T1/images/I/31RktQKvhoL._SX300_SY300_QL70_FMwebp_.jpg</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</si>
  <si>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</si>
  <si>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</si>
  <si>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</si>
  <si>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</si>
  <si>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</si>
  <si>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</si>
  <si>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</si>
  <si>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</si>
  <si>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</si>
  <si>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</si>
  <si>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</si>
  <si>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</si>
  <si>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</si>
  <si>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</si>
  <si>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</si>
  <si>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</si>
  <si>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</si>
  <si>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</si>
  <si>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</si>
  <si>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</si>
  <si>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</si>
  <si>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</si>
  <si>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</si>
  <si>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</si>
  <si>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</si>
  <si>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</si>
  <si>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</si>
  <si>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</si>
  <si>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</si>
  <si>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</si>
  <si>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</si>
  <si>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</si>
  <si>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</si>
  <si>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</si>
  <si>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</si>
  <si>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</si>
  <si>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</si>
  <si>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</si>
  <si>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</si>
  <si>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</si>
  <si>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</si>
  <si>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</si>
  <si>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</si>
  <si>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</si>
  <si>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</si>
  <si>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</si>
  <si>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</si>
  <si>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</si>
  <si>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</si>
  <si>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</si>
  <si>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</si>
  <si>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</si>
  <si>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</si>
  <si>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</si>
  <si>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</si>
  <si>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</si>
  <si>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</si>
  <si>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</si>
  <si>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</si>
  <si>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</si>
  <si>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</si>
  <si>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</si>
  <si>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</si>
  <si>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</si>
  <si>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</si>
  <si>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</si>
  <si>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</si>
  <si>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</si>
  <si>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</si>
  <si>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👍💯,Good 👍</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</si>
  <si>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</si>
  <si>
    <t>https://m.media-amazon.com/images/W/WEBP_402378-T2/images/I/31ZMMGdh5nL._SX300_SY300_QL70_FMwebp_.jpg</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</si>
  <si>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it’s useful for not to brake the cable</t>
  </si>
  <si>
    <t>https://m.media-amazon.com/images/W/WEBP_402378-T1/images/I/511g3fIVsqL._SY300_SX300_QL70_FMwebp_.jpg</t>
  </si>
  <si>
    <t>https://m.media-amazon.com/images/W/WEBP_402378-T2/images/I/31dJ+lXJq3L._SY300_SX300_.jpg</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</si>
  <si>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</si>
  <si>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</si>
  <si>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</si>
  <si>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Product,Good,👍,Meets purpose,Nice battery,Good,Value for money,Works flawlessly</t>
  </si>
  <si>
    <t>Made in Indonesia, (thankfully not China).,Good for long use of remote,👏,Battery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</si>
  <si>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</si>
  <si>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</si>
  <si>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</si>
  <si>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</si>
  <si>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</si>
  <si>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</si>
  <si>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</si>
  <si>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AEZPNXZLF5U7XEX6TOW3J56C3XDA,AGG3ECGCIKNPZJEVJKMFI24VBSCQ,AHJWICC6V4BPVHNSGZ3FCIC4KUBQ,AF3SNGFXLO2ONOHN3SHCJZMEWYFQ,AHTBWFIYIZUPOLJC7KOWKDPK4PGQ,AGNE5T4E7SEMJUDM4COI6JBNJQBQ,AFMW4FWA573DFJ2FLM5SVSJ2RABA,AFMZYKMUK4P6MPASSKTR6OB22Y2A</t>
  </si>
  <si>
    <t>Amita,Ganesh,zhiv,Sarasij Pal,ज्ञानेंद्र सिंह,Ehsan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</si>
  <si>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</si>
  <si>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</si>
  <si>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</si>
  <si>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</si>
  <si>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https://m.media-amazon.com/images/I/41pfjyUPZLL._SX300_SY300_QL70_FMwebp_.jpg</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</si>
  <si>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</si>
  <si>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</si>
  <si>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</si>
  <si>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</si>
  <si>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</si>
  <si>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</si>
  <si>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</si>
  <si>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</si>
  <si>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</si>
  <si>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</si>
  <si>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</si>
  <si>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</si>
  <si>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</si>
  <si>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</si>
  <si>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</si>
  <si>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</si>
  <si>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t>
  </si>
  <si>
    <t>https://m.media-amazon.com/images/I/41AP5QV2M0L._SX300_SY300_QL70_FMwebp_.jpg</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</si>
  <si>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</si>
  <si>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</si>
  <si>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</si>
  <si>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</si>
  <si>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</si>
  <si>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</si>
  <si>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</si>
  <si>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</si>
  <si>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</si>
  <si>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</si>
  <si>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</si>
  <si>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</si>
  <si>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</si>
  <si>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</si>
  <si>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</si>
  <si>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</si>
  <si>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</si>
  <si>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</si>
  <si>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</si>
  <si>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</si>
  <si>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</si>
  <si>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</si>
  <si>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</si>
  <si>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</si>
  <si>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https://m.media-amazon.com/images/I/41z7FRqEerL._SX300_SY300_QL70_FMwebp_.jpg</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</si>
  <si>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</si>
  <si>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</si>
  <si>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</si>
  <si>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</si>
  <si>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</si>
  <si>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</si>
  <si>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</si>
  <si>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</si>
  <si>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</si>
  <si>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</si>
  <si>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</si>
  <si>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</si>
  <si>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</si>
  <si>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</si>
  <si>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</si>
  <si>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 Good</t>
  </si>
  <si>
    <t>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</si>
  <si>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</si>
  <si>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</si>
  <si>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</si>
  <si>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</si>
  <si>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</si>
  <si>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</si>
  <si>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</si>
  <si>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</si>
  <si>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</si>
  <si>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</si>
  <si>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</si>
  <si>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</si>
  <si>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</si>
  <si>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AHECNVXSW6REC5TOGBH6OJXIBL4A,AFWAX2O5B5I36ESHPOWZKN25BYPA,AHSDH2Q4Q2QSUYUGEAGPIR22MT7Q,AFSJOIQSSLDDJPOWX3DDKXDA6T5A,AF7YEBOIUIR3AWM2L4PCV2MCTUOA,AGUXZXNTCLWNP7Y5QA2KYEJLBMKA,AGBT7W456GGMVOR73SNSIGLSK5DQ,AGYF2BCD5W756VOY2V5HJQCX4H4A</t>
  </si>
  <si>
    <t>Ankita Dwivedi,Malathi Alunkar,Shubham♎,Oishi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</si>
  <si>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</si>
  <si>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</si>
  <si>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</si>
  <si>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</si>
  <si>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</si>
  <si>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</si>
  <si>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</si>
  <si>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</si>
  <si>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t>
  </si>
  <si>
    <t>https://m.media-amazon.com/images/W/WEBP_402378-T2/images/I/3172BJyynBS._SY300_SX300_QL70_FMwebp_.jpg</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</si>
  <si>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</si>
  <si>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</si>
  <si>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</si>
  <si>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</si>
  <si>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</si>
  <si>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</si>
  <si>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</si>
  <si>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</si>
  <si>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</si>
  <si>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</si>
  <si>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</si>
  <si>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</si>
  <si>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AEACCLBAYRCRJLUMTQVS5JSOYYVA,AEBFS3LI626ABZMQMQQZAVCZMSEA,AEPNFXQVCUUGVV74K5KGJEIGCBMA,AE7YHD67JEECIX3IESFI44QL4HNQ,AFCCTAOXYH2XQNESLRQRH72G27ZQ,AGSVOGYYWRHJDZKU3MCFFYIPEVWQ,AGWVUW6YRWVQ3III5WXH7X4RE4DA,AHEH2QAVUEPNGB7EQJJWPYAOCAAQ</t>
  </si>
  <si>
    <t>Joel Thomas,Joy Ghosh,Amazon Customer,Pıŋkɘsh Goʋɽ,Deepak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</si>
  <si>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</si>
  <si>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</si>
  <si>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</si>
  <si>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</si>
  <si>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https://m.media-amazon.com/images/I/31gaP7qpBNL._SX300_SY300_QL70_FMwebp_.jpg</t>
  </si>
  <si>
    <t>https://m.media-amazon.com/images/I/41TZJiPRRwL._SX300_SY300_QL70_FMwebp_.jpg</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</si>
  <si>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</si>
  <si>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</si>
  <si>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</si>
  <si>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...!!!!👍,Single band. 2.4 ghz only,Difficult,Valued for money,So far all is good,Ok,it’s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</si>
  <si>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t>
  </si>
  <si>
    <t>https://m.media-amazon.com/images/W/WEBP_402378-T1/images/I/21n1BGPOHBL._SX300_SY300_QL70_FMwebp_.jpg</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</si>
  <si>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</si>
  <si>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</si>
  <si>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</si>
  <si>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</si>
  <si>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</si>
  <si>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</si>
  <si>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</si>
  <si>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</si>
  <si>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</si>
  <si>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</si>
  <si>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t>
  </si>
  <si>
    <t>https://m.media-amazon.com/images/I/51fEftU7HAL._SX300_SY300_QL70_FMwebp_.jpg</t>
  </si>
  <si>
    <t>https://m.media-amazon.com/images/I/41ziJKWj9LL._SX300_SY300_QL70_FMwebp_.jpg</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</si>
  <si>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</si>
  <si>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</si>
  <si>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</si>
  <si>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</si>
  <si>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</si>
  <si>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</si>
  <si>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</si>
  <si>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</si>
  <si>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</si>
  <si>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</si>
  <si>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</si>
  <si>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</si>
  <si>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</si>
  <si>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</si>
  <si>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</si>
  <si>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</si>
  <si>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</si>
  <si>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</si>
  <si>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</si>
  <si>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</si>
  <si>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</si>
  <si>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</si>
  <si>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</si>
  <si>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</si>
  <si>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AEKLUZARDMPMWERNPZFR6JD3BYBA,AFZLO4JX4Y2XDISGVAWMFE4GIZZA,AFGENKSKOZGTS6YYL5CYWKMV5MCA,AF4XQLEHSE3N5EXHAFITQTURTKUA,AEOHSSPCLSTWA4MAPWJJLJHSJDMQ,AFWL3FG6OEIIFL3TUJIB76DXYWXQ,AEUYQQW6ZI6DK2MJQTX2O7SNRENA,AHCEHLGVT3XPNMBLTOFSQRRZ3ZTQ</t>
  </si>
  <si>
    <t>Mr. Nøbødy,Muzammil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</si>
  <si>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</si>
  <si>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</si>
  <si>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</si>
  <si>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</si>
  <si>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</si>
  <si>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</si>
  <si>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</si>
  <si>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</si>
  <si>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</si>
  <si>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</si>
  <si>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</si>
  <si>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</si>
  <si>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</si>
  <si>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charger,Good,बहुत ही अच्छा चार्जर है</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</si>
  <si>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</si>
  <si>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</si>
  <si>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</si>
  <si>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</si>
  <si>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</si>
  <si>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</si>
  <si>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t>
  </si>
  <si>
    <t>https://m.media-amazon.com/images/I/41goRo3UXhL._SX300_SY300_QL70_FMwebp_.jpg</t>
  </si>
  <si>
    <t>https://m.media-amazon.com/images/I/31jgUvSar0L._SX300_SY300_QL70_FMwebp_.jpg</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</si>
  <si>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</si>
  <si>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</si>
  <si>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</si>
  <si>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</si>
  <si>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t>
  </si>
  <si>
    <t>https://m.media-amazon.com/images/I/3164hjUSFdL._SX300_SY300_QL70_FMwebp_.jpg</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</si>
  <si>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</si>
  <si>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</si>
  <si>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</si>
  <si>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</si>
  <si>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</si>
  <si>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</si>
  <si>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</si>
  <si>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</si>
  <si>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</si>
  <si>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</si>
  <si>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</si>
  <si>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</si>
  <si>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</si>
  <si>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</si>
  <si>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</si>
  <si>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</si>
  <si>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t>
  </si>
  <si>
    <t>https://m.media-amazon.com/images/I/41sAt4BZydL._SX300_SY300_QL70_FMwebp_.jpg</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</si>
  <si>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</si>
  <si>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</si>
  <si>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</si>
  <si>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</si>
  <si>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</si>
  <si>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</si>
  <si>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</si>
  <si>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</si>
  <si>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</si>
  <si>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</si>
  <si>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</si>
  <si>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</si>
  <si>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</si>
  <si>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</si>
  <si>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</si>
  <si>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</si>
  <si>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</si>
  <si>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</si>
  <si>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https://m.media-amazon.com/images/I/31MIyzg8uzL._SX300_SY300_QL70_FMwebp_.jpg</t>
  </si>
  <si>
    <t>https://m.media-amazon.com/images/I/51q3+E64azL._SX300_SY300_.jpg</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</si>
  <si>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</si>
  <si>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</si>
  <si>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</si>
  <si>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</si>
  <si>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</si>
  <si>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</si>
  <si>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https://m.media-amazon.com/images/W/WEBP_402378-T1/images/I/317lVfwVu8L._SX300_SY300_QL70_FMwebp_.jpg</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</si>
  <si>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</si>
  <si>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</si>
  <si>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</si>
  <si>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</si>
  <si>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t>
  </si>
  <si>
    <t>https://m.media-amazon.com/images/W/WEBP_402378-T2/images/I/51owoY2Xq7L._SX300_SY300_QL70_FMwebp_.jpg</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</si>
  <si>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</si>
  <si>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</si>
  <si>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</si>
  <si>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</si>
  <si>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t>
  </si>
  <si>
    <t>https://m.media-amazon.com/images/W/WEBP_402378-T2/images/I/51E0xvwRCpL._SX300_SY300_QL70_FMwebp_.jpg</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</si>
  <si>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</si>
  <si>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</si>
  <si>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</si>
  <si>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</si>
  <si>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</si>
  <si>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</si>
  <si>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</si>
  <si>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</si>
  <si>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</si>
  <si>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</si>
  <si>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</si>
  <si>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</si>
  <si>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</si>
  <si>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</si>
  <si>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</si>
  <si>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</si>
  <si>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</si>
  <si>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</si>
  <si>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</si>
  <si>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</si>
  <si>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</si>
  <si>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</si>
  <si>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</si>
  <si>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</si>
  <si>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</si>
  <si>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</si>
  <si>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</si>
  <si>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</si>
  <si>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</si>
  <si>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</si>
  <si>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https://m.media-amazon.com/images/I/31SKRsp7Y1L._SX300_SY300_QL70_FMwebp_.jpg</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</si>
  <si>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</si>
  <si>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</si>
  <si>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</si>
  <si>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</si>
  <si>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</si>
  <si>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</si>
  <si>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</si>
  <si>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</si>
  <si>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</si>
  <si>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👍,Mouse light is not working but it’s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</si>
  <si>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t>
  </si>
  <si>
    <t>https://m.media-amazon.com/images/I/41tLaG2nSpL._SX300_SY300_QL70_FMwebp_.jpg</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</si>
  <si>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</si>
  <si>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</si>
  <si>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</si>
  <si>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</si>
  <si>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</si>
  <si>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</si>
  <si>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</si>
  <si>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</si>
  <si>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</si>
  <si>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</si>
  <si>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</si>
  <si>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</si>
  <si>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https://m.media-amazon.com/images/W/WEBP_402378-T1/images/I/31bKIZtFGWL._SX300_SY300_QL70_FMwebp_.jpg</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</si>
  <si>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</si>
  <si>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</si>
  <si>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</si>
  <si>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</si>
  <si>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</si>
  <si>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</si>
  <si>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</si>
  <si>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</si>
  <si>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</si>
  <si>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it’s work,Nice product working absolutely fine,Good,Good product,Value for Money,Okay overall,Value for money..,Good product for i phone users</t>
  </si>
  <si>
    <t>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</si>
  <si>
    <t>https://m.media-amazon.com/images/W/WEBP_402378-T2/images/I/51JIngdPfEL._SX300_SY300_QL70_FMwebp_.jpg</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</si>
  <si>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</si>
  <si>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</si>
  <si>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</si>
  <si>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</si>
  <si>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</si>
  <si>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</si>
  <si>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AGDY4LIW3A477KFMINSUKYRMSK7Q,AHX6FDK45XLTIXMOCTEJLIVTHJDQ,AH7QP5VH5777BLVSP5M6KE2IEOWA,AG3B6VHXNSP3NV4QKN6S2UYW3IHA,AGK67PKY5YNSHMUNIPVHWPQKPBLA,AH75SNR4HB6LTEAQRARKQV4PGRJQ,AGCF4OSJR3ZAIS426KF77KR7N52Q,AESIFL6Q25WEMARTHLWMLOCS7ALQ</t>
  </si>
  <si>
    <t>Dilip Kumar,Aakash Purohit,ÂRUN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</si>
  <si>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</si>
  <si>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</si>
  <si>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</si>
  <si>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</si>
  <si>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https://m.media-amazon.com/images/W/WEBP_402378-T2/images/I/41UD9vNsIjS._SX300_SY300_QL70_FMwebp_.jpg</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</si>
  <si>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</si>
  <si>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</si>
  <si>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</si>
  <si>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</si>
  <si>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</si>
  <si>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</si>
  <si>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</si>
  <si>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</si>
  <si>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</si>
  <si>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</si>
  <si>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</si>
  <si>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</si>
  <si>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</si>
  <si>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</si>
  <si>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</si>
  <si>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</si>
  <si>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</si>
  <si>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</si>
  <si>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</si>
  <si>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</si>
  <si>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</si>
  <si>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</si>
  <si>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</si>
  <si>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</si>
  <si>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</si>
  <si>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</si>
  <si>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</si>
  <si>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</si>
  <si>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</si>
  <si>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</si>
  <si>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</si>
  <si>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</si>
  <si>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</si>
  <si>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</si>
  <si>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</si>
  <si>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</si>
  <si>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</si>
  <si>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</si>
  <si>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</si>
  <si>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</si>
  <si>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t>
  </si>
  <si>
    <t>https://m.media-amazon.com/images/I/21qdAZyu9xL._SX300_SY300_QL70_FMwebp_.jpg</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</si>
  <si>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</si>
  <si>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</si>
  <si>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</si>
  <si>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</si>
  <si>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</si>
  <si>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</si>
  <si>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</si>
  <si>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</si>
  <si>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</si>
  <si>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</si>
  <si>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</si>
  <si>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</si>
  <si>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</si>
  <si>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</si>
  <si>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</si>
  <si>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</si>
  <si>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</si>
  <si>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</si>
  <si>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</si>
  <si>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</si>
  <si>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</si>
  <si>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</si>
  <si>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</si>
  <si>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</si>
  <si>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</si>
  <si>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</si>
  <si>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</si>
  <si>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</si>
  <si>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</si>
  <si>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</si>
  <si>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</si>
  <si>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</si>
  <si>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</si>
  <si>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</si>
  <si>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</si>
  <si>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</si>
  <si>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</si>
  <si>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</si>
  <si>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</si>
  <si>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</si>
  <si>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</si>
  <si>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</si>
  <si>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</si>
  <si>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</si>
  <si>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</si>
  <si>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</si>
  <si>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</si>
  <si>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</si>
  <si>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</si>
  <si>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</si>
  <si>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</si>
  <si>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</si>
  <si>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</si>
  <si>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</si>
  <si>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</si>
  <si>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</si>
  <si>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</si>
  <si>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</si>
  <si>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</si>
  <si>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</si>
  <si>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</si>
  <si>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</si>
  <si>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</si>
  <si>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</si>
  <si>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</si>
  <si>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</si>
  <si>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</si>
  <si>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</si>
  <si>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</si>
  <si>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</si>
  <si>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</si>
  <si>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</si>
  <si>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</si>
  <si>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</si>
  <si>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</si>
  <si>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</si>
  <si>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t>
  </si>
  <si>
    <t>https://m.media-amazon.com/images/I/41Ae67XZACL._SX300_SY300_QL70_FMwebp_.jpg</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</si>
  <si>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👍,Super,https://m.media-amazon.com/images/W/WEBP_402378-T2/images/I/615xQV8mNDL._SY88.jpg,Amazing look,Screen refresh rate is bit low ,but a great product for this price !,Best product</t>
  </si>
  <si>
    <t>https://m.media-amazon.com/images/W/WEBP_402378-T2/images/I/416+IXsM9lL._SY300_SX300_.jpg</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</si>
  <si>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</si>
  <si>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</si>
  <si>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</si>
  <si>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</si>
  <si>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</si>
  <si>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</si>
  <si>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https://m.media-amazon.com/images/I/41GeM83DzzL._SX300_SY300_QL70_FMwebp_.jpg</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</si>
  <si>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</si>
  <si>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</si>
  <si>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</si>
  <si>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</si>
  <si>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</si>
  <si>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</si>
  <si>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</si>
  <si>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</si>
  <si>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</si>
  <si>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</si>
  <si>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</si>
  <si>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</si>
  <si>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</si>
  <si>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</si>
  <si>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</si>
  <si>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</si>
  <si>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</si>
  <si>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</si>
  <si>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</si>
  <si>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</si>
  <si>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</si>
  <si>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</si>
  <si>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</si>
  <si>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</si>
  <si>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</si>
  <si>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</si>
  <si>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</si>
  <si>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</si>
  <si>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👍🏼,Fulfil purpose, easy to carry, solid material. Think it will last long.,Nice,Liked the product. Easy to carry, portable,  foldable, lightweight.,Good</t>
  </si>
  <si>
    <t>https://m.media-amazon.com/images/I/21VBjRnsH6L._SX300_SY300_QL70_FMwebp_.jpg</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</si>
  <si>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</si>
  <si>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</si>
  <si>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</si>
  <si>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</si>
  <si>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</si>
  <si>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</si>
  <si>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</si>
  <si>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</si>
  <si>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</si>
  <si>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</si>
  <si>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</si>
  <si>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</si>
  <si>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</si>
  <si>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</si>
  <si>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</si>
  <si>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</si>
  <si>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</si>
  <si>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</si>
  <si>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</si>
  <si>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</si>
  <si>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</si>
  <si>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</si>
  <si>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</si>
  <si>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</si>
  <si>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</si>
  <si>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</si>
  <si>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</si>
  <si>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</si>
  <si>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</si>
  <si>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</si>
  <si>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</si>
  <si>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</si>
  <si>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</si>
  <si>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product😡,Ok product,Good product 👍,Good.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</si>
  <si>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</si>
  <si>
    <t>https://m.media-amazon.com/images/W/WEBP_402378-T1/images/I/31bUanm+oRL._SY300_SX300_.jpg</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</si>
  <si>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</si>
  <si>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</si>
  <si>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</si>
  <si>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</si>
  <si>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</si>
  <si>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</si>
  <si>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</si>
  <si>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</si>
  <si>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</si>
  <si>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</si>
  <si>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</si>
  <si>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</si>
  <si>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</si>
  <si>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</si>
  <si>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</si>
  <si>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</si>
  <si>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</si>
  <si>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</si>
  <si>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https://m.media-amazon.com/images/I/4177nw8okbL._SX300_SY300_QL70_FMwebp_.jpg</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</si>
  <si>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</si>
  <si>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Roy,ÁJíth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</si>
  <si>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</si>
  <si>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</si>
  <si>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</si>
  <si>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</si>
  <si>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</si>
  <si>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</si>
  <si>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</si>
  <si>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</si>
  <si>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t>
  </si>
  <si>
    <t>https://m.media-amazon.com/images/W/WEBP_402378-T1/images/I/31tk9yOK-qL._SX300_SY300_QL70_FMwebp_.jpg</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</si>
  <si>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</si>
  <si>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</si>
  <si>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</si>
  <si>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</si>
  <si>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</si>
  <si>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</si>
  <si>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AFMALPNH6MGGBFCSBABKO6HN2KKA,AHVP3JOVGO4JRMQQPHMEUNYSLZEA,AGMHQJ2A77R33DA4XP3ZHYOMOTHQ,AF5VMYLEUAE5OBUOA4XYAVE3FJEA,AH5UVEDAQ5T5QN3ZCZIDM5TNAAFQ,AHKX52UJ5M3DNLQFUIONNKE3TSUA,AFWTGD4FCS2E2U2TDCOEOGP2FWEA,AFAFL4TW6TSNMNULD4R22QMZVDIA</t>
  </si>
  <si>
    <t>Bikki Chowdhury,m̶a̶n̶n̶u̶ m̶e̶h̶t̶a̶,Well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</si>
  <si>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</si>
  <si>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</si>
  <si>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</si>
  <si>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</si>
  <si>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</si>
  <si>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</si>
  <si>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</si>
  <si>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</si>
  <si>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</si>
  <si>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</si>
  <si>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</si>
  <si>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</si>
  <si>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</si>
  <si>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👍,Product is Good,VALUE FOR MONEY,Worth it,Notebook is good and paking in very bad,Very nice book and good packaging,Nice set of 12 Lovely 😍 Books 📚,The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</si>
  <si>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</si>
  <si>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</si>
  <si>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</si>
  <si>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</si>
  <si>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</si>
  <si>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</si>
  <si>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</si>
  <si>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</si>
  <si>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</si>
  <si>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</si>
  <si>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</si>
  <si>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</si>
  <si>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t>
  </si>
  <si>
    <t>https://m.media-amazon.com/images/W/WEBP_402378-T1/images/I/41bvBlmqDdL._SX300_SY300_QL70_FMwebp_.jpg</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</si>
  <si>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</si>
  <si>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</si>
  <si>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</si>
  <si>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</si>
  <si>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</si>
  <si>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</si>
  <si>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</si>
  <si>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</si>
  <si>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</si>
  <si>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</si>
  <si>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</si>
  <si>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</si>
  <si>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</si>
  <si>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</si>
  <si>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</si>
  <si>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</si>
  <si>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</si>
  <si>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</si>
  <si>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</si>
  <si>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</si>
  <si>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</si>
  <si>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</si>
  <si>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</si>
  <si>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</si>
  <si>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</si>
  <si>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</si>
  <si>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</si>
  <si>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</si>
  <si>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</si>
  <si>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</si>
  <si>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</si>
  <si>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</si>
  <si>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</si>
  <si>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</si>
  <si>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</si>
  <si>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</si>
  <si>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</si>
  <si>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</si>
  <si>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</si>
  <si>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</si>
  <si>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</si>
  <si>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AHQ4Q75NBEWOM4OWOXUZW7V247NQ,AEQCAMSZJTMNIKXAPXCKT5XLOWIA,AGCHPEKLU5ZFHDV7K3QYXNJQP6JA,AFFXN6T5QGDHRUO24P4PM56E7AAA,AGUPZJ4VI66F5L3GN2VT6QDZEAJQ,AFVIFCKLO7ADXYQAQ2T74HUJEBEA,AFRCL2UST67EVGUTDLV2JGI4OKUA,AFCCTAOXYH2XQNESLRQRH72G27ZQ</t>
  </si>
  <si>
    <t>ˢᴰ82ˢᶜ ✔️,Manish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</si>
  <si>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</si>
  <si>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t>
  </si>
  <si>
    <t>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</si>
  <si>
    <t>https://m.media-amazon.com/images/W/WEBP_402378-T1/images/I/413viCgpI+L._SY300_SX300_.jpg</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</si>
  <si>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</si>
  <si>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</si>
  <si>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</si>
  <si>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</si>
  <si>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</si>
  <si>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</si>
  <si>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https://m.media-amazon.com/images/W/WEBP_402378-T1/images/I/41Fqm0bR7PL._SX300_SY300_QL70_FMwebp_.jpg</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</si>
  <si>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</si>
  <si>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</si>
  <si>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</si>
  <si>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</si>
  <si>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</si>
  <si>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</si>
  <si>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</si>
  <si>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</si>
  <si>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</si>
  <si>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👌,VFM PRODUCT BUT THERE'S MORE TO IT. READ ON!,Excellent sound quality, i like this speaker sooooooo much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</si>
  <si>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</si>
  <si>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</si>
  <si>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</si>
  <si>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</si>
  <si>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</si>
  <si>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</si>
  <si>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</si>
  <si>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</si>
  <si>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</si>
  <si>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</si>
  <si>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</si>
  <si>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</si>
  <si>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</si>
  <si>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</si>
  <si>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</si>
  <si>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</si>
  <si>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</si>
  <si>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</si>
  <si>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</si>
  <si>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</si>
  <si>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</si>
  <si>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</si>
  <si>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</si>
  <si>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👍🏻,Nice dark colors...,black  and dark blue paper not supplied  as it should be also there making it 4x12,Quality is too good,Nice bright colour</t>
  </si>
  <si>
    <t>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</si>
  <si>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</si>
  <si>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</si>
  <si>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</si>
  <si>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</si>
  <si>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</si>
  <si>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</si>
  <si>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</si>
  <si>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</si>
  <si>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</si>
  <si>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</si>
  <si>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</si>
  <si>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</si>
  <si>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</si>
  <si>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</si>
  <si>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</si>
  <si>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</si>
  <si>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</si>
  <si>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t>
  </si>
  <si>
    <t>https://m.media-amazon.com/images/W/WEBP_402378-T1/images/I/51o0rLZiIjL._SX300_SY300_QL70_FMwebp_.jpg</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</si>
  <si>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</si>
  <si>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</si>
  <si>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</si>
  <si>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</si>
  <si>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</si>
  <si>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</si>
  <si>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</si>
  <si>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</si>
  <si>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</si>
  <si>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</si>
  <si>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</si>
  <si>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</si>
  <si>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</si>
  <si>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</si>
  <si>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</si>
  <si>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</si>
  <si>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</si>
  <si>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</si>
  <si>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</si>
  <si>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</si>
  <si>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</si>
  <si>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</si>
  <si>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</si>
  <si>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</si>
  <si>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</si>
  <si>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</si>
  <si>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</si>
  <si>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</si>
  <si>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</si>
  <si>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</si>
  <si>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</si>
  <si>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</si>
  <si>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</si>
  <si>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</si>
  <si>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</si>
  <si>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</si>
  <si>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</si>
  <si>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</si>
  <si>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</si>
  <si>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</si>
  <si>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</si>
  <si>
    <t>https://m.media-amazon.com/images/I/31YZ2ZYT66L._SX300_SY300_QL70_FMwebp_.jpg</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</si>
  <si>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</si>
  <si>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</si>
  <si>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</si>
  <si>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</si>
  <si>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t>
  </si>
  <si>
    <t>https://m.media-amazon.com/images/W/WEBP_402378-T1/images/I/41NYfAbBY2L._SX300_SY300_QL70_FMwebp_.jpg</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</si>
  <si>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</si>
  <si>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</si>
  <si>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</si>
  <si>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</si>
  <si>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</si>
  <si>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</si>
  <si>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</si>
  <si>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</si>
  <si>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</si>
  <si>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</si>
  <si>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</si>
  <si>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</si>
  <si>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https://m.media-amazon.com/images/W/WEBP_402378-T2/images/I/419QKVTxaSL._SX300_SY300_QL70_FMwebp_.jpg</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</si>
  <si>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</si>
  <si>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</si>
  <si>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</si>
  <si>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</si>
  <si>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</si>
  <si>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</si>
  <si>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</si>
  <si>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</si>
  <si>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</si>
  <si>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</si>
  <si>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</si>
  <si>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</si>
  <si>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</si>
  <si>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</si>
  <si>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</si>
  <si>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</si>
  <si>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</si>
  <si>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</si>
  <si>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</si>
  <si>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</si>
  <si>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</si>
  <si>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</si>
  <si>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t>
  </si>
  <si>
    <t>https://m.media-amazon.com/images/W/WEBP_402378-T2/images/I/41W4O2H532L._SX300_SY300_QL70_FMwebp_.jpg</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</si>
  <si>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</si>
  <si>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</si>
  <si>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</si>
  <si>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</si>
  <si>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</si>
  <si>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</si>
  <si>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</si>
  <si>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</si>
  <si>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</si>
  <si>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</si>
  <si>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</si>
  <si>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</si>
  <si>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</si>
  <si>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</si>
  <si>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</si>
  <si>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</si>
  <si>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</si>
  <si>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</si>
  <si>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</si>
  <si>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</si>
  <si>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</si>
  <si>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</si>
  <si>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</si>
  <si>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</si>
  <si>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</si>
  <si>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</si>
  <si>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</si>
  <si>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t>
  </si>
  <si>
    <t>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</si>
  <si>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</si>
  <si>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</si>
  <si>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</si>
  <si>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</si>
  <si>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</si>
  <si>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</si>
  <si>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</si>
  <si>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</si>
  <si>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</si>
  <si>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</si>
  <si>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</si>
  <si>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</si>
  <si>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</si>
  <si>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</si>
  <si>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</si>
  <si>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AEF5RCDWM36RUTBBON7LXA26PTCA,AGLAZIZLDXX7FKDCSJ6ZLKSHW47A,AGUL3ZHFKXB2FHBKW6EMPCOZBV6A,AGGJYZTRMD5LELUKQE5ZNVQ326BA,AHTOUZO3OWX3CDI6OWWD2QY3NYWQ,AHY7SA7H5WSKZPBFECKTY6UWHFAA,AFE7A5UHWCAOYQVYDUDDHOUJFMMA,AHXG6CXWUZKDMM5DNC6BELMP26QA</t>
  </si>
  <si>
    <t>अशोक वैष्णव,Satish,KBK,rajendra,BuyerOfProducts,Manjush Mohan,M.A.SAMAD KHAN,laxman pallikonda</t>
  </si>
  <si>
    <t>R2VFXFP75ZPQF6,R31BYR22O09BLQ,RKMFDAV9I8Z3,R3VO2OQU0NX1GE,R3H4WLHQYRTZ3H,REW2CYD532JB3,R1QTUL5N1ZE9S3,R15FMRVH2UDP2X</t>
  </si>
  <si>
    <t>कुछ खास नहीं बस ठीक ठाक है,Not good for regular use,pathetic battery back up,good,Does as it should,Very pathetic battery - never buy,Worth buy,Good, but 1.2 v please check when buying</t>
  </si>
  <si>
    <t>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</si>
  <si>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</si>
  <si>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</si>
  <si>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</si>
  <si>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</si>
  <si>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</si>
  <si>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t>
  </si>
  <si>
    <t>https://m.media-amazon.com/images/W/WEBP_402378-T1/images/I/31CndDabh2L._SX300_SY300_QL70_FMwebp_.jpg</t>
  </si>
  <si>
    <t>https://m.media-amazon.com/images/W/WEBP_402378-T2/images/I/3183iGEWksL._SX300_SY300_QL70_FMwebp_.jpg</t>
  </si>
  <si>
    <t>https://m.media-amazon.com/images/I/41P2EdQI1ZL._SY445_SX342_QL70_FMwebp_.jpg</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</si>
  <si>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</si>
  <si>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</si>
  <si>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</si>
  <si>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</si>
  <si>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</si>
  <si>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</si>
  <si>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</si>
  <si>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</si>
  <si>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</si>
  <si>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</si>
  <si>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t>
  </si>
  <si>
    <t>https://m.media-amazon.com/images/W/WEBP_402378-T2/images/I/41t4-FpawsL._SX300_SY300_QL70_FMwebp_.jpg</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</si>
  <si>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</si>
  <si>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</si>
  <si>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</si>
  <si>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</si>
  <si>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</si>
  <si>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</si>
  <si>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</si>
  <si>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</si>
  <si>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</si>
  <si>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</si>
  <si>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</si>
  <si>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</si>
  <si>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</si>
  <si>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</si>
  <si>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</si>
  <si>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</si>
  <si>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</si>
  <si>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</si>
  <si>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</si>
  <si>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</si>
  <si>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</si>
  <si>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</si>
  <si>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</si>
  <si>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</si>
  <si>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</si>
  <si>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</si>
  <si>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</si>
  <si>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</si>
  <si>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</si>
  <si>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</si>
  <si>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</si>
  <si>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</si>
  <si>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</si>
  <si>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</si>
  <si>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</si>
  <si>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</si>
  <si>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</si>
  <si>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</si>
  <si>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</si>
  <si>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</si>
  <si>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</si>
  <si>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</si>
  <si>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</si>
  <si>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</si>
  <si>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</si>
  <si>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</si>
  <si>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</si>
  <si>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</si>
  <si>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https://m.media-amazon.com/images/I/41v5BQZzfAL._SX300_SY300_QL70_FMwebp_.jpg</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</si>
  <si>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</si>
  <si>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</si>
  <si>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</si>
  <si>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</si>
  <si>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</si>
  <si>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</si>
  <si>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</si>
  <si>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</si>
  <si>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</si>
  <si>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</si>
  <si>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</si>
  <si>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</si>
  <si>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</si>
  <si>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</si>
  <si>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</si>
  <si>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</si>
  <si>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</si>
  <si>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</si>
  <si>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</si>
  <si>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</si>
  <si>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</si>
  <si>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</si>
  <si>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</si>
  <si>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</si>
  <si>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</si>
  <si>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</si>
  <si>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</si>
  <si>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👍,Best price,Nice pen,Good pen</t>
  </si>
  <si>
    <t>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t>
  </si>
  <si>
    <t>https://m.media-amazon.com/images/I/31pJvN8OkSL._SX300_SY300_QL70_FMwebp_.jpg</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</si>
  <si>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</si>
  <si>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</si>
  <si>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</si>
  <si>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</si>
  <si>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</si>
  <si>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</si>
  <si>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</si>
  <si>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</si>
  <si>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</si>
  <si>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</si>
  <si>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</si>
  <si>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</si>
  <si>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</si>
  <si>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</si>
  <si>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</si>
  <si>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cool.,avearage,Nicee,अच्छा है,ABC</t>
  </si>
  <si>
    <t>I wanted it for my shop laptop , i am using it on a grass mat, quality is nice, working very nice.,Good 👍,, print colour also still there,Useful and easy to handle 😜,Happy ENDING.,it is ok,Very Good,अच्छा की,ABC</t>
  </si>
  <si>
    <t>https://m.media-amazon.com/images/W/WEBP_402378-T1/images/I/31I1oK5hM1L._SY300_SX300_QL70_FMwebp_.jpg</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</si>
  <si>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</si>
  <si>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</si>
  <si>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</si>
  <si>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</si>
  <si>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</si>
  <si>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</si>
  <si>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</si>
  <si>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</si>
  <si>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</si>
  <si>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</si>
  <si>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</si>
  <si>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</si>
  <si>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</si>
  <si>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</si>
  <si>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</si>
  <si>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</si>
  <si>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</si>
  <si>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</si>
  <si>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</si>
  <si>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</si>
  <si>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</si>
  <si>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</si>
  <si>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</si>
  <si>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</si>
  <si>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</si>
  <si>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</si>
  <si>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</si>
  <si>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</si>
  <si>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</si>
  <si>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</si>
  <si>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</si>
  <si>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</si>
  <si>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</si>
  <si>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</si>
  <si>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t>
  </si>
  <si>
    <t>https://m.media-amazon.com/images/W/WEBP_402378-T1/images/I/31nIcqmP0zL._SX300_SY300_QL70_FMwebp_.jpg</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</si>
  <si>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</si>
  <si>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</si>
  <si>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</si>
  <si>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</si>
  <si>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</si>
  <si>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</si>
  <si>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https://m.media-amazon.com/images/I/31EHCPHbSlL._SX300_SY300_QL70_FMwebp_.jpg</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</si>
  <si>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</si>
  <si>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</si>
  <si>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</si>
  <si>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</si>
  <si>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</si>
  <si>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</si>
  <si>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AF63ZFTFFODG7SUOLW4HXHDUQPSA,AHCXNGYHWBSZ6FJZPUDRAFN6IVDA,AF7KWHU33BSKUSJ3JTPU4X2NBYLQ,AGHD4B4QRRL44PJCZEPMGONDVTJQ,AGI3IQPHZ7GWIDMB52JK2PXNFFTQ,AHV2PXIU5JTWA4FJ3IDGCHRFLGIA,AFSRWHDNHTHHZGPN7I2QBDAMOIVA,AEUZCEJW3VTJKTBTONLMQFYOGBNQ</t>
  </si>
  <si>
    <t>🤘🏻🤘🏻,Kabi,Manoj kumar ware,om,Hemant Kumar,pawan r.,Anshu,Pavan kamar</t>
  </si>
  <si>
    <t>R2JX4PS0VEXLP8,R2Z993M5W7NJG7,R3IGL48GSRQXBK,R1BYNHCUKYRIY7,R2UO0TB6OD6VT,R2XRTP1KSM2DSA,RTKFSPNDCXIKO,R3MBRCZ7N5RCQG</t>
  </si>
  <si>
    <t>Fine🤘🏻🙏🏻,Good,Best for kids,Easy clean and use,Nice product,bahut accha,Really liked this product,Erase button not working 🤬</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</si>
  <si>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</si>
  <si>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</si>
  <si>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</si>
  <si>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</si>
  <si>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</si>
  <si>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</si>
  <si>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</si>
  <si>
    <t>https://m.media-amazon.com/images/I/21o8KsIQqRL._SY300_SX300_QL70_FMwebp_.jpg</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</si>
  <si>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</si>
  <si>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</si>
  <si>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</si>
  <si>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</si>
  <si>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</si>
  <si>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</si>
  <si>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</si>
  <si>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</si>
  <si>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</si>
  <si>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</si>
  <si>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t>
  </si>
  <si>
    <t>https://m.media-amazon.com/images/W/WEBP_402378-T1/images/I/31c6zDmtEnL._SY300_SX300_QL70_FMwebp_.jpg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</si>
  <si>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</si>
  <si>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</si>
  <si>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</si>
  <si>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</si>
  <si>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t>
  </si>
  <si>
    <t>https://m.media-amazon.com/images/W/WEBP_402378-T2/images/I/41J8nz5uEUL._SX300_SY300_QL70_FMwebp_.jpg</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</si>
  <si>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</si>
  <si>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</si>
  <si>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</si>
  <si>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</si>
  <si>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</si>
  <si>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</si>
  <si>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</si>
  <si>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</si>
  <si>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</si>
  <si>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</si>
  <si>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</si>
  <si>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</si>
  <si>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</si>
  <si>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</si>
  <si>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</si>
  <si>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</si>
  <si>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</si>
  <si>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</si>
  <si>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</si>
  <si>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</si>
  <si>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</si>
  <si>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</si>
  <si>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</si>
  <si>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</si>
  <si>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</si>
  <si>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Sharma,EvͥᎥlͣkͫᎥŇg𒆜VᎥckץ,L.Sherpa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</si>
  <si>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</si>
  <si>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</si>
  <si>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</si>
  <si>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</si>
  <si>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https://m.media-amazon.com/images/W/WEBP_402378-T2/images/I/31+NwZ8gb1L._SX300_SY300_.jpg</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</si>
  <si>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</si>
  <si>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</si>
  <si>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</si>
  <si>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</si>
  <si>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</si>
  <si>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</si>
  <si>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</si>
  <si>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</si>
  <si>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</si>
  <si>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</si>
  <si>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</si>
  <si>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</si>
  <si>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</si>
  <si>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</si>
  <si>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</si>
  <si>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</si>
  <si>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</si>
  <si>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</si>
  <si>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</si>
  <si>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</si>
  <si>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</si>
  <si>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</si>
  <si>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</si>
  <si>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</si>
  <si>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</si>
  <si>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</si>
  <si>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</si>
  <si>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</si>
  <si>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</si>
  <si>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</si>
  <si>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https://m.media-amazon.com/images/W/WEBP_402378-T1/images/I/41PeQz-jDSL._SX300_SY300_QL70_FMwebp_.jpg</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</si>
  <si>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</si>
  <si>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</si>
  <si>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</si>
  <si>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</si>
  <si>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</si>
  <si>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</si>
  <si>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</si>
  <si>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</si>
  <si>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</si>
  <si>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</si>
  <si>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</si>
  <si>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</si>
  <si>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</si>
  <si>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</si>
  <si>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</si>
  <si>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</si>
  <si>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</si>
  <si>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</si>
  <si>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</si>
  <si>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</si>
  <si>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</si>
  <si>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</si>
  <si>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</si>
  <si>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</si>
  <si>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</si>
  <si>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</si>
  <si>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</si>
  <si>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</si>
  <si>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t>
  </si>
  <si>
    <t>https://m.media-amazon.com/images/W/WEBP_402378-T2/images/I/41rm-mc937L._SX300_SY300_QL70_FMwebp_.jpg</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</si>
  <si>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</si>
  <si>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t>
  </si>
  <si>
    <t>R1NXQAUJ3LO3OW,R1MWEBTA35BES8,R2OTG33BME1DP2,R2ADKUIQDNC4CS,RXCSU83UL85LG,R1IU2CXD6J2VT9,RXCA5L1FET3BK,R2PXB1JH0VU4MO</t>
  </si>
  <si>
    <t>Very good,WORTH TO BUY.,Writes neat but smells bad,Like ok ok,Nice,👍,Amajin!,One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</si>
  <si>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t>
  </si>
  <si>
    <t>https://m.media-amazon.com/images/W/WEBP_402378-T2/images/I/51zIKeCjN-L._SX300_SY300_QL70_FMwebp_.jpg</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</si>
  <si>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</si>
  <si>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</si>
  <si>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</si>
  <si>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</si>
  <si>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t>
  </si>
  <si>
    <t>https://m.media-amazon.com/images/I/414zbaw52sL._SX300_SY300_QL70_FMwebp_.jpg</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</si>
  <si>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</si>
  <si>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</si>
  <si>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</si>
  <si>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</si>
  <si>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t>
  </si>
  <si>
    <t>https://m.media-amazon.com/images/W/WEBP_402378-T2/images/I/41zEY42v1tL._SX300_SY300_QL70_FMwebp_.jpg</t>
  </si>
  <si>
    <t>https://m.media-amazon.com/images/W/WEBP_402378-T2/images/I/31kw1RgU5yL._SX300_SY300_QL70_FMwebp_.jpg</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</si>
  <si>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</si>
  <si>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</si>
  <si>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</si>
  <si>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</si>
  <si>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</si>
  <si>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</si>
  <si>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</si>
  <si>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</si>
  <si>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</si>
  <si>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</si>
  <si>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</si>
  <si>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</si>
  <si>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https://m.media-amazon.com/images/I/31Oj5BsHwdL._SX300_SY300_QL70_FMwebp_.jpg</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</si>
  <si>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</si>
  <si>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</si>
  <si>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</si>
  <si>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</si>
  <si>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</si>
  <si>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</si>
  <si>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</si>
  <si>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</si>
  <si>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</si>
  <si>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</si>
  <si>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</si>
  <si>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</si>
  <si>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</si>
  <si>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</si>
  <si>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</si>
  <si>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</si>
  <si>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</si>
  <si>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</si>
  <si>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</si>
  <si>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</si>
  <si>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</si>
  <si>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</si>
  <si>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</si>
  <si>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</si>
  <si>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</si>
  <si>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</si>
  <si>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</si>
  <si>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</si>
  <si>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t>
  </si>
  <si>
    <t>https://m.media-amazon.com/images/I/31eE6slx4EL._SX300_SY300_QL70_FMwebp_.jpg</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</si>
  <si>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</si>
  <si>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</si>
  <si>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</si>
  <si>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</si>
  <si>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</si>
  <si>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</si>
  <si>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https://m.media-amazon.com/images/I/41rbKciLrcL._SX300_SY300_QL70_FMwebp_.jpg</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</si>
  <si>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</si>
  <si>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</si>
  <si>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</si>
  <si>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</si>
  <si>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</si>
  <si>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</si>
  <si>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https://m.media-amazon.com/images/I/41YBVJ+UTxL._SY300_SX300_.jpg</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</si>
  <si>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</si>
  <si>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</si>
  <si>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</si>
  <si>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</si>
  <si>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t>
  </si>
  <si>
    <t>https://m.media-amazon.com/images/I/31flGUWUY9L._SX300_SY300_QL70_FMwebp_.jpg</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</si>
  <si>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</si>
  <si>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</si>
  <si>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</si>
  <si>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👍,Super,Good,Good quality at that price,Sounds good and looks good</t>
  </si>
  <si>
    <t>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</si>
  <si>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</si>
  <si>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</si>
  <si>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</si>
  <si>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</si>
  <si>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👌,5 bati,Charge seems to be very low.,Good batteries.,working fine with my car remote,Original Duracell,Great,SANTOSH PRASAD</t>
  </si>
  <si>
    <t>👌,1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</si>
  <si>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</si>
  <si>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</si>
  <si>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</si>
  <si>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</si>
  <si>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</si>
  <si>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</si>
  <si>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</si>
  <si>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</si>
  <si>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</si>
  <si>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</si>
  <si>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</si>
  <si>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</si>
  <si>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</si>
  <si>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</si>
  <si>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</si>
  <si>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</si>
  <si>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</si>
  <si>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</si>
  <si>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</si>
  <si>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</si>
  <si>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</si>
  <si>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</si>
  <si>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</si>
  <si>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t>
  </si>
  <si>
    <t>https://m.media-amazon.com/images/I/51VIQVc-6XL._SX300_SY300_QL70_FMwebp_.jpg</t>
  </si>
  <si>
    <t>https://m.media-amazon.com/images/W/WEBP_402378-T2/images/I/41zejggGzLL._SX300_SY300_QL70_FMwebp_.jpg</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</si>
  <si>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</si>
  <si>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</si>
  <si>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</si>
  <si>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</si>
  <si>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</si>
  <si>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</si>
  <si>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</si>
  <si>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</si>
  <si>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</si>
  <si>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</si>
  <si>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</si>
  <si>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</si>
  <si>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</si>
  <si>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</si>
  <si>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</si>
  <si>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</si>
  <si>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</si>
  <si>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</si>
  <si>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</si>
  <si>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</si>
  <si>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</si>
  <si>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</si>
  <si>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</si>
  <si>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</si>
  <si>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</si>
  <si>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</si>
  <si>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</si>
  <si>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</si>
  <si>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</si>
  <si>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</si>
  <si>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</si>
  <si>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</si>
  <si>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</si>
  <si>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</si>
  <si>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</si>
  <si>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</si>
  <si>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</si>
  <si>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</si>
  <si>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</si>
  <si>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</si>
  <si>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</si>
  <si>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</si>
  <si>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</si>
  <si>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</si>
  <si>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</si>
  <si>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</si>
  <si>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</si>
  <si>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</si>
  <si>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https://m.media-amazon.com/images/I/31pQZsxPR4L._SX300_SY300_QL70_FMwebp_.jpg</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</si>
  <si>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</si>
  <si>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</si>
  <si>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</si>
  <si>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</si>
  <si>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</si>
  <si>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</si>
  <si>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</si>
  <si>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</si>
  <si>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</si>
  <si>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👍realme buds🎧,Please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</si>
  <si>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</si>
  <si>
    <t>https://m.media-amazon.com/images/I/41ZCYvl4noL._SX300_SY300_QL70_FMwebp_.jpg</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</si>
  <si>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</si>
  <si>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</si>
  <si>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</si>
  <si>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</si>
  <si>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</si>
  <si>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</si>
  <si>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</si>
  <si>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</si>
  <si>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</si>
  <si>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</si>
  <si>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</si>
  <si>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</si>
  <si>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</si>
  <si>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</si>
  <si>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</si>
  <si>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</si>
  <si>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</si>
  <si>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</si>
  <si>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</si>
  <si>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</si>
  <si>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</si>
  <si>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</si>
  <si>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</si>
  <si>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</si>
  <si>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</si>
  <si>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</si>
  <si>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</si>
  <si>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</si>
  <si>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</si>
  <si>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</si>
  <si>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</si>
  <si>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</si>
  <si>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</si>
  <si>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</si>
  <si>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</si>
  <si>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</si>
  <si>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https://m.media-amazon.com/images/I/21uJX5AqizL._SX300_SY300_QL70_FMwebp_.jpg</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</si>
  <si>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</si>
  <si>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</si>
  <si>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</si>
  <si>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</si>
  <si>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</si>
  <si>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</si>
  <si>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</si>
  <si>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</si>
  <si>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</si>
  <si>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</si>
  <si>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</si>
  <si>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</si>
  <si>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</si>
  <si>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</si>
  <si>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</si>
  <si>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</si>
  <si>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t>
  </si>
  <si>
    <t>https://m.media-amazon.com/images/I/512ah5e1LsL._SY300_SX300_QL70_FMwebp_.jpg</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</si>
  <si>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</si>
  <si>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</si>
  <si>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</si>
  <si>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</si>
  <si>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</si>
  <si>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</si>
  <si>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https://m.media-amazon.com/images/W/WEBP_402378-T1/images/I/414y0iu5NUL._SX300_SY300_QL70_FMwebp_.jpg</t>
  </si>
  <si>
    <t>https://m.media-amazon.com/images/W/WEBP_402378-T1/images/I/51pl09bEsHL._SY445_SX342_QL70_FMwebp_.jpg</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</si>
  <si>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</si>
  <si>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</si>
  <si>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</si>
  <si>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</si>
  <si>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</si>
  <si>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</si>
  <si>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</si>
  <si>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</si>
  <si>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</si>
  <si>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</si>
  <si>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</si>
  <si>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</si>
  <si>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</si>
  <si>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</si>
  <si>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</si>
  <si>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</si>
  <si>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</si>
  <si>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</si>
  <si>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</si>
  <si>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</si>
  <si>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</si>
  <si>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</si>
  <si>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t>
  </si>
  <si>
    <t>https://m.media-amazon.com/images/W/WEBP_402378-T1/images/I/41NxAkv7knL._SX300_SY300_QL70_FMwebp_.jpg</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</si>
  <si>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</si>
  <si>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</si>
  <si>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</si>
  <si>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</si>
  <si>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</si>
  <si>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</si>
  <si>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</si>
  <si>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</si>
  <si>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</si>
  <si>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</si>
  <si>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</si>
  <si>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</si>
  <si>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</si>
  <si>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</si>
  <si>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</si>
  <si>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</si>
  <si>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</si>
  <si>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</si>
  <si>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</si>
  <si>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</si>
  <si>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</si>
  <si>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</si>
  <si>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</si>
  <si>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</si>
  <si>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https://m.media-amazon.com/images/I/41611VFTGwL._SY300_SX300_QL70_FMwebp_.jpg</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</si>
  <si>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</si>
  <si>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</si>
  <si>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</si>
  <si>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</si>
  <si>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</si>
  <si>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</si>
  <si>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</si>
  <si>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</si>
  <si>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</si>
  <si>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</si>
  <si>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</si>
  <si>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</si>
  <si>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</si>
  <si>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</si>
  <si>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</si>
  <si>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👎Disappointed 👎Review after 1 year 3 months of usage,Good product and received latest V4,Good Budget Gigabit Router with Beamforming and multiple options in firmware,Range is issue for 5g every where,Value For Money,Go for it,Super 👍,Signal,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</si>
  <si>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t>
  </si>
  <si>
    <t>https://m.media-amazon.com/images/W/WEBP_402378-T1/images/I/41SNaWjuZWL._SX300_SY300_QL70_FMwebp_.jpg</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</si>
  <si>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</si>
  <si>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</si>
  <si>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</si>
  <si>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</si>
  <si>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</si>
  <si>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</si>
  <si>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https://m.media-amazon.com/images/I/31gNcDrEskL._SX300_SY300_QL70_FMwebp_.jpg</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</si>
  <si>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</si>
  <si>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</si>
  <si>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</si>
  <si>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</si>
  <si>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</si>
  <si>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</si>
  <si>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</si>
  <si>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</si>
  <si>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</si>
  <si>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</si>
  <si>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</si>
  <si>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</si>
  <si>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</si>
  <si>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</si>
  <si>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</si>
  <si>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Customer,अभिनव,Suman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</si>
  <si>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</si>
  <si>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</si>
  <si>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</si>
  <si>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</si>
  <si>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</si>
  <si>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</si>
  <si>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</si>
  <si>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</si>
  <si>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</si>
  <si>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</si>
  <si>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</si>
  <si>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</si>
  <si>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</si>
  <si>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</si>
  <si>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</si>
  <si>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</si>
  <si>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</si>
  <si>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</si>
  <si>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</si>
  <si>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</si>
  <si>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</si>
  <si>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</si>
  <si>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</si>
  <si>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</si>
  <si>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</si>
  <si>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</si>
  <si>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</si>
  <si>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</si>
  <si>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</si>
  <si>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</si>
  <si>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</si>
  <si>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</si>
  <si>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</si>
  <si>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</si>
  <si>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</si>
  <si>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</si>
  <si>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</si>
  <si>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</si>
  <si>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</si>
  <si>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</si>
  <si>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</si>
  <si>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Pasupuleti,😈loki😈,Madhav Upadhyaya,Dhiraj Kumar Gupta,99BestDeal</t>
  </si>
  <si>
    <t>R17OSOGCSZ1TU1,R2V3IDY4X5DO07,R10YPJXXLIT9PF,R2NI83SF805SZB,R2O53KW0B4KLDY,R24235I5D6EXHG,R2ATCM75K287E3,R15Z1PSJ93SSWJ</t>
  </si>
  <si>
    <t>Pretty good,I m happy 😊got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</si>
  <si>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</si>
  <si>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</si>
  <si>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</si>
  <si>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Neema,ÂRUN MOHAN,Ankit Nagvekar,Gautham Panchavadi,Akshay Kaushik</t>
  </si>
  <si>
    <t>R268UIIQ8R8LOR,R15VZPEXXYZB7I,R3R1OIOGZG4W4C,R3EQ4KGEQ3TQLL,R2N86U6QNUP5VH,R3E30BZGJ93XEM,R3M5YID5J08Y5T,R3BE5A24UBV6J7</t>
  </si>
  <si>
    <t>Excellent product. vlue for money,Decent product,यह अच्छा प्रोडक्ट है ।पैसा वसूल,It’s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</si>
  <si>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t>
  </si>
  <si>
    <t>https://m.media-amazon.com/images/I/31Wm6eo+yYL._SY300_SX300_.jpg</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</si>
  <si>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</si>
  <si>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</si>
  <si>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</si>
  <si>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</si>
  <si>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</si>
  <si>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</si>
  <si>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</si>
  <si>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</si>
  <si>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</si>
  <si>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</si>
  <si>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</si>
  <si>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</si>
  <si>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</si>
  <si>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</si>
  <si>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</si>
  <si>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</si>
  <si>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</si>
  <si>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</si>
  <si>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</si>
  <si>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</si>
  <si>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</si>
  <si>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</si>
  <si>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</si>
  <si>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</si>
  <si>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</si>
  <si>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</si>
  <si>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</si>
  <si>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</si>
  <si>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</si>
  <si>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</si>
  <si>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</si>
  <si>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</si>
  <si>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</si>
  <si>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</si>
  <si>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</si>
  <si>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</si>
  <si>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</si>
  <si>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</si>
  <si>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</si>
  <si>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</si>
  <si>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</si>
  <si>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</si>
  <si>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</si>
  <si>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</si>
  <si>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</si>
  <si>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</si>
  <si>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</si>
  <si>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</si>
  <si>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</si>
  <si>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</si>
  <si>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</si>
  <si>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</si>
  <si>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</si>
  <si>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</si>
  <si>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</si>
  <si>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</si>
  <si>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</si>
  <si>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</si>
  <si>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</si>
  <si>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t>
  </si>
  <si>
    <t>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t>
  </si>
  <si>
    <t>https://m.media-amazon.com/images/I/31mYeD0VSTL._SX300_SY300_QL70_FMwebp_.jpg</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</si>
  <si>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</si>
  <si>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</si>
  <si>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</si>
  <si>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</si>
  <si>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</si>
  <si>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</si>
  <si>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</si>
  <si>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</si>
  <si>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</si>
  <si>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</si>
  <si>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</si>
  <si>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</si>
  <si>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</si>
  <si>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</si>
  <si>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</si>
  <si>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</si>
  <si>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</si>
  <si>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</si>
  <si>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https://m.media-amazon.com/images/W/WEBP_402378-T2/images/I/31x3IUfMneL._SX300_SY300_QL70_FMwebp_.jpg</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</si>
  <si>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</si>
  <si>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</si>
  <si>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</si>
  <si>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</si>
  <si>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</si>
  <si>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</si>
  <si>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https://m.media-amazon.com/images/I/31l-eZHBfKL._SX300_SY300_QL70_FMwebp_.jpg</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</si>
  <si>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</si>
  <si>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</si>
  <si>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</si>
  <si>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</si>
  <si>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</si>
  <si>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</si>
  <si>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</si>
  <si>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</si>
  <si>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</si>
  <si>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</si>
  <si>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</si>
  <si>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</si>
  <si>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</si>
  <si>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</si>
  <si>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</si>
  <si>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</si>
  <si>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</si>
  <si>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</si>
  <si>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</si>
  <si>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</si>
  <si>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</si>
  <si>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👍,Nice to purchase,Aesthetic look but not sure about the reverse side,worth the money,Zipless and logoless but great product,Value for money product,Looks good,Size</t>
  </si>
  <si>
    <t>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</si>
  <si>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</si>
  <si>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</si>
  <si>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</si>
  <si>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</si>
  <si>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</si>
  <si>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</si>
  <si>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</si>
  <si>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</si>
  <si>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</si>
  <si>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</si>
  <si>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</si>
  <si>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</si>
  <si>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</si>
  <si>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</si>
  <si>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</si>
  <si>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</si>
  <si>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</si>
  <si>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</si>
  <si>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</si>
  <si>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</si>
  <si>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</si>
  <si>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</si>
  <si>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</si>
  <si>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</si>
  <si>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</si>
  <si>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</si>
  <si>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</si>
  <si>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</si>
  <si>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</si>
  <si>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</si>
  <si>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</si>
  <si>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</si>
  <si>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</si>
  <si>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</si>
  <si>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</si>
  <si>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</si>
  <si>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</si>
  <si>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</si>
  <si>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</si>
  <si>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</si>
  <si>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</si>
  <si>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t>
  </si>
  <si>
    <t>https://m.media-amazon.com/images/W/WEBP_402378-T1/images/I/31-wcLwDaBL._SX300_SY300_QL70_FMwebp_.jpg</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</si>
  <si>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</si>
  <si>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</si>
  <si>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</si>
  <si>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</si>
  <si>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</si>
  <si>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</si>
  <si>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</si>
  <si>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</si>
  <si>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</si>
  <si>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</si>
  <si>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</si>
  <si>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</si>
  <si>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https://m.media-amazon.com/images/I/41fDM4QUfvL._SX300_SY300_QL70_FMwebp_.jpg</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</si>
  <si>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</si>
  <si>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</si>
  <si>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</si>
  <si>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</si>
  <si>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</si>
  <si>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</si>
  <si>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</si>
  <si>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</si>
  <si>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</si>
  <si>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</si>
  <si>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</si>
  <si>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</si>
  <si>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https://m.media-amazon.com/images/I/41J6oGU8w5L._SX300_SY300_QL70_FMwebp_.jpg</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</si>
  <si>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</si>
  <si>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</si>
  <si>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</si>
  <si>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</si>
  <si>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</si>
  <si>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</si>
  <si>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</si>
  <si>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</si>
  <si>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</si>
  <si>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</si>
  <si>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</si>
  <si>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</si>
  <si>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</si>
  <si>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</si>
  <si>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</si>
  <si>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</si>
  <si>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</si>
  <si>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</si>
  <si>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</si>
  <si>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</si>
  <si>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</si>
  <si>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</si>
  <si>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</si>
  <si>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</si>
  <si>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</si>
  <si>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</si>
  <si>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</si>
  <si>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</si>
  <si>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</si>
  <si>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</si>
  <si>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</si>
  <si>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</si>
  <si>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</si>
  <si>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</si>
  <si>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</si>
  <si>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</si>
  <si>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https://m.media-amazon.com/images/I/217Lv1D3bHL._SX300_SY300_QL70_FMwebp_.jpg</t>
  </si>
  <si>
    <t>https://m.media-amazon.com/images/W/WEBP_402378-T2/images/I/31mgo4D-kPL._SX300_SY300_QL70_FMwebp_.jpg</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</si>
  <si>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</si>
  <si>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</si>
  <si>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</si>
  <si>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</si>
  <si>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</si>
  <si>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</si>
  <si>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</si>
  <si>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</si>
  <si>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</si>
  <si>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</si>
  <si>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</si>
  <si>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</si>
  <si>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</si>
  <si>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</si>
  <si>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</si>
  <si>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</si>
  <si>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</si>
  <si>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</si>
  <si>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</si>
  <si>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</si>
  <si>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</si>
  <si>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</si>
  <si>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t>
  </si>
  <si>
    <t>https://m.media-amazon.com/images/I/514Zxz-eqKL._SX300_SY300_QL70_FMwebp_.jpg</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</si>
  <si>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</si>
  <si>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</si>
  <si>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</si>
  <si>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👍,Good,Good product,Good product,Lovable and nice product,Nice product,Compact and easy to use. Suitable for a room</t>
  </si>
  <si>
    <t>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</si>
  <si>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</si>
  <si>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</si>
  <si>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</si>
  <si>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</si>
  <si>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</si>
  <si>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t>
  </si>
  <si>
    <t>https://m.media-amazon.com/images/I/415CYtympZL._SX300_SY300_QL70_FMwebp_.jpg</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</si>
  <si>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</si>
  <si>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</si>
  <si>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</si>
  <si>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</si>
  <si>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</si>
  <si>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</si>
  <si>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</si>
  <si>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</si>
  <si>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</si>
  <si>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</si>
  <si>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</si>
  <si>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</si>
  <si>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</si>
  <si>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</si>
  <si>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</si>
  <si>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</si>
  <si>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</si>
  <si>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</si>
  <si>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</si>
  <si>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</si>
  <si>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</si>
  <si>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</si>
  <si>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</si>
  <si>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</si>
  <si>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</si>
  <si>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</si>
  <si>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</si>
  <si>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</si>
  <si>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</si>
  <si>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</si>
  <si>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</si>
  <si>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</si>
  <si>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</si>
  <si>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kettle,It’s ok,Good product 👍🏼</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</si>
  <si>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</si>
  <si>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</si>
  <si>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</si>
  <si>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</si>
  <si>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</si>
  <si>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cooldown,लाजवाब हे,Good,Value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</si>
  <si>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t>
  </si>
  <si>
    <t>https://m.media-amazon.com/images/W/WEBP_402378-T1/images/I/411pUp4t0OL._SX300_SY300_QL70_FMwebp_.jpg</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</si>
  <si>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</si>
  <si>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</si>
  <si>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</si>
  <si>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</si>
  <si>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</si>
  <si>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</si>
  <si>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</si>
  <si>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</si>
  <si>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</si>
  <si>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</si>
  <si>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</si>
  <si>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</si>
  <si>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</si>
  <si>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</si>
  <si>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</si>
  <si>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</si>
  <si>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</si>
  <si>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</si>
  <si>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</si>
  <si>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</si>
  <si>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</si>
  <si>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</si>
  <si>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</si>
  <si>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</si>
  <si>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AEWW4RY2BE6FRKM6CVAJ2Z4ZTR7Q,AHJRPRAXBOIRLYMCRQ4HCACPXDVQ,AFCCVMGUWTBRWJCYRW6PAMN5AXLQ,AEL3F2M663FPAM5NGOPIHDLQLQGA,AGTBHLMFZBZYGUWZPZRHRJVZKZ3A,AHK7J2EVK33WETV524DZPUYL24YQ,AFT2MH26JCXVVBN73QZEFU3ZCQ4A,AEPUWVGQ64XTHKV2C3CFSR5Y34SA</t>
  </si>
  <si>
    <t>Chittibabu M,Sagarjit,Samiran Mondal,ᴀᴅᴡᴀɪᴛʜ,Ramjan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</si>
  <si>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</si>
  <si>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</si>
  <si>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</si>
  <si>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</si>
  <si>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</si>
  <si>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</si>
  <si>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</si>
  <si>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👍,It's affordable but cheap quality</t>
  </si>
  <si>
    <t>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</si>
  <si>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</si>
  <si>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</si>
  <si>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</si>
  <si>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</si>
  <si>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</si>
  <si>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t>
  </si>
  <si>
    <t>https://m.media-amazon.com/images/W/WEBP_402378-T1/images/I/31991seDfcL._SY300_SX300_QL70_FMwebp_.jpg</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</si>
  <si>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</si>
  <si>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</si>
  <si>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</si>
  <si>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</si>
  <si>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</si>
  <si>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</si>
  <si>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</si>
  <si>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</si>
  <si>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</si>
  <si>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</si>
  <si>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t>
  </si>
  <si>
    <t>https://m.media-amazon.com/images/I/31S74o1sCSS._SY300_SX300_QL70_FMwebp_.jpg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</si>
  <si>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</si>
  <si>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</si>
  <si>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</si>
  <si>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</si>
  <si>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</si>
  <si>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</si>
  <si>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</si>
  <si>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nale,ਚੰਦਨਦੀਪ ਸਿੰਘ ਬਾਲੀ,Sherry,Saket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</si>
  <si>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</si>
  <si>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</si>
  <si>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t>
  </si>
  <si>
    <t>https://m.media-amazon.com/images/I/4150hW2kHwL._SX300_SY300_QL70_FMwebp_.jpg</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</si>
  <si>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</si>
  <si>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</si>
  <si>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</si>
  <si>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</si>
  <si>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</si>
  <si>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</si>
  <si>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</si>
  <si>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</si>
  <si>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</si>
  <si>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</si>
  <si>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</si>
  <si>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</si>
  <si>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</si>
  <si>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</si>
  <si>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</si>
  <si>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</si>
  <si>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t>
  </si>
  <si>
    <t>https://m.media-amazon.com/images/W/WEBP_402378-T1/images/I/41jBJfPQFwL._SY300_SX300_QL70_FMwebp_.jpg</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</si>
  <si>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</si>
  <si>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</si>
  <si>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</si>
  <si>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it.👍🏻,3 PIN Plug should be there,Mixer is good as well as jar is good.But packing is very bad.,Too much noise,Good quality product......,Good,Nc,Useful</t>
  </si>
  <si>
    <t>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t>
  </si>
  <si>
    <t>https://m.media-amazon.com/images/W/WEBP_402378-T1/images/I/31rucE-db2L._SX300_SY300_QL70_FMwebp_.jpg</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</si>
  <si>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</si>
  <si>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</si>
  <si>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</si>
  <si>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</si>
  <si>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</si>
  <si>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</si>
  <si>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</si>
  <si>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</si>
  <si>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</si>
  <si>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</si>
  <si>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</si>
  <si>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</si>
  <si>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</si>
  <si>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</si>
  <si>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</si>
  <si>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</si>
  <si>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</si>
  <si>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</si>
  <si>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</si>
  <si>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</si>
  <si>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</si>
  <si>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</si>
  <si>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</si>
  <si>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</si>
  <si>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</si>
  <si>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</si>
  <si>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</si>
  <si>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</si>
  <si>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</si>
  <si>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</si>
  <si>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</si>
  <si>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</si>
  <si>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</si>
  <si>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</si>
  <si>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t>
  </si>
  <si>
    <t>https://m.media-amazon.com/images/I/41Y8kHM144L._SY300_SX300_QL70_FMwebp_.jpg</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</si>
  <si>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</si>
  <si>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</si>
  <si>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</si>
  <si>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</si>
  <si>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</si>
  <si>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</si>
  <si>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</si>
  <si>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</si>
  <si>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</si>
  <si>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</si>
  <si>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</si>
  <si>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</si>
  <si>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AF7IXQKBUL6NEIQG4R53LMJJUGXQ,AGBITVO2DOMNZU6DB4QF2WXXELLA,AFKLAG22RFOVUU5PLNHQ5K6J44ZA,AFLBQUGX2NEY6DLJBUN7O6LGH4QQ,AFESOELYFWWZ3LND4HLBVI3PLAYA,AF7N24U3P7U7KXYPZXEKACPE2KEA,AELHJ3ZSDT52K3IHCRSBUZF4LXQA,AEOEMKEL2KZN2YOOK6FKZ7NYK3XQ</t>
  </si>
  <si>
    <t>Neeraj Vishwakarma,⚡ Pushpendra Singh Patel ⚡,Sanjeev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</si>
  <si>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</si>
  <si>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</si>
  <si>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</si>
  <si>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</si>
  <si>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</si>
  <si>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</si>
  <si>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</si>
  <si>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</si>
  <si>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</si>
  <si>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</si>
  <si>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</si>
  <si>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</si>
  <si>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</si>
  <si>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</si>
  <si>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</si>
  <si>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</si>
  <si>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</si>
  <si>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</si>
  <si>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</si>
  <si>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</si>
  <si>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</si>
  <si>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</si>
  <si>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</si>
  <si>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</si>
  <si>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</si>
  <si>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</si>
  <si>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</si>
  <si>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</si>
  <si>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</si>
  <si>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</si>
  <si>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</si>
  <si>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</si>
  <si>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</si>
  <si>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</si>
  <si>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</si>
  <si>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</si>
  <si>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</si>
  <si>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</si>
  <si>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</si>
  <si>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</si>
  <si>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</si>
  <si>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</si>
  <si>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</si>
  <si>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</si>
  <si>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t>
  </si>
  <si>
    <t>https://m.media-amazon.com/images/W/WEBP_402378-T1/images/I/41IymCXFA7L._SX300_SY300_QL70_FMwebp_.jpg</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</si>
  <si>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</si>
  <si>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</si>
  <si>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</si>
  <si>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value,No1,तेल गर्म करने में परेशानी,Good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</si>
  <si>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t>
  </si>
  <si>
    <t>https://m.media-amazon.com/images/I/41Bnylq337S._SX300_SY300_QL70_FMwebp_.jpg</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</si>
  <si>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</si>
  <si>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</si>
  <si>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</si>
  <si>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</si>
  <si>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t>
  </si>
  <si>
    <t>https://m.media-amazon.com/images/W/WEBP_402378-T2/images/I/41xXipZ7vjL._SX300_SY300_QL70_FMwebp_.jpg</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</si>
  <si>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</si>
  <si>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</si>
  <si>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</si>
  <si>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</si>
  <si>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t>
  </si>
  <si>
    <t>https://m.media-amazon.com/images/I/41NW-vJum5L._SX300_SY300_QL70_FMwebp_.jpg</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</si>
  <si>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</si>
  <si>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</si>
  <si>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</si>
  <si>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</si>
  <si>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</si>
  <si>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</si>
  <si>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</si>
  <si>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</si>
  <si>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</si>
  <si>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👍,Good performance with cheap look,User manual book and Warranty card not in Box.,Satisfied 😁</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</si>
  <si>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</si>
  <si>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</si>
  <si>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</si>
  <si>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</si>
  <si>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</si>
  <si>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</si>
  <si>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</si>
  <si>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</si>
  <si>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</si>
  <si>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</si>
  <si>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</si>
  <si>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</si>
  <si>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</si>
  <si>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</si>
  <si>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</si>
  <si>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</si>
  <si>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</si>
  <si>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</si>
  <si>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</si>
  <si>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</si>
  <si>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</si>
  <si>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</si>
  <si>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</si>
  <si>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</si>
  <si>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</si>
  <si>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</si>
  <si>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</si>
  <si>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</si>
  <si>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</si>
  <si>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</si>
  <si>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</si>
  <si>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</si>
  <si>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</si>
  <si>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</si>
  <si>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</si>
  <si>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</si>
  <si>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t>
  </si>
  <si>
    <t>https://images-na.ssl-images-amazon.com/images/W/WEBP_402378-T1/images/I/41d17oVYVeL._SX300_SY300_QL70_FMwebp_.jpg</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</si>
  <si>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</si>
  <si>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</si>
  <si>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</si>
  <si>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</si>
  <si>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t>
  </si>
  <si>
    <t>https://m.media-amazon.com/images/I/41SkG6Puq5L._SX300_SY300_QL70_FMwebp_.jpg</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</si>
  <si>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</si>
  <si>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</si>
  <si>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</si>
  <si>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</si>
  <si>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</si>
  <si>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</si>
  <si>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</si>
  <si>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</si>
  <si>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</si>
  <si>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</si>
  <si>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</si>
  <si>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</si>
  <si>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</si>
  <si>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</si>
  <si>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</si>
  <si>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पैसा वसूल,Nice,Not a good dilvery by bajaj,Almost gud product but takes time for getting hot water,Uuummhh,Good product,Overall average to good product.,Good</t>
  </si>
  <si>
    <t>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</si>
  <si>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</si>
  <si>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</si>
  <si>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</si>
  <si>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</si>
  <si>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</si>
  <si>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t>
  </si>
  <si>
    <t>https://m.media-amazon.com/images/W/WEBP_402378-T2/images/I/31LsgYDJNkL._SX300_SY300_QL70_FMwebp_.jpg</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</si>
  <si>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</si>
  <si>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</si>
  <si>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</si>
  <si>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</si>
  <si>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t>
  </si>
  <si>
    <t>https://m.media-amazon.com/images/W/WEBP_402378-T1/images/I/51ey0zzictL._SX300_SY300_QL70_FMwebp_.jpg</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</si>
  <si>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</si>
  <si>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</si>
  <si>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</si>
  <si>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</si>
  <si>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</si>
  <si>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</si>
  <si>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</si>
  <si>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</si>
  <si>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</si>
  <si>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</si>
  <si>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</si>
  <si>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</si>
  <si>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</si>
  <si>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</si>
  <si>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</si>
  <si>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</si>
  <si>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t>
  </si>
  <si>
    <t>https://m.media-amazon.com/images/I/41cxgOxlbYL._SX300_SY300_QL70_FMwebp_.jpg</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</si>
  <si>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</si>
  <si>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</si>
  <si>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</si>
  <si>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 😃,Good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</si>
  <si>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</si>
  <si>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</si>
  <si>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</si>
  <si>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</si>
  <si>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</si>
  <si>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</si>
  <si>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</si>
  <si>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</si>
  <si>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</si>
  <si>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</si>
  <si>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</si>
  <si>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</si>
  <si>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</si>
  <si>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</si>
  <si>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</si>
  <si>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</si>
  <si>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</si>
  <si>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</si>
  <si>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t>
  </si>
  <si>
    <t>https://m.media-amazon.com/images/W/WEBP_402378-T2/images/I/41QNSlZeKiL._SX300_SY300_QL70_FMwebp_.jpg</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</si>
  <si>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</si>
  <si>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</si>
  <si>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</si>
  <si>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</si>
  <si>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</si>
  <si>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</si>
  <si>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</si>
  <si>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</si>
  <si>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</si>
  <si>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👍,Good...,Good Product,Satisfied,Good for small room,Unsure,Not bad,Don't bye it....</t>
  </si>
  <si>
    <t>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</si>
  <si>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</si>
  <si>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</si>
  <si>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</si>
  <si>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</si>
  <si>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</si>
  <si>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</si>
  <si>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</si>
  <si>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</si>
  <si>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</si>
  <si>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</si>
  <si>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</si>
  <si>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</si>
  <si>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</si>
  <si>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</si>
  <si>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</si>
  <si>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</si>
  <si>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</si>
  <si>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</si>
  <si>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</si>
  <si>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</si>
  <si>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</si>
  <si>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</si>
  <si>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</si>
  <si>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</si>
  <si>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</si>
  <si>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</si>
  <si>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</si>
  <si>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</si>
  <si>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</si>
  <si>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</si>
  <si>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</si>
  <si>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</si>
  <si>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</si>
  <si>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</si>
  <si>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</si>
  <si>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t>
  </si>
  <si>
    <t>https://m.media-amazon.com/images/W/WEBP_402378-T1/images/I/21rUca9axYL._SX300_SY300_QL70_FMwebp_.jpg</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</si>
  <si>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</si>
  <si>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</si>
  <si>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</si>
  <si>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</si>
  <si>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</si>
  <si>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</si>
  <si>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</si>
  <si>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</si>
  <si>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</si>
  <si>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</si>
  <si>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</si>
  <si>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</si>
  <si>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</si>
  <si>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</si>
  <si>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</si>
  <si>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</si>
  <si>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</si>
  <si>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</si>
  <si>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</si>
  <si>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</si>
  <si>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</si>
  <si>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👍,Good performance,Good product</t>
  </si>
  <si>
    <t>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t>
  </si>
  <si>
    <t>https://m.media-amazon.com/images/W/WEBP_402378-T1/images/I/31TLru4LT8L._SX300_SY300_QL70_FMwebp_.jpg</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</si>
  <si>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</si>
  <si>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</si>
  <si>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</si>
  <si>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</si>
  <si>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</si>
  <si>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</si>
  <si>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</si>
  <si>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</si>
  <si>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</si>
  <si>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</si>
  <si>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</si>
  <si>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</si>
  <si>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</si>
  <si>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</si>
  <si>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</si>
  <si>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</si>
  <si>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</si>
  <si>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</si>
  <si>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</si>
  <si>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</si>
  <si>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</si>
  <si>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</si>
  <si>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</si>
  <si>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</si>
  <si>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</si>
  <si>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</si>
  <si>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</si>
  <si>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</si>
  <si>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</si>
  <si>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</si>
  <si>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</si>
  <si>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</si>
  <si>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</si>
  <si>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</si>
  <si>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</si>
  <si>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</si>
  <si>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</si>
  <si>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</si>
  <si>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</si>
  <si>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</si>
  <si>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t>
  </si>
  <si>
    <t>https://m.media-amazon.com/images/W/WEBP_402378-T2/images/I/21OWOIM1wML._SX300_SY300_QL70_FMwebp_.jpg</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</si>
  <si>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</si>
  <si>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</si>
  <si>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</si>
  <si>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</si>
  <si>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</si>
  <si>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</si>
  <si>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</si>
  <si>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</si>
  <si>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</si>
  <si>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</si>
  <si>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</si>
  <si>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</si>
  <si>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</si>
  <si>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</si>
  <si>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</si>
  <si>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</si>
  <si>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</si>
  <si>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</si>
  <si>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</si>
  <si>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</si>
  <si>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</si>
  <si>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</si>
  <si>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</si>
  <si>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</si>
  <si>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</si>
  <si>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</si>
  <si>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</si>
  <si>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</si>
  <si>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</si>
  <si>
    <t>https://m.media-amazon.com/images/W/WEBP_402378-T1/images/I/31CLpobJstL._SY300_SX300_QL70_FMwebp_.jpg</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</si>
  <si>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</si>
  <si>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</si>
  <si>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</si>
  <si>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</si>
  <si>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</si>
  <si>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</si>
  <si>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</si>
  <si>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</si>
  <si>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</si>
  <si>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</si>
  <si>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t>
  </si>
  <si>
    <t>https://m.media-amazon.com/images/I/41A8H7PSidL._SY300_SX300_QL70_FMwebp_.jpg</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</si>
  <si>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</si>
  <si>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</si>
  <si>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</si>
  <si>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</si>
  <si>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</si>
  <si>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</si>
  <si>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</si>
  <si>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</si>
  <si>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</si>
  <si>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</si>
  <si>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</si>
  <si>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</si>
  <si>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</si>
  <si>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</si>
  <si>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</si>
  <si>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</si>
  <si>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</si>
  <si>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</si>
  <si>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</si>
  <si>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</si>
  <si>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</si>
  <si>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</si>
  <si>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</si>
  <si>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</si>
  <si>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</si>
  <si>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</si>
  <si>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</si>
  <si>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</si>
  <si>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t>
  </si>
  <si>
    <t>https://m.media-amazon.com/images/I/31uLbVqjaqL._SX300_SY300_QL70_FMwebp_.jpg</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</si>
  <si>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</si>
  <si>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</si>
  <si>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</si>
  <si>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</si>
  <si>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</si>
  <si>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</si>
  <si>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</si>
  <si>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</si>
  <si>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</si>
  <si>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👌👌👌,Heating is not even and happens only side of the kettle.,There is no flame adjustment</t>
  </si>
  <si>
    <t>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</si>
  <si>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</si>
  <si>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</si>
  <si>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</si>
  <si>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</si>
  <si>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</si>
  <si>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 you can see the picture I hv shared.</t>
  </si>
  <si>
    <t>https://m.media-amazon.com/images/W/WEBP_402378-T1/images/I/416wtLbGHvL._SX300_SY300_QL70_FMwebp_.jpg</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</si>
  <si>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</si>
  <si>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</si>
  <si>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</si>
  <si>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</si>
  <si>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</si>
  <si>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</si>
  <si>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</si>
  <si>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</si>
  <si>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</si>
  <si>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</si>
  <si>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t>
  </si>
  <si>
    <t>https://m.media-amazon.com/images/I/41PhEVR4X4L._SX300_SY300_QL70_FMwebp_.jpg</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</si>
  <si>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</si>
  <si>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</si>
  <si>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</si>
  <si>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</si>
  <si>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</si>
  <si>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</si>
  <si>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</si>
  <si>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</si>
  <si>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</si>
  <si>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</si>
  <si>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</si>
  <si>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</si>
  <si>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</si>
  <si>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</si>
  <si>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</si>
  <si>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</si>
  <si>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</si>
  <si>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</si>
  <si>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</si>
  <si>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</si>
  <si>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</si>
  <si>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</si>
  <si>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</si>
  <si>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</si>
  <si>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</si>
  <si>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</si>
  <si>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</si>
  <si>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</si>
  <si>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</si>
  <si>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</si>
  <si>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</si>
  <si>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</si>
  <si>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</si>
  <si>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</si>
  <si>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</si>
  <si>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</si>
  <si>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</si>
  <si>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</si>
  <si>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</si>
  <si>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</si>
  <si>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</si>
  <si>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</si>
  <si>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</si>
  <si>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</si>
  <si>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</si>
  <si>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</si>
  <si>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</si>
  <si>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</si>
  <si>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</si>
  <si>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</si>
  <si>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</si>
  <si>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</si>
  <si>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</si>
  <si>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</si>
  <si>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</si>
  <si>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</si>
  <si>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</si>
  <si>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</si>
  <si>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</si>
  <si>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</si>
  <si>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</si>
  <si>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</si>
  <si>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</si>
  <si>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</si>
  <si>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</si>
  <si>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</si>
  <si>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</si>
  <si>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</si>
  <si>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</si>
  <si>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</si>
  <si>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</si>
  <si>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</si>
  <si>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</si>
  <si>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</si>
  <si>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</si>
  <si>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</si>
  <si>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</si>
  <si>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</si>
  <si>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</si>
  <si>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</si>
  <si>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</si>
  <si>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</si>
  <si>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</si>
  <si>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</si>
  <si>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</si>
  <si>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</si>
  <si>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</si>
  <si>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</si>
  <si>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</si>
  <si>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</si>
  <si>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</si>
  <si>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</si>
  <si>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</si>
  <si>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</si>
  <si>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</si>
  <si>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</si>
  <si>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</si>
  <si>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</si>
  <si>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</si>
  <si>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</si>
  <si>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</si>
  <si>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</si>
  <si>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AGBITVO2DOMNZU6DB4QF2WXXELLA,AFMPYDPXNEAOY7V6ESN3RHHIFOLA,AEXMSOQXFSGNINYXVTPXWF6LNSOQ,AHJ36WVWO52FUAO4F7W2V2HUVIOA,AHDVRIPXBUVBEU4SPWOC6RGAYRPQ,AEM6HSXS6EAAW2W2YCJDURHPAOHQ,AHGWXO3TIN5RERBOPO6KS5HW6PQQ,AF476TMP4LI7EBRKEYTFE33CHLLA</t>
  </si>
  <si>
    <t>⚡ Pushpendra Singh Patel ⚡,Mukul,Sauron,Amazon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</si>
  <si>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</si>
  <si>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</si>
  <si>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</si>
  <si>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</si>
  <si>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</si>
  <si>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</si>
  <si>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</si>
  <si>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</si>
  <si>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t>
  </si>
  <si>
    <t>https://m.media-amazon.com/images/I/41J7JQ+P7WL._SX300_SY300_.jpg</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</si>
  <si>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</si>
  <si>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</si>
  <si>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</si>
  <si>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</si>
  <si>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t>
  </si>
  <si>
    <t>https://m.media-amazon.com/images/I/41nBjnlp-ML._SY300_SX300_QL70_FMwebp_.jpg</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</si>
  <si>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</si>
  <si>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</si>
  <si>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</si>
  <si>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</si>
  <si>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</si>
  <si>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</si>
  <si>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AEU7DVFEL43XZ6T4D572W2ZLBRKQ,AGWOH7CFDMUVW52NMZWQBKBNNQOA,AGZN422FGG7JO3T5YY6IVUELOODA</t>
  </si>
  <si>
    <t>Yogita g.,Amazon Customer,Mimsy</t>
  </si>
  <si>
    <t>R2WHW4PEF14WOD,R2DCCZWUGI0O0K,R1FA1HH6VL1RAL</t>
  </si>
  <si>
    <t>Best Product,It’s expansive but it works well upto 800sqft area,Great product</t>
  </si>
  <si>
    <t>Must buy best Fabulous product I recommend this👍👍,For small place it’s gud,A great product. Works wonders on my vitrified tile floors.</t>
  </si>
  <si>
    <t>https://m.media-amazon.com/images/I/41+t2HWvwFL._SY300_SX300_.jpg</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</si>
  <si>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</si>
  <si>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</si>
  <si>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</si>
  <si>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</si>
  <si>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</si>
  <si>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</si>
  <si>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</si>
  <si>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</si>
  <si>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</si>
  <si>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</si>
  <si>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</si>
  <si>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</si>
  <si>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</si>
  <si>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</si>
  <si>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</si>
  <si>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</si>
  <si>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</si>
  <si>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</si>
  <si>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</si>
  <si>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</si>
  <si>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</si>
  <si>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</si>
  <si>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</si>
  <si>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</si>
  <si>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</si>
  <si>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</si>
  <si>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</si>
  <si>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</si>
  <si>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</si>
  <si>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</si>
  <si>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</si>
  <si>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</si>
  <si>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</si>
  <si>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</si>
  <si>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</si>
  <si>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</si>
  <si>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</si>
  <si>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</si>
  <si>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</si>
  <si>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</si>
  <si>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t>
  </si>
  <si>
    <t>https://m.media-amazon.com/images/W/WEBP_402378-T2/images/I/31MNWLE6vuL._SY300_SX300_QL70_FMwebp_.jpg</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</si>
  <si>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</si>
  <si>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</si>
  <si>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</si>
  <si>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</si>
  <si>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</si>
  <si>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</si>
  <si>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</si>
  <si>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</si>
  <si>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</si>
  <si>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</si>
  <si>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</si>
  <si>
    <t>https://m.media-amazon.com/images/W/WEBP_402378-T1/images/I/31NRaw6L7KL._SX300_SY300_QL70_FMwebp_.jpg</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</si>
  <si>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</si>
  <si>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</si>
  <si>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</si>
  <si>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money,कीमत के हिसाब से बेहतर वस्तु है,Good product,Average,Very Good,After sell service,Good</t>
  </si>
  <si>
    <t>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</si>
  <si>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</si>
  <si>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</si>
  <si>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</si>
  <si>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</si>
  <si>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t>
  </si>
  <si>
    <t>Induction is good working,Lightweight and easy to use,V nice,Good quality product,Good Usha product induction 👍👍👍,Tea,,I have been using it for 2 weeks, so far there is no problem, but the current option probably comes in all.</t>
  </si>
  <si>
    <t>https://m.media-amazon.com/images/W/WEBP_402378-T1/images/I/41-kc5sVOQL._SX300_SY300_QL70_FMwebp_.jpg</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</si>
  <si>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</si>
  <si>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</si>
  <si>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</si>
  <si>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</si>
  <si>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</si>
  <si>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</si>
  <si>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</si>
  <si>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</si>
  <si>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</si>
  <si>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</si>
  <si>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</si>
  <si>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</si>
  <si>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</si>
  <si>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</si>
  <si>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</si>
  <si>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</si>
  <si>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</si>
  <si>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</si>
  <si>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</si>
  <si>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</si>
  <si>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</si>
  <si>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</si>
  <si>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</si>
  <si>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</si>
  <si>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</si>
  <si>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</si>
  <si>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</si>
  <si>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</si>
  <si>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</si>
  <si>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</si>
  <si>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</si>
  <si>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</si>
  <si>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</si>
  <si>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</si>
  <si>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</si>
  <si>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</si>
  <si>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</si>
  <si>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</si>
  <si>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</si>
  <si>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Good👌,Good built quality,Quality Product under 3000,good price,Nice product,Good product,Exlent❤,Outlet is very slow</t>
  </si>
  <si>
    <t>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</si>
  <si>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</si>
  <si>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</si>
  <si>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</si>
  <si>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</si>
  <si>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product😚,Good working</t>
  </si>
  <si>
    <t>I like this product 😍 function great,Easy to use, value for money, easy to install, very much useful. It is as too good purchase.,👍,I used it its good.,This heater is very handy and can be operate easily.,It look great,,Excellent</t>
  </si>
  <si>
    <t>https://m.media-amazon.com/images/I/31dCji7nmsL._SX300_SY300_QL70_FMwebp_.jpg</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</si>
  <si>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</si>
  <si>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</si>
  <si>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</si>
  <si>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</si>
  <si>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</si>
  <si>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</si>
  <si>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</si>
  <si>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</si>
  <si>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</si>
  <si>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</si>
  <si>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</si>
  <si>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</si>
  <si>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</si>
  <si>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</si>
  <si>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</si>
  <si>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</si>
  <si>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</si>
  <si>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</si>
  <si>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</si>
  <si>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</si>
  <si>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</si>
  <si>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</si>
  <si>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</si>
  <si>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</si>
  <si>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</si>
  <si>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</si>
  <si>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</si>
  <si>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</si>
  <si>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</si>
  <si>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</si>
  <si>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</si>
  <si>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</si>
  <si>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</si>
  <si>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buying,It’s to early heating and wire smelling were is the service centre,Nice product worth it 👍🏻,The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</si>
  <si>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</si>
  <si>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</si>
  <si>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</si>
  <si>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</si>
  <si>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</si>
  <si>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</si>
  <si>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</si>
  <si>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</si>
  <si>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</si>
  <si>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</si>
  <si>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</si>
  <si>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</si>
  <si>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</si>
  <si>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</si>
  <si>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</si>
  <si>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</si>
  <si>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</si>
  <si>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</si>
  <si>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</si>
  <si>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</si>
  <si>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</si>
  <si>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</si>
  <si>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</si>
  <si>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</si>
  <si>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t>
  </si>
  <si>
    <t>https://m.media-amazon.com/images/I/31N5vx+L1KL._SY300_SX300_.jpg</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</si>
  <si>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</si>
  <si>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</si>
  <si>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</si>
  <si>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</si>
  <si>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</si>
  <si>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</si>
  <si>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</si>
  <si>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</si>
  <si>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</si>
  <si>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</si>
  <si>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</si>
  <si>
    <t>https://m.media-amazon.com/images/I/51zhY6X2NqL._SX300_SY300_QL70_FMwebp_.jpg</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</si>
  <si>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</si>
  <si>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</si>
  <si>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</si>
  <si>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</si>
  <si>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</si>
  <si>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</si>
  <si>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</si>
  <si>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</si>
  <si>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</si>
  <si>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</si>
  <si>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</si>
  <si>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</si>
  <si>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</si>
  <si>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</si>
  <si>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</si>
  <si>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💥,Considering the price range, it’s a good one,Worthy,Good products,Good,Good as brand,Ok Product,Value for money,</t>
  </si>
  <si>
    <t>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</si>
  <si>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</si>
  <si>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</si>
  <si>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</si>
  <si>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</si>
  <si>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</si>
  <si>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</si>
  <si>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</si>
  <si>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</si>
  <si>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</si>
  <si>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</si>
  <si>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</si>
  <si>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</si>
  <si>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</si>
  <si>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</si>
  <si>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</si>
  <si>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</si>
  <si>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</si>
  <si>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</si>
  <si>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</si>
  <si>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</si>
  <si>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</si>
  <si>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</si>
  <si>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</si>
  <si>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</si>
  <si>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</si>
  <si>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</si>
  <si>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</si>
  <si>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</si>
  <si>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</si>
  <si>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t>
  </si>
  <si>
    <t>https://m.media-amazon.com/images/I/41WPlte6OmL._SY300_SX300_QL70_FMwebp_.jpg</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</si>
  <si>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</si>
  <si>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</si>
  <si>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</si>
  <si>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</si>
  <si>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</si>
  <si>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</si>
  <si>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</si>
  <si>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</si>
  <si>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</si>
  <si>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</si>
  <si>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t>
  </si>
  <si>
    <t>https://m.media-amazon.com/images/I/41VQTjrYaCL._SX300_SY300_QL70_FMwebp_.jpg</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</si>
  <si>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</si>
  <si>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</si>
  <si>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</si>
  <si>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</si>
  <si>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t>
  </si>
  <si>
    <t>https://m.media-amazon.com/images/I/41yrqUum9EL._SY300_SX300_QL70_FMwebp_.jpg</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</si>
  <si>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</si>
  <si>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</si>
  <si>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</si>
  <si>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</si>
  <si>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</si>
  <si>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</si>
  <si>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</si>
  <si>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</si>
  <si>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</si>
  <si>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</si>
  <si>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</si>
  <si>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</si>
  <si>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</si>
  <si>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</si>
  <si>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</si>
  <si>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</si>
  <si>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</si>
  <si>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</si>
  <si>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</si>
  <si>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</si>
  <si>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</si>
  <si>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</si>
  <si>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</si>
  <si>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</si>
  <si>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</si>
  <si>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</si>
  <si>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</si>
  <si>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</si>
  <si>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</si>
  <si>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</si>
  <si>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</si>
  <si>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</si>
  <si>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</si>
  <si>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</si>
  <si>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</si>
  <si>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</si>
  <si>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</si>
  <si>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</si>
  <si>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</si>
  <si>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</si>
  <si>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</si>
  <si>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</si>
  <si>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</si>
  <si>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</si>
  <si>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</si>
  <si>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</si>
  <si>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</si>
  <si>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</si>
  <si>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</si>
  <si>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</si>
  <si>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</si>
  <si>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</si>
  <si>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</si>
  <si>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</si>
  <si>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</si>
  <si>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</si>
  <si>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</si>
  <si>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</si>
  <si>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t>
  </si>
  <si>
    <t>https://m.media-amazon.com/images/W/WEBP_402378-T2/images/I/41cAIdLrGPL._SX300_SY300_QL70_FMwebp_.jpg</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</si>
  <si>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</si>
  <si>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</si>
  <si>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</si>
  <si>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effective,अभी यूज करते हुए जड टाइम नहीं हुआ है</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</si>
  <si>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</si>
  <si>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</si>
  <si>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</si>
  <si>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</si>
  <si>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</si>
  <si>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</si>
  <si>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</si>
  <si>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</si>
  <si>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</si>
  <si>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</si>
  <si>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</si>
  <si>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</si>
  <si>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t>
  </si>
  <si>
    <t>https://m.media-amazon.com/images/W/WEBP_402378-T1/images/I/41V4DpKc7sL._SX300_SY300_QL70_FMwebp_.jpg</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</si>
  <si>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</si>
  <si>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</si>
  <si>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</si>
  <si>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</si>
  <si>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t>
  </si>
  <si>
    <t>https://m.media-amazon.com/images/W/WEBP_402378-T2/images/I/41t3WVUlRmL._SX300_SY300_QL70_FMwebp_.jpg</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</si>
  <si>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</si>
  <si>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</si>
  <si>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</si>
  <si>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</si>
  <si>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t>
  </si>
  <si>
    <t>https://m.media-amazon.com/images/W/WEBP_402378-T2/images/I/21SHZOWOynL._SX300_SY300_QL70_FMwebp_.jpg</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</si>
  <si>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</si>
  <si>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</si>
  <si>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</si>
  <si>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money,It’s goog,Nice &amp; Easy to use product,Not good,Wonder Product!,Good product,Right product at right price,Value for money</t>
  </si>
  <si>
    <t>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</si>
  <si>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</si>
  <si>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</si>
  <si>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</si>
  <si>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</si>
  <si>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Nice,👍,Very easy and useful, but too expensive compared to remaining company products,Grt,reviews,Good product.,Very Handy product,Warranty registration needs to be user friendly</t>
  </si>
  <si>
    <t>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</si>
  <si>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</si>
  <si>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</si>
  <si>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</si>
  <si>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</si>
  <si>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</si>
  <si>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</si>
  <si>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</si>
  <si>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</si>
  <si>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</si>
  <si>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</si>
  <si>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</si>
  <si>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</si>
  <si>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</si>
  <si>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</si>
  <si>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</si>
  <si>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</si>
  <si>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</si>
  <si>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</si>
  <si>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</si>
  <si>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</si>
  <si>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</si>
  <si>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</si>
  <si>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</si>
  <si>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</si>
  <si>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</si>
  <si>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</si>
  <si>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</si>
  <si>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</si>
  <si>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quality,పర్వాలేదు,perfect for use,Good,👍</t>
  </si>
  <si>
    <t>Good product. Weight is reduced a bit,Damage product deliveredTwo times,works fine even after 4 months as of now going good,Fine  good to use,లైట్ వెయిట్,perfect for use,Good,👍 👍 👍 👍 👍</t>
  </si>
  <si>
    <t>https://m.media-amazon.com/images/W/WEBP_402378-T2/images/I/411ZPXAMTlL._SY300_SX300_QL70_FMwebp_.jpg</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</si>
  <si>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</si>
  <si>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</si>
  <si>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</si>
  <si>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</si>
  <si>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t>
  </si>
  <si>
    <t>https://m.media-amazon.com/images/I/31Gulp0B-0L._SX300_SY300_QL70_FMwebp_.jpg</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</si>
  <si>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</si>
  <si>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</si>
  <si>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</si>
  <si>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👌👍,Such a beautiful product,Fantastic,Useless product. Poor quality material used. Could not give satisfaction of a singal Rupee.</t>
  </si>
  <si>
    <t>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</si>
  <si>
    <t>https://m.media-amazon.com/images/I/519LLyO+jtL._SY300_SX300_.jpg</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</si>
  <si>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</si>
  <si>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</si>
  <si>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</si>
  <si>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</si>
  <si>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t>
  </si>
  <si>
    <t>https://m.media-amazon.com/images/I/31B24fjfiTL._SX300_SY300_QL70_FMwebp_.jpg</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</si>
  <si>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</si>
  <si>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</si>
  <si>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</si>
  <si>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</si>
  <si>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</si>
  <si>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</si>
  <si>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</si>
  <si>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</si>
  <si>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</si>
  <si>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</si>
  <si>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</si>
  <si>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</si>
  <si>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</si>
  <si>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</si>
  <si>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</si>
  <si>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</si>
  <si>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</si>
  <si>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</si>
  <si>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</si>
  <si>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</si>
  <si>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</si>
  <si>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</si>
  <si>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</si>
  <si>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</si>
  <si>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</si>
  <si>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</si>
  <si>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</si>
  <si>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</si>
  <si>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</si>
  <si>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</si>
  <si>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</si>
  <si>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</si>
  <si>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</si>
  <si>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</si>
  <si>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</si>
  <si>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</si>
  <si>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</si>
  <si>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</si>
  <si>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</si>
  <si>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</si>
  <si>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</si>
  <si>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</si>
  <si>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</si>
  <si>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</si>
  <si>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</si>
  <si>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</si>
  <si>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</si>
  <si>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</si>
  <si>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</si>
  <si>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</si>
  <si>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</si>
  <si>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</si>
  <si>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</si>
  <si>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</si>
  <si>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</si>
  <si>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</si>
  <si>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</si>
  <si>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</si>
  <si>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</si>
  <si>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</si>
  <si>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</si>
  <si>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</si>
  <si>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</si>
  <si>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</si>
  <si>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</si>
  <si>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</si>
  <si>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</si>
  <si>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</si>
  <si>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</si>
  <si>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</si>
  <si>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</si>
  <si>
    <t>https://m.media-amazon.com/images/W/WEBP_402378-T2/images/I/41+pYgFJpBL._SY300_SX300_.jpg</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</si>
  <si>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</si>
  <si>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</si>
  <si>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</si>
  <si>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</si>
  <si>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</si>
  <si>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</si>
  <si>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</si>
  <si>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</si>
  <si>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</si>
  <si>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</si>
  <si>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t>
  </si>
  <si>
    <t>https://m.media-amazon.com/images/I/41714O1hnmS._SY300_SX300_QL70_FMwebp_.jpg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</si>
  <si>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</si>
  <si>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</si>
  <si>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</si>
  <si>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</si>
  <si>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</si>
  <si>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</si>
  <si>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</si>
  <si>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</si>
  <si>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</si>
  <si>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</si>
  <si>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</si>
  <si>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</si>
  <si>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</si>
  <si>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</si>
  <si>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</si>
  <si>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👍,Best product,Happy with the product,Compact product,Must buy item.,Havell’s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</si>
  <si>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</si>
  <si>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</si>
  <si>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</si>
  <si>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</si>
  <si>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</si>
  <si>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</si>
  <si>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</si>
  <si>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</si>
  <si>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</si>
  <si>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</si>
  <si>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</si>
  <si>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t>
  </si>
  <si>
    <t>https://m.media-amazon.com/images/I/41OXzplcjtL._SX300_SY300_QL70_FMwebp_.jpg</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</si>
  <si>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</si>
  <si>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</si>
  <si>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</si>
  <si>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</si>
  <si>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</si>
  <si>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</si>
  <si>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</si>
  <si>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</si>
  <si>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</si>
  <si>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</si>
  <si>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</si>
  <si>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</si>
  <si>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</si>
  <si>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</si>
  <si>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</si>
  <si>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</si>
  <si>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</si>
  <si>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</si>
  <si>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</si>
  <si>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</si>
  <si>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</si>
  <si>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</si>
  <si>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</si>
  <si>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</si>
  <si>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</si>
  <si>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</si>
  <si>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</si>
  <si>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</si>
  <si>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t>
  </si>
  <si>
    <t>https://m.media-amazon.com/images/I/31rniMTmdkL._SX300_SY300_QL70_FMwebp_.jpg</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</si>
  <si>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</si>
  <si>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</si>
  <si>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</si>
  <si>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</si>
  <si>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</si>
  <si>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</si>
  <si>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</si>
  <si>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</si>
  <si>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</si>
  <si>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</si>
  <si>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t>
  </si>
  <si>
    <t>https://m.media-amazon.com/images/I/318JzFxYqtL._SX300_SY300_QL70_FMwebp_.jpg</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</si>
  <si>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</si>
  <si>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</si>
  <si>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</si>
  <si>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 LOSING A BATTLE”.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</si>
  <si>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</si>
  <si>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</si>
  <si>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</si>
  <si>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</si>
  <si>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</si>
  <si>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</si>
  <si>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t>
  </si>
  <si>
    <t>https://m.media-amazon.com/images/I/51i84+E-LgL._SY300_SX300_.jpg</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</si>
  <si>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</si>
  <si>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</si>
  <si>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</si>
  <si>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</si>
  <si>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</si>
  <si>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</si>
  <si>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</si>
  <si>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</si>
  <si>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</si>
  <si>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</si>
  <si>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</si>
  <si>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</si>
  <si>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</si>
  <si>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</si>
  <si>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</si>
  <si>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</si>
  <si>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doesn’t blend at all,https://m.media-amazon.com/images/I/71IVsjyZ13L._SY88.jpg,First charge problemSecond motor proble,https://m.media-amazon.com/images/I/61aXXxIxPwL._SY88.jpg</t>
  </si>
  <si>
    <t>https://m.media-amazon.com/images/I/417TQs3uroL._SX300_SY300_QL70_FMwebp_.jpg</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</si>
  <si>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</si>
  <si>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</si>
  <si>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</si>
  <si>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</si>
  <si>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</si>
  <si>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</si>
  <si>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</si>
  <si>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</si>
  <si>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</si>
  <si>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</si>
  <si>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</si>
  <si>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</si>
  <si>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</si>
  <si>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</si>
  <si>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</si>
  <si>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</si>
  <si>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</si>
  <si>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</si>
  <si>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</si>
  <si>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</si>
  <si>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</si>
  <si>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</si>
  <si>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</si>
  <si>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</si>
  <si>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</si>
  <si>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</si>
  <si>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</si>
  <si>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</si>
  <si>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</si>
  <si>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</si>
  <si>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</si>
  <si>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</si>
  <si>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</si>
  <si>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</si>
  <si>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</si>
  <si>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</si>
  <si>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AF7QK5FHWPIIYYCVERDUJEZYTSXQ,AERRAASKR2QOMQ2YNIKRDQHAQGMQ,AH5S5HEUKPD2ZLHBH5XQFJRLLRCA,AHB4T3IC5YTSPMCDPFBABXVV34HA,AFR42H36VEYD3J2M5QXO2MV5B4KQ,AHKTL6AK4OY3ENQXT4IEV7SBIJ6A,AESQ6MV2NLTB3NJ73LIP763MMOCQ,AEAKZZZKAZKLEAAUUXG7QOL3XCQQ</t>
  </si>
  <si>
    <t>Angel👼,Neha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</si>
  <si>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</si>
  <si>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</si>
  <si>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</si>
  <si>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</si>
  <si>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</si>
  <si>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</si>
  <si>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</si>
  <si>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</si>
  <si>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</si>
  <si>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</si>
  <si>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</si>
  <si>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</si>
  <si>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</si>
  <si>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</si>
  <si>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</si>
  <si>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</si>
  <si>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</si>
  <si>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</si>
  <si>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</si>
  <si>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</si>
  <si>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</si>
  <si>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</si>
  <si>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</si>
  <si>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</si>
  <si>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</si>
  <si>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</si>
  <si>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</si>
  <si>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</si>
  <si>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</si>
  <si>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</si>
  <si>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</si>
  <si>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</si>
  <si>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</si>
  <si>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</si>
  <si>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</si>
  <si>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</si>
  <si>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</si>
  <si>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</si>
  <si>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</si>
  <si>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</si>
  <si>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</si>
  <si>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</si>
  <si>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</si>
  <si>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frequently,It’s good product, however it’s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</si>
  <si>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t>
  </si>
  <si>
    <t>https://m.media-amazon.com/images/I/41zqeckaQtS._SY300_SX300_QL70_FMwebp_.jpg</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</si>
  <si>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</si>
  <si>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</si>
  <si>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</si>
  <si>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</si>
  <si>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t>
  </si>
  <si>
    <t>https://m.media-amazon.com/images/W/WEBP_402378-T2/images/I/41AQNOLe6GL._SX300_SY300_QL70_FMwebp_.jpg</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</si>
  <si>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</si>
  <si>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</si>
  <si>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</si>
  <si>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</si>
  <si>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</si>
  <si>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</si>
  <si>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</si>
  <si>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</si>
  <si>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</si>
  <si>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</si>
  <si>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</si>
  <si>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</si>
  <si>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</si>
  <si>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</si>
  <si>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</si>
  <si>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 he,Iron worse grinder still usefull,Good,Nice work,Good for,Mixer is good. But package is very shabby. Wanted to gift it. But changed my mind,आवाज बहुत आती है बाकी मिक्सर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</si>
  <si>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</si>
  <si>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</si>
  <si>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</si>
  <si>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</si>
  <si>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</si>
  <si>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It’s a good product in this price.,Nice product,It's very good,Good for use,Velue for money product,Good product,Value for money purchase,It is worthy</t>
  </si>
  <si>
    <t>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</si>
  <si>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</si>
  <si>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</si>
  <si>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</si>
  <si>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</si>
  <si>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</si>
  <si>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</si>
  <si>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</si>
  <si>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</si>
  <si>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</si>
  <si>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</si>
  <si>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</si>
  <si>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t>
  </si>
  <si>
    <t>https://m.media-amazon.com/images/I/31TSknJ2JbL._SY300_SX300_QL70_FMwebp_.jpg</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</si>
  <si>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</si>
  <si>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</si>
  <si>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</si>
  <si>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</si>
  <si>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</si>
  <si>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</si>
  <si>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</si>
  <si>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</si>
  <si>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</si>
  <si>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</si>
  <si>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</si>
  <si>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</si>
  <si>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</si>
  <si>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</si>
  <si>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</si>
  <si>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</si>
  <si>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</si>
  <si>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</si>
  <si>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</si>
  <si>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</si>
  <si>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</si>
  <si>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</si>
  <si>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</si>
  <si>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</si>
  <si>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</si>
  <si>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</si>
  <si>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</si>
  <si>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</si>
  <si>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</si>
  <si>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</si>
  <si>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</si>
  <si>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</si>
  <si>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</si>
  <si>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It’s a bit difficult to insert cells.,Worked well for a month,Extremely useful,Waste product,Value for money</t>
  </si>
  <si>
    <t>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</si>
  <si>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</si>
  <si>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</si>
  <si>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</si>
  <si>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</si>
  <si>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</si>
  <si>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t>
  </si>
  <si>
    <t>https://m.media-amazon.com/images/W/WEBP_402378-T2/images/I/4145oJH-y0L._SX300_SY300_QL70_FMwebp_.jpg</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</si>
  <si>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</si>
  <si>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</si>
  <si>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</si>
  <si>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</si>
  <si>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</si>
  <si>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</si>
  <si>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</si>
  <si>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</si>
  <si>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</si>
  <si>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</si>
  <si>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</si>
  <si>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</si>
  <si>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</si>
  <si>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</si>
  <si>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</si>
  <si>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</si>
  <si>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</si>
  <si>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</si>
  <si>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</si>
  <si>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</si>
  <si>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</si>
  <si>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</si>
  <si>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</si>
  <si>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</si>
  <si>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</si>
  <si>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</si>
  <si>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</si>
  <si>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</si>
  <si>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</si>
  <si>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</si>
  <si>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</si>
  <si>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</si>
  <si>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</si>
  <si>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</si>
  <si>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</si>
  <si>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</si>
  <si>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</si>
  <si>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</si>
  <si>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</si>
  <si>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</si>
  <si>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</si>
  <si>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</si>
  <si>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</si>
  <si>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</si>
  <si>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</si>
  <si>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</si>
  <si>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</si>
  <si>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</si>
  <si>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</si>
  <si>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</si>
  <si>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</si>
  <si>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</si>
  <si>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</si>
  <si>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</si>
  <si>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</si>
  <si>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</si>
  <si>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</si>
  <si>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</si>
  <si>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</si>
  <si>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</si>
  <si>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</si>
  <si>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</si>
  <si>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</si>
  <si>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</si>
  <si>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</si>
  <si>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</si>
  <si>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</si>
  <si>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</si>
  <si>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</si>
  <si>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</si>
  <si>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</si>
  <si>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</si>
  <si>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</si>
  <si>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</si>
  <si>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</si>
  <si>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</si>
  <si>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</si>
  <si>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</si>
  <si>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</si>
  <si>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</si>
  <si>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</si>
  <si>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</si>
  <si>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</si>
  <si>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</si>
  <si>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</si>
  <si>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</si>
  <si>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</si>
  <si>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</si>
  <si>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</si>
  <si>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</si>
  <si>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</si>
  <si>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</si>
  <si>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</si>
  <si>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</si>
  <si>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t>
  </si>
  <si>
    <t>https://m.media-amazon.com/images/W/WEBP_402378-T2/images/I/31uAkMaOShS._SX300_SY300_QL70_FMwebp_.jpg</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</si>
  <si>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</si>
  <si>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</si>
  <si>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</si>
  <si>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</si>
  <si>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</si>
  <si>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</si>
  <si>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</si>
  <si>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</si>
  <si>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</si>
  <si>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</si>
  <si>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</si>
  <si>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</si>
  <si>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</si>
  <si>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</si>
  <si>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</si>
  <si>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</si>
  <si>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</si>
  <si>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</si>
  <si>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</si>
  <si>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</si>
  <si>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</si>
  <si>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</si>
  <si>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</si>
  <si>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</si>
  <si>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</si>
  <si>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</si>
  <si>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</si>
  <si>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 piece,Value for money,Very good product,Good product,Good Quality 👌,Late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</si>
  <si>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</si>
  <si>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</si>
  <si>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</si>
  <si>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</si>
  <si>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</si>
  <si>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</si>
  <si>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t>
  </si>
  <si>
    <t>https://m.media-amazon.com/images/I/41xLjSyJtYL._SX300_SY300_QL70_FMwebp_.jpg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</si>
  <si>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</si>
  <si>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</si>
  <si>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</si>
  <si>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</si>
  <si>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t>
  </si>
  <si>
    <t>https://m.media-amazon.com/images/I/51CyJ9dUiWL._SX300_SY300_QL70_FMwebp_.jpg</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</si>
  <si>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</si>
  <si>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</si>
  <si>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</si>
  <si>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</si>
  <si>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</si>
  <si>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</si>
  <si>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</si>
  <si>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</si>
  <si>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</si>
  <si>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</si>
  <si>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</si>
  <si>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</si>
  <si>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</si>
  <si>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</si>
  <si>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</si>
  <si>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</si>
  <si>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</si>
  <si>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</si>
  <si>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</si>
  <si>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</si>
  <si>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</si>
  <si>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</si>
  <si>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t>
  </si>
  <si>
    <t>https://m.media-amazon.com/images/W/WEBP_402378-T1/images/I/41Xg2TPKwyL._SX300_SY300_QL70_FMwebp_.jpg</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</si>
  <si>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</si>
  <si>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</si>
  <si>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</si>
  <si>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</si>
  <si>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</si>
  <si>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</si>
  <si>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</si>
  <si>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</si>
  <si>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</si>
  <si>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</si>
  <si>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t>
  </si>
  <si>
    <t>https://m.media-amazon.com/images/W/WEBP_402378-T2/images/I/41ut+j+REdL._SY300_SX300_.jpg</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</si>
  <si>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</si>
  <si>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</si>
  <si>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</si>
  <si>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</si>
  <si>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</si>
  <si>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</si>
  <si>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</si>
  <si>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</si>
  <si>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</si>
  <si>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t>
  </si>
  <si>
    <t>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t>
  </si>
  <si>
    <t>https://images-na.ssl-images-amazon.com/images/W/WEBP_402378-T1/images/I/41EK0QNFSUL._SX300_SY300_QL70_FMwebp_.jpg</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</si>
  <si>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</si>
  <si>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</si>
  <si>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</si>
  <si>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</si>
  <si>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</si>
  <si>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</si>
  <si>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</si>
  <si>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</si>
  <si>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</si>
  <si>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</si>
  <si>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</si>
  <si>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</si>
  <si>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</si>
  <si>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</si>
  <si>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</si>
  <si>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</si>
  <si>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</si>
  <si>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</si>
  <si>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</si>
  <si>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</si>
  <si>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</si>
  <si>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</si>
  <si>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</si>
  <si>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</si>
  <si>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</si>
  <si>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</si>
  <si>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</si>
  <si>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issues,ಉತ್ತಮ</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</si>
  <si>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t>
  </si>
  <si>
    <t>https://m.media-amazon.com/images/W/WEBP_402378-T2/images/I/41emm+fTJmL._SX300_SY300_.jpg</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</si>
  <si>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</si>
  <si>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</si>
  <si>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</si>
  <si>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</si>
  <si>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</si>
  <si>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</si>
  <si>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</si>
  <si>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</si>
  <si>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</si>
  <si>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</si>
  <si>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</si>
  <si>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</si>
  <si>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</si>
  <si>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</si>
  <si>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</si>
  <si>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</si>
  <si>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</si>
  <si>
    <t>https://m.media-amazon.com/images/W/WEBP_402378-T2/images/I/41-76LhAc4S._SX300_SY300_QL70_FMwebp_.jpg</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</si>
  <si>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</si>
  <si>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</si>
  <si>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</si>
  <si>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</si>
  <si>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😊,Value for money, working fine,It is not suitable for my tap,I liked..so product good. So happy amazon.. Liked amazon products provided Sum like this,</t>
  </si>
  <si>
    <t>https://m.media-amazon.com/images/I/41NJizePolL._SX300_SY300_QL70_FMwebp_.jpg</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</si>
  <si>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</si>
  <si>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</si>
  <si>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</si>
  <si>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</si>
  <si>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</si>
  <si>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</si>
  <si>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</si>
  <si>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</si>
  <si>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</si>
  <si>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</si>
  <si>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</si>
  <si>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</si>
  <si>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</si>
  <si>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</si>
  <si>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</si>
  <si>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</si>
  <si>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</si>
  <si>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</si>
  <si>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</si>
  <si>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</si>
  <si>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</si>
  <si>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</si>
  <si>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</si>
  <si>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</si>
  <si>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</si>
  <si>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</si>
  <si>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</si>
  <si>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</si>
  <si>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</si>
  <si>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</si>
  <si>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</si>
  <si>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</si>
  <si>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</si>
  <si>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</si>
  <si>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</si>
  <si>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</si>
  <si>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</si>
  <si>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</si>
  <si>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</si>
  <si>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</si>
  <si>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</si>
  <si>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</si>
  <si>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</si>
  <si>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</si>
  <si>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</si>
  <si>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👍,Good ✌️🤝❤️👏👍❤️❤️,Stopped working after a few days.,Excellent product pls buy,Very useful</t>
  </si>
  <si>
    <t>Very short wire to connect to my switch,Nice,,Very good product,Good,Turns on heat initially and then doesn’t heat up. Eventually needs to cool down completely to again start heating again. Wouldn’t recommend buying.,Excellent product pls buy.,Nice</t>
  </si>
  <si>
    <t>https://m.media-amazon.com/images/I/314V87LweLL._SX300_SY300_QL70_FMwebp_.jpg</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</si>
  <si>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</si>
  <si>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</si>
  <si>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</si>
  <si>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</si>
  <si>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</si>
  <si>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</si>
  <si>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</si>
  <si>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</si>
  <si>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</si>
  <si>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</si>
  <si>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</si>
  <si>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</si>
  <si>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</si>
  <si>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</si>
  <si>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</si>
  <si>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</si>
  <si>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</si>
  <si>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</si>
  <si>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</si>
  <si>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</si>
  <si>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</si>
  <si>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</si>
  <si>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</si>
  <si>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</si>
  <si>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</si>
  <si>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</si>
  <si>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</si>
  <si>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</si>
  <si>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t>
  </si>
  <si>
    <t>https://m.media-amazon.com/images/I/51SvK5l5JRL._SX300_SY300_QL70_FMwebp_.jpg</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</si>
  <si>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</si>
  <si>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</si>
  <si>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</si>
  <si>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</si>
  <si>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</si>
  <si>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</si>
  <si>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</si>
  <si>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</si>
  <si>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</si>
  <si>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</si>
  <si>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</si>
  <si>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</si>
  <si>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</si>
  <si>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</si>
  <si>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</si>
  <si>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</si>
  <si>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</si>
  <si>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</si>
  <si>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</si>
  <si>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</si>
  <si>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</si>
  <si>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</si>
  <si>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</si>
  <si>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</si>
  <si>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</si>
  <si>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</si>
  <si>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</si>
  <si>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</si>
  <si>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</si>
  <si>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</si>
  <si>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</si>
  <si>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</si>
  <si>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</si>
  <si>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</si>
  <si>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</si>
  <si>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</si>
  <si>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</si>
  <si>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</si>
  <si>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</si>
  <si>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t>
  </si>
  <si>
    <t>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t>
  </si>
  <si>
    <t>https://m.media-amazon.com/images/I/41SWYTwG5-L._SX300_SY300_QL70_FMwebp_.jpg</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</si>
  <si>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</si>
  <si>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</si>
  <si>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</si>
  <si>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</si>
  <si>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</si>
  <si>
    <t>https://m.media-amazon.com/images/I/31YvxM2eDDL._SX300_SY300_QL70_FMwebp_.jpg</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</si>
  <si>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</si>
  <si>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</si>
  <si>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</si>
  <si>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</si>
  <si>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</si>
  <si>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</si>
  <si>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</si>
  <si>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</si>
  <si>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</si>
  <si>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</si>
  <si>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</si>
  <si>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</si>
  <si>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</si>
  <si>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</si>
  <si>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</si>
  <si>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</si>
  <si>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</si>
  <si>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</si>
  <si>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</si>
  <si>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</si>
  <si>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</si>
  <si>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</si>
  <si>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</si>
  <si>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</si>
  <si>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</si>
  <si>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</si>
  <si>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</si>
  <si>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</si>
  <si>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</si>
  <si>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</si>
  <si>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</si>
  <si>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</si>
  <si>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</si>
  <si>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</si>
  <si>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</si>
  <si>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</si>
  <si>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</si>
  <si>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</si>
  <si>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</si>
  <si>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heater,पानी गर्म होने में 15 मिनट से ज्यादा टाइम लेता हैं</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</si>
  <si>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t>
  </si>
  <si>
    <t>https://m.media-amazon.com/images/W/WEBP_402378-T2/images/I/31pzC6I+bEL._SY300_SX300_.jpg</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</si>
  <si>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</si>
  <si>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</si>
  <si>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</si>
  <si>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</si>
  <si>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</si>
  <si>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</si>
  <si>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</si>
  <si>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</si>
  <si>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</si>
  <si>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</si>
  <si>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</si>
  <si>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</si>
  <si>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</si>
  <si>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</si>
  <si>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</si>
  <si>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</si>
  <si>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</si>
  <si>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</si>
  <si>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</si>
  <si>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</si>
  <si>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</si>
  <si>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</si>
  <si>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</si>
  <si>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</si>
  <si>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</si>
  <si>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</si>
  <si>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</si>
  <si>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</si>
  <si>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</si>
  <si>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</si>
  <si>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</si>
  <si>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</si>
  <si>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</si>
  <si>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</si>
  <si>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</si>
  <si>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</si>
  <si>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</si>
  <si>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</si>
  <si>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</si>
  <si>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</si>
  <si>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</si>
  <si>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</si>
  <si>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</si>
  <si>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</si>
  <si>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</si>
  <si>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</si>
  <si>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</si>
  <si>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</si>
  <si>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</si>
  <si>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</si>
  <si>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</si>
  <si>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found,बेहतरीन,Good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</si>
  <si>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t>
  </si>
  <si>
    <t>https://m.media-amazon.com/images/I/31kbrfC16XL._SX300_SY300_QL70_FMwebp_.jpg</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</si>
  <si>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</si>
  <si>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</si>
  <si>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</si>
  <si>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</si>
  <si>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</si>
  <si>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</si>
  <si>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</si>
  <si>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</si>
  <si>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</si>
  <si>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</si>
  <si>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</si>
  <si>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</si>
  <si>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</si>
  <si>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</si>
  <si>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</si>
  <si>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</si>
  <si>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</si>
  <si>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</si>
  <si>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</si>
  <si>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</si>
  <si>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</si>
  <si>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👌,Worth for the money but the knob is slippery,Good product,Good quality,Nothing,Worthy product,Good</t>
  </si>
  <si>
    <t>Good quality,Super 👌,Worth for the money but the knob is slippery,Good product,Nice,Ok,Little bit of noice,Good</t>
  </si>
  <si>
    <t>https://m.media-amazon.com/images/W/WEBP_402378-T1/images/I/41buv8eJQtL._SX300_SY300_QL70_FMwebp_.jpg</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</si>
  <si>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</si>
  <si>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</si>
  <si>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</si>
  <si>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</si>
  <si>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</si>
  <si>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</si>
  <si>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</si>
  <si>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</si>
  <si>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</si>
  <si>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</si>
  <si>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</si>
  <si>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</si>
  <si>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</si>
  <si>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</si>
  <si>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</si>
  <si>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</si>
  <si>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</si>
  <si>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</si>
  <si>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</si>
  <si>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</si>
  <si>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</si>
  <si>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</si>
  <si>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</si>
  <si>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</si>
  <si>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</si>
  <si>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</si>
  <si>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</si>
  <si>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</si>
  <si>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t>
  </si>
  <si>
    <t>https://m.media-amazon.com/images/W/WEBP_402378-T2/images/I/51kEztAe73L._SX300_SY300_QL70_FMwebp_.jpg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</si>
  <si>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</si>
  <si>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</si>
  <si>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</si>
  <si>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</si>
  <si>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t>
  </si>
  <si>
    <t>https://m.media-amazon.com/images/W/WEBP_402378-T1/images/I/315uFBgWK3L._SX300_SY300_QL70_FMwebp_.jpg</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</si>
  <si>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</si>
  <si>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</si>
  <si>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</si>
  <si>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</si>
  <si>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</si>
  <si>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</si>
  <si>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</si>
  <si>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</si>
  <si>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</si>
  <si>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</si>
  <si>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</si>
  <si>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</si>
  <si>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</si>
  <si>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</si>
  <si>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</si>
  <si>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</si>
  <si>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</si>
  <si>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</si>
  <si>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</si>
  <si>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</si>
  <si>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</si>
  <si>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It’s amazing but I think waffle should be more crisp but it’s Ok.,Value for Money,Good product,Go for it!!,Takes a while to cook,Not giving it 5 stars as there was no measuring cup as promised.,Value for money,very good however size is small</t>
  </si>
  <si>
    <t>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</si>
  <si>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</si>
  <si>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</si>
  <si>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</si>
  <si>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</si>
  <si>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</si>
  <si>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</si>
  <si>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</si>
  <si>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AGMYSLV6NNOAYES25JDTJPCZY47A,AG3Z5IUUFOD24P2S22VMAWPT7TSQ,AHJNMSXBXPENCCR5EVJ63LGMQG2A,AFGN7L5DTGD5IJJ5VQ4IY7G2J35A,AGH7NWRR5Q37GMEIR26FKOLJADBA,AH4B45HPRXTJ5B5FX3WZKJ7K4FSA,AFDPHEAIYTD7MJ4LF7OK6ODJZ5KA,AETMASW5U6WCMX7VZA6DVRGR3WTA</t>
  </si>
  <si>
    <t>Vikas kabra,Joel Joseph,Amazon,Sàñkêth,Md Tanwir Hassan,saurabh gupta,shobhit gupta,NAVIN JAIN</t>
  </si>
  <si>
    <t>R34GKFJOAIA0ZM,R21T7HG6Q62LKN,R2UXMZPMNM3JGP,R3FRIGI0KXGVOD,R1ZNM3HOV64QED,R21SPI0C2CAAWN,R1HSU2YSMNNHKF,RYX7V566YA4IQ</t>
  </si>
  <si>
    <t>Good product 👍,Perfect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</si>
  <si>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</si>
  <si>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</si>
  <si>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</si>
  <si>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</si>
  <si>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</si>
  <si>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</si>
  <si>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</si>
  <si>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</si>
  <si>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</si>
  <si>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</si>
  <si>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</si>
  <si>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</si>
  <si>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</si>
  <si>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</si>
  <si>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</si>
  <si>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</si>
  <si>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</si>
  <si>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</si>
  <si>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</si>
  <si>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</si>
  <si>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</si>
  <si>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</si>
  <si>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</si>
  <si>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</si>
  <si>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</si>
  <si>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</si>
  <si>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</si>
  <si>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</si>
  <si>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</si>
  <si>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</si>
  <si>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</si>
  <si>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</si>
  <si>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</si>
  <si>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</si>
  <si>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</si>
  <si>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👍,Good product,nice product,Satisfied,Value of money,Good filter,Excellent product,Overall this is a good product.</t>
  </si>
  <si>
    <t>👍,Good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</si>
  <si>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</si>
  <si>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</si>
  <si>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</si>
  <si>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</si>
  <si>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product,सुपर,Good,Superb,Excellent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</si>
  <si>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t>
  </si>
  <si>
    <t>https://m.media-amazon.com/images/W/WEBP_402378-T1/images/I/41JWKjRa+PL._SX300_SY300_.jpg</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</si>
  <si>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</si>
  <si>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</si>
  <si>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</si>
  <si>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</si>
  <si>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</si>
  <si>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</si>
  <si>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</si>
  <si>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</si>
  <si>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</si>
  <si>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</si>
  <si>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</si>
  <si>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</si>
  <si>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</si>
  <si>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</si>
  <si>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</si>
  <si>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</si>
  <si>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</si>
  <si>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</si>
  <si>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</si>
  <si>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</si>
  <si>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</si>
  <si>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</si>
  <si>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</si>
  <si>
    <t>https://m.media-amazon.com/images/W/WEBP_402378-T1/images/I/41kr7l+z1FL._SY300_SX300_.jpg</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</si>
  <si>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</si>
  <si>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</si>
  <si>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</si>
  <si>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</si>
  <si>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t>
  </si>
  <si>
    <t>https://m.media-amazon.com/images/W/WEBP_402378-T2/images/I/41UoZi45q9L._SX300_SY300_QL70_FMwebp_.jpg</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</si>
  <si>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</si>
  <si>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</si>
  <si>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</si>
  <si>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</si>
  <si>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</si>
  <si>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</si>
  <si>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</si>
  <si>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</si>
  <si>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</si>
  <si>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</si>
  <si>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</si>
  <si>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</si>
  <si>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</si>
  <si>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</si>
  <si>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</si>
  <si>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t>
  </si>
  <si>
    <t>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</si>
  <si>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</si>
  <si>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</si>
  <si>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</si>
  <si>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</si>
  <si>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</si>
  <si>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t>
  </si>
  <si>
    <t>https://m.media-amazon.com/images/I/41EI+3OYGaL._SY300_SX300_.jpg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</si>
  <si>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</si>
  <si>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</si>
  <si>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</si>
  <si>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money,सबसे जरूरी बात ये है के इसमे सब पिस्ता है चाहे पत्थर भी दाल दो।😂।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</si>
  <si>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</si>
  <si>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</si>
  <si>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</si>
  <si>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</si>
  <si>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</si>
  <si>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👍,Value for money,Does the job which is intended from it,Nice product..,कीमत के अनुसार अच्छा उत्पाद है।,Not satisfied as expected. 😔,Awsme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</si>
  <si>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t>
  </si>
  <si>
    <t>https://m.media-amazon.com/images/I/31Sh9NZmX-L._SX300_SY300_QL70_FMwebp_.jpg</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</si>
  <si>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</si>
  <si>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</si>
  <si>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</si>
  <si>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</si>
  <si>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t>
  </si>
  <si>
    <t>https://m.media-amazon.com/images/I/41+oy999w7L._SY300_SX300_.jpg</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</si>
  <si>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</si>
  <si>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</si>
  <si>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</si>
  <si>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</si>
  <si>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</si>
  <si>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</si>
  <si>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</si>
  <si>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</si>
  <si>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</si>
  <si>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</si>
  <si>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</si>
  <si>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</si>
  <si>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</si>
  <si>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</si>
  <si>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</si>
  <si>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</si>
  <si>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</si>
  <si>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</si>
  <si>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</si>
  <si>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</si>
  <si>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</si>
  <si>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</si>
  <si>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</si>
  <si>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</si>
  <si>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</si>
  <si>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</si>
  <si>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</si>
  <si>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</si>
  <si>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t>
  </si>
  <si>
    <t>https://m.media-amazon.com/images/W/WEBP_402378-T1/images/I/41hoHTbN5rL._SX300_SY300_QL70_FMwebp_.jpg</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</si>
  <si>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</si>
  <si>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</si>
  <si>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</si>
  <si>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</si>
  <si>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</si>
  <si>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</si>
  <si>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</si>
  <si>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</si>
  <si>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</si>
  <si>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</si>
  <si>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</si>
  <si>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</si>
  <si>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</si>
  <si>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</si>
  <si>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</si>
  <si>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</si>
  <si>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</si>
  <si>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</si>
  <si>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</si>
  <si>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</si>
  <si>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</si>
  <si>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</si>
  <si>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</si>
  <si>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</si>
  <si>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</si>
  <si>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</si>
  <si>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</si>
  <si>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</si>
  <si>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</si>
  <si>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</si>
  <si>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</si>
  <si>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</si>
  <si>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</si>
  <si>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बढिया है।वजन कम होने की वजह से जादा देर तक चला सकते है।,Nice product and easy to use,Heating issues,Bakwas,Nice,Good product,Good product,Good product</t>
  </si>
  <si>
    <t>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t>
  </si>
  <si>
    <t>https://m.media-amazon.com/images/W/WEBP_402378-T2/images/I/41F-EWC+v+L._SY300_SX300_.jpg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</si>
  <si>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</si>
  <si>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</si>
  <si>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</si>
  <si>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</si>
  <si>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</si>
  <si>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</si>
  <si>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</si>
  <si>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</si>
  <si>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</si>
  <si>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 love it,Its leaking product as small gap,Product is so amazing,The colour was dull.,Pretty good.,User friendly,I buy a product but in using of twice the product is not working iam totally unsatisfied of this</t>
  </si>
  <si>
    <t>Easy to make milkshakes and diet smoothies..Useful.,Very good quality 😌,,This product is very helpfull amd backup is good,The mixer was split throughout the blender.,Easy to clean, portable, easy to carry and easy to use or traveling..,Good for travelling,</t>
  </si>
  <si>
    <t>https://m.media-amazon.com/images/I/51V0CstI47L._SX300_SY300_QL70_FMwebp_.jpg</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</si>
  <si>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</si>
  <si>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</si>
  <si>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</si>
  <si>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</si>
  <si>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</si>
  <si>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</si>
  <si>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</si>
  <si>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</si>
  <si>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</si>
  <si>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</si>
  <si>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t>
  </si>
  <si>
    <t>https://m.media-amazon.com/images/I/310R9iLp3mL._SX300_SY300_QL70_FMwebp_.jpg</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</si>
  <si>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</si>
  <si>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</si>
  <si>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</si>
  <si>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</si>
  <si>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</si>
  <si>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</si>
  <si>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</si>
  <si>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</si>
  <si>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</si>
  <si>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</si>
  <si>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</si>
  <si>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</si>
  <si>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</si>
  <si>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</si>
  <si>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</si>
  <si>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</si>
  <si>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</si>
  <si>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</si>
  <si>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</si>
  <si>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</si>
  <si>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</si>
  <si>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</si>
  <si>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</si>
  <si>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</si>
  <si>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</si>
  <si>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</si>
  <si>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</si>
  <si>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</si>
  <si>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</si>
  <si>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</si>
  <si>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</si>
  <si>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</si>
  <si>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</si>
  <si>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</si>
  <si>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</si>
  <si>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</si>
  <si>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</si>
  <si>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</si>
  <si>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</si>
  <si>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</si>
  <si>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</si>
  <si>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</si>
  <si>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</si>
  <si>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</si>
  <si>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</si>
  <si>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</si>
  <si>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</si>
  <si>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</si>
  <si>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</si>
  <si>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</si>
  <si>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</si>
  <si>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instructions.,It’s good prodyct,Overall good,Works and gets out of your way,Water leakage after a 2 week of useage,Good reviews,Good product, delivering what was expected,mist is like a cloud</t>
  </si>
  <si>
    <t>,You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</si>
  <si>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</si>
  <si>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</si>
  <si>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</si>
  <si>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</si>
  <si>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</si>
  <si>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</si>
  <si>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</si>
  <si>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</si>
  <si>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</si>
  <si>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</si>
  <si>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</si>
  <si>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t>
  </si>
  <si>
    <t>https://m.media-amazon.com/images/I/31Y+l9J1nYL._SY300_SX300_.jpg</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</si>
  <si>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</si>
  <si>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</si>
  <si>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</si>
  <si>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</si>
  <si>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t>
  </si>
  <si>
    <t>https://m.media-amazon.com/images/I/41wCglxg9qL._SX300_SY300_QL70_FMwebp_.jpg</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</si>
  <si>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</si>
  <si>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</si>
  <si>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</si>
  <si>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</si>
  <si>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</si>
  <si>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</si>
  <si>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</si>
  <si>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</si>
  <si>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</si>
  <si>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👍,Nice product,nice,V guard water purifier</t>
  </si>
  <si>
    <t>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</si>
  <si>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</si>
  <si>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</si>
  <si>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</si>
  <si>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</si>
  <si>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good,It’s a good product…not bad at all,Go to it</t>
  </si>
  <si>
    <t>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</si>
  <si>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</si>
  <si>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</si>
  <si>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</si>
  <si>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</si>
  <si>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</si>
  <si>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</si>
  <si>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</si>
  <si>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</si>
  <si>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</si>
  <si>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</si>
  <si>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</si>
  <si>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</si>
  <si>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</si>
  <si>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</si>
  <si>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</si>
  <si>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</si>
  <si>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</si>
  <si>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</si>
  <si>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</si>
  <si>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</si>
  <si>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</si>
  <si>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</si>
  <si>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</si>
  <si>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t>
  </si>
  <si>
    <t>https://m.media-amazon.com/images/I/416VJv+z7CL._SY300_SX300_.jpg</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</si>
  <si>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</si>
  <si>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</si>
  <si>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</si>
  <si>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</si>
  <si>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</si>
  <si>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</si>
  <si>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</si>
  <si>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</si>
  <si>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</si>
  <si>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</si>
  <si>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</si>
  <si>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</si>
  <si>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</si>
  <si>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</si>
  <si>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</si>
  <si>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</si>
  <si>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</si>
  <si>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</si>
  <si>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</si>
  <si>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</si>
  <si>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</si>
  <si>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</si>
  <si>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</si>
  <si>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</si>
  <si>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</si>
  <si>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</si>
  <si>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</si>
  <si>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</si>
  <si>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</si>
  <si>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</si>
  <si>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</si>
  <si>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</si>
  <si>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</si>
  <si>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</si>
  <si>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</si>
  <si>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</si>
  <si>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</si>
  <si>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</si>
  <si>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</si>
  <si>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</si>
  <si>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 260 but I have purchased at ₹ 325,Good one it's a genuine part,,Good and genuine product go for it,Good product,Authentic company product , cheaper price</t>
  </si>
  <si>
    <t>https://m.media-amazon.com/images/I/41ugz3c3G1L._SY300_SX300_QL70_FMwebp_.jpg</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</si>
  <si>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</si>
  <si>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</si>
  <si>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</si>
  <si>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</si>
  <si>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</si>
  <si>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</si>
  <si>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</si>
  <si>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</si>
  <si>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</si>
  <si>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</si>
  <si>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</si>
  <si>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</si>
  <si>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</si>
  <si>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</si>
  <si>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</si>
  <si>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Good👍,A nice product in budget price 👌,Not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</si>
  <si>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</si>
  <si>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</si>
  <si>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</si>
  <si>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</si>
  <si>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</si>
  <si>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</si>
  <si>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t>
  </si>
  <si>
    <t>https://m.media-amazon.com/images/I/415634DtKfL._SX300_SY300_QL70_FMwebp_.jpg</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</si>
  <si>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</si>
  <si>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</si>
  <si>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</si>
  <si>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</si>
  <si>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</si>
  <si>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</si>
  <si>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</si>
  <si>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</si>
  <si>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</si>
  <si>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</si>
  <si>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</si>
  <si>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</si>
  <si>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</si>
  <si>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</si>
  <si>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</si>
  <si>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</si>
  <si>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</si>
  <si>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</si>
  <si>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</si>
  <si>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</si>
  <si>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</si>
  <si>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</si>
  <si>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</si>
  <si>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</si>
  <si>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</si>
  <si>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</si>
  <si>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</si>
  <si>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</si>
  <si>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</si>
  <si>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</si>
  <si>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</si>
  <si>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</si>
  <si>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</si>
  <si>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</si>
  <si>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t>
  </si>
  <si>
    <t>https://m.media-amazon.com/images/W/WEBP_402378-T1/images/I/414fV+i+rcL._SY300_SX300_.jpg</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</si>
  <si>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</si>
  <si>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</si>
  <si>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</si>
  <si>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</si>
  <si>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</si>
  <si>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</si>
  <si>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</si>
  <si>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</si>
  <si>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</si>
  <si>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</si>
  <si>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</si>
  <si>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</si>
  <si>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</si>
  <si>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</si>
  <si>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</si>
  <si>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</si>
  <si>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</si>
  <si>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</si>
  <si>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</si>
  <si>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</si>
  <si>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</si>
  <si>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</si>
  <si>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</si>
  <si>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</si>
  <si>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</si>
  <si>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</si>
  <si>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</si>
  <si>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t>
  </si>
  <si>
    <t>https://m.media-amazon.com/images/I/418vOzm6DZL._SX300_SY300_QL70_FMwebp_.jpg</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</si>
  <si>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</si>
  <si>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</si>
  <si>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</si>
  <si>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</si>
  <si>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</si>
  <si>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</si>
  <si>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</si>
  <si>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</si>
  <si>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</si>
  <si>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</si>
  <si>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</si>
  <si>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</si>
  <si>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</si>
  <si>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</si>
  <si>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</si>
  <si>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</si>
  <si>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</si>
  <si>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</si>
  <si>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</si>
  <si>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</si>
  <si>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</si>
  <si>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it…,Only for black coffee not with mil,Great coffee maker.,Good product,Great coffee maker,Best brews coffee,Nice coffee maker</t>
  </si>
  <si>
    <t>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</si>
  <si>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</si>
  <si>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</si>
  <si>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</si>
  <si>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</si>
  <si>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</si>
  <si>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</si>
  <si>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</si>
  <si>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</si>
  <si>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</si>
  <si>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</si>
  <si>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</si>
  <si>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</si>
  <si>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</si>
  <si>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</si>
  <si>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</si>
  <si>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</si>
  <si>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</si>
  <si>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t>
  </si>
  <si>
    <t>https://m.media-amazon.com/images/W/WEBP_402378-T1/images/I/51eq6GwXn-L._SX300_SY300_QL70_FMwebp_.jpg</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</si>
  <si>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</si>
  <si>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</si>
  <si>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</si>
  <si>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</si>
  <si>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</si>
  <si>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</si>
  <si>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</si>
  <si>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</si>
  <si>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</si>
  <si>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</si>
  <si>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</si>
  <si>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</si>
  <si>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</si>
  <si>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</si>
  <si>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</si>
  <si>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</si>
  <si>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</si>
  <si>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</si>
  <si>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</si>
  <si>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</si>
  <si>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</si>
  <si>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</si>
  <si>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</si>
  <si>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</si>
  <si>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</si>
  <si>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</si>
  <si>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</si>
  <si>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you’re a home baker, just go for it without doubt,Excellent👍,Nice product,Useful,Bhari,Too good,Good for cake,Useful</t>
  </si>
  <si>
    <t>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</si>
  <si>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</si>
  <si>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</si>
  <si>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</si>
  <si>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</si>
  <si>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</si>
  <si>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</si>
  <si>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</si>
  <si>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</si>
  <si>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</si>
  <si>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</si>
  <si>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</si>
  <si>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</si>
  <si>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</si>
  <si>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</si>
  <si>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</si>
  <si>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</si>
  <si>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</si>
  <si>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</si>
  <si>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</si>
  <si>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</si>
  <si>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</si>
  <si>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</si>
  <si>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</si>
  <si>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</si>
  <si>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</si>
  <si>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</si>
  <si>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</si>
  <si>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</si>
  <si>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</si>
  <si>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</si>
  <si>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</si>
  <si>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</si>
  <si>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</si>
  <si>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</si>
  <si>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</si>
  <si>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</si>
  <si>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</si>
  <si>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</si>
  <si>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</si>
  <si>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</si>
  <si>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</si>
  <si>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</si>
  <si>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</si>
  <si>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</si>
  <si>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</si>
  <si>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</si>
  <si>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</si>
  <si>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</si>
  <si>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</si>
  <si>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</si>
  <si>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</si>
  <si>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</si>
  <si>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</si>
  <si>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</si>
  <si>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</si>
  <si>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</si>
  <si>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</si>
  <si>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</si>
  <si>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</si>
  <si>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</si>
  <si>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</si>
  <si>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</si>
  <si>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</si>
  <si>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</si>
  <si>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</si>
  <si>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</si>
  <si>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</si>
  <si>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</si>
  <si>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</si>
  <si>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</si>
  <si>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</si>
  <si>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</si>
  <si>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</si>
  <si>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</si>
  <si>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</si>
  <si>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</si>
  <si>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product✌,A good product for household use,मुझे बिल्कुल भी मजा नहीं आया और वापस कर दिया।,Best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</si>
  <si>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t>
  </si>
  <si>
    <t>https://m.media-amazon.com/images/W/WEBP_402378-T1/images/I/51J2Wk-+c+L._SY300_SX300_.jpg</t>
  </si>
  <si>
    <t>values</t>
  </si>
  <si>
    <t>n</t>
  </si>
  <si>
    <t>mean</t>
  </si>
  <si>
    <t>ate 50 reais</t>
  </si>
  <si>
    <t>entre 50 e 500 reais</t>
  </si>
  <si>
    <t>acima de 500 reais</t>
  </si>
  <si>
    <t>média ponderada (notas e quantidade de pessoas)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</si>
</sst>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R$ -416]#,##0.00"/>
  </numFmts>
  <fonts count="7">
    <font>
      <sz val="10.0"/>
      <color rgb="FF000000"/>
      <name val="Arial"/>
      <scheme val="minor"/>
    </font>
    <font>
      <color theme="1"/>
      <name val="Arial"/>
      <scheme val="minor"/>
    </font>
    <font>
      <color rgb="FF000000"/>
      <name val="&quot;Arial&quot;"/>
    </font>
    <font>
      <u/>
      <color rgb="FF0000FF"/>
    </font>
    <font>
      <color theme="1"/>
      <name val="Arial"/>
    </font>
    <font>
      <u/>
      <color rgb="FF1155CC"/>
      <name val="Arial"/>
    </font>
    <font>
      <sz val="10.0"/>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1" numFmtId="0" xfId="0" applyFont="1"/>
    <xf borderId="0" fillId="0" fontId="1" numFmtId="0" xfId="0" applyAlignment="1" applyFont="1">
      <alignment shrinkToFit="0" wrapText="1"/>
    </xf>
    <xf borderId="0" fillId="0" fontId="1" numFmtId="164" xfId="0" applyFont="1" applyNumberFormat="1"/>
    <xf borderId="0" fillId="0" fontId="1" numFmtId="10" xfId="0" applyFont="1" applyNumberFormat="1"/>
    <xf borderId="0" fillId="0" fontId="1" numFmtId="165" xfId="0" applyFont="1" applyNumberFormat="1"/>
    <xf borderId="0" fillId="0" fontId="4" numFmtId="2" xfId="0" applyAlignment="1" applyFont="1" applyNumberFormat="1">
      <alignment vertical="bottom"/>
    </xf>
    <xf borderId="0" fillId="0" fontId="4" numFmtId="0" xfId="0" applyAlignment="1" applyFont="1">
      <alignment vertical="bottom"/>
    </xf>
    <xf borderId="0" fillId="0" fontId="5" numFmtId="0" xfId="0" applyAlignment="1" applyFont="1">
      <alignment vertical="bottom"/>
    </xf>
    <xf borderId="1" fillId="0" fontId="1" numFmtId="0" xfId="0" applyAlignment="1" applyBorder="1" applyFont="1">
      <alignment readingOrder="0"/>
    </xf>
    <xf borderId="1" fillId="0" fontId="1" numFmtId="165" xfId="0" applyAlignment="1" applyBorder="1" applyFont="1" applyNumberFormat="1">
      <alignment readingOrder="0"/>
    </xf>
    <xf borderId="1" fillId="0" fontId="1" numFmtId="0" xfId="0" applyBorder="1" applyFont="1"/>
    <xf borderId="1" fillId="0" fontId="1" numFmtId="165" xfId="0" applyBorder="1" applyFont="1" applyNumberForma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757575"/>
                </a:solidFill>
                <a:latin typeface="+mn-lt"/>
              </a:defRPr>
            </a:pPr>
            <a:r>
              <a:rPr b="1" sz="1800">
                <a:solidFill>
                  <a:srgbClr val="757575"/>
                </a:solidFill>
                <a:latin typeface="+mn-lt"/>
              </a:rPr>
              <a:t>Faixas de valores</a:t>
            </a:r>
          </a:p>
        </c:rich>
      </c:tx>
      <c:overlay val="0"/>
    </c:title>
    <c:plotArea>
      <c:layout/>
      <c:barChart>
        <c:barDir val="col"/>
        <c:ser>
          <c:idx val="0"/>
          <c:order val="0"/>
          <c:tx>
            <c:strRef>
              <c:f>analise!$B$1</c:f>
            </c:strRef>
          </c:tx>
          <c:spPr>
            <a:solidFill>
              <a:srgbClr val="FFD966"/>
            </a:solidFill>
            <a:ln cmpd="sng">
              <a:solidFill>
                <a:srgbClr val="000000"/>
              </a:solidFill>
            </a:ln>
          </c:spPr>
          <c:dLbls>
            <c:numFmt formatCode="General" sourceLinked="1"/>
            <c:txPr>
              <a:bodyPr/>
              <a:lstStyle/>
              <a:p>
                <a:pPr lvl="0">
                  <a:defRPr b="1" sz="1400"/>
                </a:pPr>
              </a:p>
            </c:txPr>
            <c:showLegendKey val="0"/>
            <c:showVal val="1"/>
            <c:showCatName val="0"/>
            <c:showSerName val="0"/>
            <c:showPercent val="0"/>
            <c:showBubbleSize val="0"/>
          </c:dLbls>
          <c:cat>
            <c:strRef>
              <c:f>analise!$A$2:$A$4</c:f>
            </c:strRef>
          </c:cat>
          <c:val>
            <c:numRef>
              <c:f>analise!$B$2:$B$4</c:f>
              <c:numCache/>
            </c:numRef>
          </c:val>
        </c:ser>
        <c:axId val="615059693"/>
        <c:axId val="1400746714"/>
      </c:barChart>
      <c:catAx>
        <c:axId val="6150596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Preços</a:t>
                </a:r>
              </a:p>
            </c:rich>
          </c:tx>
          <c:overlay val="0"/>
        </c:title>
        <c:numFmt formatCode="General" sourceLinked="1"/>
        <c:majorTickMark val="none"/>
        <c:minorTickMark val="none"/>
        <c:spPr>
          <a:ln>
            <a:solidFill/>
          </a:ln>
        </c:spPr>
        <c:txPr>
          <a:bodyPr/>
          <a:lstStyle/>
          <a:p>
            <a:pPr lvl="0">
              <a:defRPr b="0">
                <a:solidFill>
                  <a:srgbClr val="000000"/>
                </a:solidFill>
                <a:latin typeface="+mn-lt"/>
              </a:defRPr>
            </a:pPr>
          </a:p>
        </c:txPr>
        <c:crossAx val="1400746714"/>
      </c:catAx>
      <c:valAx>
        <c:axId val="140074671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Produtos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61505969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dados!$K$1</c:f>
            </c:strRef>
          </c:tx>
          <c:spPr>
            <a:ln>
              <a:noFill/>
            </a:ln>
          </c:spPr>
          <c:marker>
            <c:symbol val="circle"/>
            <c:size val="7"/>
            <c:spPr>
              <a:solidFill>
                <a:srgbClr val="93C47D"/>
              </a:solidFill>
              <a:ln cmpd="sng">
                <a:solidFill>
                  <a:srgbClr val="93C47D"/>
                </a:solidFill>
              </a:ln>
            </c:spPr>
          </c:marker>
          <c:xVal>
            <c:numRef>
              <c:f>dados!$J$2:$J$1468</c:f>
            </c:numRef>
          </c:xVal>
          <c:yVal>
            <c:numRef>
              <c:f>dados!$K$2:$K$1468</c:f>
              <c:numCache/>
            </c:numRef>
          </c:yVal>
        </c:ser>
        <c:dLbls>
          <c:showLegendKey val="0"/>
          <c:showVal val="0"/>
          <c:showCatName val="0"/>
          <c:showSerName val="0"/>
          <c:showPercent val="0"/>
          <c:showBubbleSize val="0"/>
        </c:dLbls>
        <c:axId val="495622602"/>
        <c:axId val="1079900960"/>
      </c:scatterChart>
      <c:valAx>
        <c:axId val="4956226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Notas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079900960"/>
      </c:valAx>
      <c:valAx>
        <c:axId val="107990096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Votos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49562260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247650</xdr:colOff>
      <xdr:row>0</xdr:row>
      <xdr:rowOff>57150</xdr:rowOff>
    </xdr:from>
    <xdr:ext cx="3448050" cy="24384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66675</xdr:colOff>
      <xdr:row>0</xdr:row>
      <xdr:rowOff>57150</xdr:rowOff>
    </xdr:from>
    <xdr:ext cx="3876675" cy="21621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1.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m.media-amazon.com/images/W/WEBP_402378-T2/images/I/41CF6GtnpKL._SX300_SY300_QL70_FMwebp_.jpg" TargetMode="External"/><Relationship Id="rId194" Type="http://schemas.openxmlformats.org/officeDocument/2006/relationships/hyperlink" Target="https://m.media-amazon.com/images/W/WEBP_402378-T2/images/I/316rtwd6jOL._SX300_SY300_QL70_FMwebp_.jpg" TargetMode="External"/><Relationship Id="rId193" Type="http://schemas.openxmlformats.org/officeDocument/2006/relationships/hyperlink" Target="https://m.media-amazon.com/images/W/WEBP_402378-T1/images/I/41IAkUhz1NL._SY300_SX300_QL70_FMwebp_.jpg" TargetMode="External"/><Relationship Id="rId192" Type="http://schemas.openxmlformats.org/officeDocument/2006/relationships/hyperlink" Target="https://m.media-amazon.com/images/W/WEBP_402378-T2/images/I/31VSKlEpP-L._SX300_SY300_QL70_FMwebp_.jpg" TargetMode="External"/><Relationship Id="rId191" Type="http://schemas.openxmlformats.org/officeDocument/2006/relationships/hyperlink" Target="https://m.media-amazon.com/images/W/WEBP_402378-T2/images/I/41UPNmnPgeL._SY300_SX300_QL70_FMwebp_.jpg" TargetMode="External"/><Relationship Id="rId187" Type="http://schemas.openxmlformats.org/officeDocument/2006/relationships/hyperlink" Target="https://m.media-amazon.com/images/W/WEBP_402378-T1/images/I/514S7MylddL._SX300_SY300_QL70_FMwebp_.jpg" TargetMode="External"/><Relationship Id="rId186" Type="http://schemas.openxmlformats.org/officeDocument/2006/relationships/hyperlink" Target="https://m.media-amazon.com/images/I/41p9mn0fmIL._SY300_SX300_QL70_FMwebp_.jpg" TargetMode="External"/><Relationship Id="rId185" Type="http://schemas.openxmlformats.org/officeDocument/2006/relationships/hyperlink" Target="https://m.media-amazon.com/images/I/41sNnS4Rl7L._SX300_SY300_QL70_FMwebp_.jpg" TargetMode="External"/><Relationship Id="rId184" Type="http://schemas.openxmlformats.org/officeDocument/2006/relationships/hyperlink" Target="https://m.media-amazon.com/images/I/41JooboBmuL._SX300_SY300_QL70_FMwebp_.jpg" TargetMode="External"/><Relationship Id="rId189" Type="http://schemas.openxmlformats.org/officeDocument/2006/relationships/hyperlink" Target="https://m.media-amazon.com/images/W/WEBP_402378-T1/images/I/41Q5zqyjWPL._SY300_SX300_QL70_FMwebp_.jpg" TargetMode="External"/><Relationship Id="rId188" Type="http://schemas.openxmlformats.org/officeDocument/2006/relationships/hyperlink" Target="https://m.media-amazon.com/images/I/417MtmtMOvL._SY445_SX342_QL70_FMwebp_.jpg" TargetMode="External"/><Relationship Id="rId183" Type="http://schemas.openxmlformats.org/officeDocument/2006/relationships/hyperlink" Target="https://m.media-amazon.com/images/I/41vVXPCqnML._SX300_SY300_QL70_FMwebp_.jpg" TargetMode="External"/><Relationship Id="rId182" Type="http://schemas.openxmlformats.org/officeDocument/2006/relationships/hyperlink" Target="https://m.media-amazon.com/images/W/WEBP_402378-T2/images/I/31RK9+CyhoL._SY300_SX300_.jpg" TargetMode="External"/><Relationship Id="rId181" Type="http://schemas.openxmlformats.org/officeDocument/2006/relationships/hyperlink" Target="https://m.media-amazon.com/images/I/319bv0gNOeL._SX300_SY300_QL70_FMwebp_.jpg" TargetMode="External"/><Relationship Id="rId180" Type="http://schemas.openxmlformats.org/officeDocument/2006/relationships/hyperlink" Target="https://m.media-amazon.com/images/W/WEBP_402378-T2/images/I/21Nw+BXh1kS._SY300_SX300_.jpg" TargetMode="External"/><Relationship Id="rId176" Type="http://schemas.openxmlformats.org/officeDocument/2006/relationships/hyperlink" Target="https://m.media-amazon.com/images/W/WEBP_402378-T2/images/I/31HMoFzGZjL._SY300_SX300_QL70_FMwebp_.jpg" TargetMode="External"/><Relationship Id="rId175" Type="http://schemas.openxmlformats.org/officeDocument/2006/relationships/hyperlink" Target="https://m.media-amazon.com/images/I/317OoQfs1gL._SX300_SY300_QL70_FMwebp_.jpg" TargetMode="External"/><Relationship Id="rId174" Type="http://schemas.openxmlformats.org/officeDocument/2006/relationships/hyperlink" Target="https://m.media-amazon.com/images/I/416qO6VZHgL._SX300_SY300_QL70_FMwebp_.jpg" TargetMode="External"/><Relationship Id="rId173" Type="http://schemas.openxmlformats.org/officeDocument/2006/relationships/hyperlink" Target="https://m.media-amazon.com/images/W/WEBP_402378-T2/images/I/414P4JCZY-L._SX300_SY300_QL70_FMwebp_.jpg" TargetMode="External"/><Relationship Id="rId179" Type="http://schemas.openxmlformats.org/officeDocument/2006/relationships/hyperlink" Target="https://m.media-amazon.com/images/I/31jSLNakA7L._SY445_SX342_QL70_FMwebp_.jpg" TargetMode="External"/><Relationship Id="rId178" Type="http://schemas.openxmlformats.org/officeDocument/2006/relationships/hyperlink" Target="https://m.media-amazon.com/images/I/41EhlNJ-v8L._SX300_SY300_QL70_FMwebp_.jpg" TargetMode="External"/><Relationship Id="rId177" Type="http://schemas.openxmlformats.org/officeDocument/2006/relationships/hyperlink" Target="https://m.media-amazon.com/images/W/WEBP_402378-T1/images/I/31w-BP4ey1L._SY445_SX342_QL70_FMwebp_.jpg" TargetMode="External"/><Relationship Id="rId198" Type="http://schemas.openxmlformats.org/officeDocument/2006/relationships/hyperlink" Target="https://m.media-amazon.com/images/W/WEBP_402378-T1/images/I/41jh12qGXuL._SX300_SY300_QL70_FMwebp_.jpg" TargetMode="External"/><Relationship Id="rId197" Type="http://schemas.openxmlformats.org/officeDocument/2006/relationships/hyperlink" Target="https://m.media-amazon.com/images/I/31s3DOD2d1L._SY445_SX342_QL70_FMwebp_.jpg" TargetMode="External"/><Relationship Id="rId196" Type="http://schemas.openxmlformats.org/officeDocument/2006/relationships/hyperlink" Target="https://m.media-amazon.com/images/I/31PBfa92GVL._SX300_SY300_QL70_FMwebp_.jpg" TargetMode="External"/><Relationship Id="rId195" Type="http://schemas.openxmlformats.org/officeDocument/2006/relationships/hyperlink" Target="https://m.media-amazon.com/images/I/41Fu3K9KAZL._SX300_SY300_QL70_FMwebp_.jpg" TargetMode="External"/><Relationship Id="rId199" Type="http://schemas.openxmlformats.org/officeDocument/2006/relationships/hyperlink" Target="https://m.media-amazon.com/images/I/21rGO6HtUxL._SY445_SX342_QL70_FMwebp_.jpg" TargetMode="External"/><Relationship Id="rId150" Type="http://schemas.openxmlformats.org/officeDocument/2006/relationships/hyperlink" Target="https://m.media-amazon.com/images/W/WEBP_402378-T1/images/I/41qhsp6qcNL._SX300_SY300_QL70_FMwebp_.jpg" TargetMode="External"/><Relationship Id="rId392" Type="http://schemas.openxmlformats.org/officeDocument/2006/relationships/hyperlink" Target="https://m.media-amazon.com/images/I/411q-oMvehL._SX300_SY300_QL70_ML2_.jpg" TargetMode="External"/><Relationship Id="rId391" Type="http://schemas.openxmlformats.org/officeDocument/2006/relationships/hyperlink" Target="https://m.media-amazon.com/images/I/41Coma77U+L._SY300_SX300_.jpg" TargetMode="External"/><Relationship Id="rId390" Type="http://schemas.openxmlformats.org/officeDocument/2006/relationships/hyperlink" Target="https://m.media-amazon.com/images/I/41NuSTFXerL._SX300_SY300_QL70_ML2_.jpg" TargetMode="External"/><Relationship Id="rId1" Type="http://schemas.openxmlformats.org/officeDocument/2006/relationships/hyperlink" Target="https://m.media-amazon.com/images/W/WEBP_402378-T1/images/I/51UsScvHQNL._SX300_SY300_QL70_FMwebp_.jpg" TargetMode="External"/><Relationship Id="rId2" Type="http://schemas.openxmlformats.org/officeDocument/2006/relationships/hyperlink" Target="https://m.media-amazon.com/images/W/WEBP_402378-T2/images/I/31zOsqQOAOL._SY445_SX342_QL70_FMwebp_.jpg" TargetMode="External"/><Relationship Id="rId3" Type="http://schemas.openxmlformats.org/officeDocument/2006/relationships/hyperlink" Target="https://m.media-amazon.com/images/W/WEBP_402378-T1/images/I/31IvNJZnmdL._SY445_SX342_QL70_FMwebp_.jpg" TargetMode="External"/><Relationship Id="rId149" Type="http://schemas.openxmlformats.org/officeDocument/2006/relationships/hyperlink" Target="https://m.media-amazon.com/images/I/41CF6GtnpKL._SX300_SY300_QL70_FMwebp_.jpg" TargetMode="External"/><Relationship Id="rId4" Type="http://schemas.openxmlformats.org/officeDocument/2006/relationships/hyperlink" Target="https://m.media-amazon.com/images/I/41V5FtEWPkL._SX300_SY300_QL70_FMwebp_.jpg" TargetMode="External"/><Relationship Id="rId148" Type="http://schemas.openxmlformats.org/officeDocument/2006/relationships/hyperlink" Target="https://m.media-amazon.com/images/I/31y7uO5DU8L._SX300_SY300_QL70_FMwebp_.jpg" TargetMode="External"/><Relationship Id="rId1090" Type="http://schemas.openxmlformats.org/officeDocument/2006/relationships/hyperlink" Target="https://m.media-amazon.com/images/I/31b0ZuxuesL._SY300_SX300_QL70_FMwebp_.jpg" TargetMode="External"/><Relationship Id="rId1091" Type="http://schemas.openxmlformats.org/officeDocument/2006/relationships/hyperlink" Target="https://m.media-amazon.com/images/I/31vAlVllF5L._SX300_SY300_QL70_FMwebp_.jpg" TargetMode="External"/><Relationship Id="rId1092" Type="http://schemas.openxmlformats.org/officeDocument/2006/relationships/hyperlink" Target="https://m.media-amazon.com/images/I/31IR1G0S9cL._SX300_SY300_QL70_FMwebp_.jpg" TargetMode="External"/><Relationship Id="rId1093" Type="http://schemas.openxmlformats.org/officeDocument/2006/relationships/hyperlink" Target="https://m.media-amazon.com/images/W/WEBP_402378-T1/images/I/51bVSwhFA1L._SY300_SX300_QL70_FMwebp_.jpg" TargetMode="External"/><Relationship Id="rId1094" Type="http://schemas.openxmlformats.org/officeDocument/2006/relationships/hyperlink" Target="https://m.media-amazon.com/images/W/WEBP_402378-T1/images/I/51o1OVswrGS._SY445_SX342_QL70_FMwebp_.jpg" TargetMode="External"/><Relationship Id="rId9" Type="http://schemas.openxmlformats.org/officeDocument/2006/relationships/hyperlink" Target="https://m.media-amazon.com/images/W/WEBP_402378-T2/images/I/31e6ElWRymL._SX300_SY300_QL70_FMwebp_.jpg" TargetMode="External"/><Relationship Id="rId143" Type="http://schemas.openxmlformats.org/officeDocument/2006/relationships/hyperlink" Target="https://m.media-amazon.com/images/I/21yP58lKDoL._SX300_SY300_QL70_FMwebp_.jpg" TargetMode="External"/><Relationship Id="rId385" Type="http://schemas.openxmlformats.org/officeDocument/2006/relationships/hyperlink" Target="https://m.media-amazon.com/images/I/41m7DLY3yGL._SX300_SY300_QL70_ML2_.jpg" TargetMode="External"/><Relationship Id="rId1095" Type="http://schemas.openxmlformats.org/officeDocument/2006/relationships/hyperlink" Target="https://m.media-amazon.com/images/I/51swXR+r2xL._SY300_SX300_.jpg" TargetMode="External"/><Relationship Id="rId142" Type="http://schemas.openxmlformats.org/officeDocument/2006/relationships/hyperlink" Target="https://m.media-amazon.com/images/W/WEBP_402378-T1/images/I/21jLkYGoSEL._SX300_SY300_QL70_FMwebp_.jpg" TargetMode="External"/><Relationship Id="rId384" Type="http://schemas.openxmlformats.org/officeDocument/2006/relationships/hyperlink" Target="https://m.media-amazon.com/images/I/51UzDSGpNWL._SX300_SY300_QL70_ML2_.jpg" TargetMode="External"/><Relationship Id="rId1096" Type="http://schemas.openxmlformats.org/officeDocument/2006/relationships/hyperlink" Target="https://m.media-amazon.com/images/W/WEBP_402378-T1/images/I/21rUca9axYL._SX300_SY300_QL70_FMwebp_.jpg" TargetMode="External"/><Relationship Id="rId141" Type="http://schemas.openxmlformats.org/officeDocument/2006/relationships/hyperlink" Target="https://m.media-amazon.com/images/I/41wI9GGhTHL._SX300_SY300_QL70_FMwebp_.jpg" TargetMode="External"/><Relationship Id="rId383" Type="http://schemas.openxmlformats.org/officeDocument/2006/relationships/hyperlink" Target="https://m.media-amazon.com/images/I/31dYcDtt38L._SX300_SY300_QL70_ML2_.jpg" TargetMode="External"/><Relationship Id="rId1097" Type="http://schemas.openxmlformats.org/officeDocument/2006/relationships/hyperlink" Target="https://m.media-amazon.com/images/W/WEBP_402378-T2/images/I/41ZFwhFMMwL._SX300_SY300_QL70_FMwebp_.jpg" TargetMode="External"/><Relationship Id="rId140" Type="http://schemas.openxmlformats.org/officeDocument/2006/relationships/hyperlink" Target="https://m.media-amazon.com/images/I/41alINWQKXL._SX300_SY300_QL70_FMwebp_.jpg" TargetMode="External"/><Relationship Id="rId382" Type="http://schemas.openxmlformats.org/officeDocument/2006/relationships/hyperlink" Target="https://m.media-amazon.com/images/I/41VcqwZ-O8L._SX300_SY300_QL70_ML2_.jpg" TargetMode="External"/><Relationship Id="rId1098" Type="http://schemas.openxmlformats.org/officeDocument/2006/relationships/hyperlink" Target="https://m.media-amazon.com/images/W/WEBP_402378-T1/images/I/31Di52QEVdL._SX300_SY300_QL70_FMwebp_.jpg" TargetMode="External"/><Relationship Id="rId5" Type="http://schemas.openxmlformats.org/officeDocument/2006/relationships/hyperlink" Target="https://m.media-amazon.com/images/W/WEBP_402378-T2/images/I/31VzNhhqifL._SX300_SY300_QL70_FMwebp_.jpg" TargetMode="External"/><Relationship Id="rId147" Type="http://schemas.openxmlformats.org/officeDocument/2006/relationships/hyperlink" Target="https://m.media-amazon.com/images/W/WEBP_402378-T1/images/I/31OIv762uSL._SX300_SY300_QL70_FMwebp_.jpg" TargetMode="External"/><Relationship Id="rId389" Type="http://schemas.openxmlformats.org/officeDocument/2006/relationships/hyperlink" Target="https://m.media-amazon.com/images/I/21x1gw1geuL._SY300_SX300_QL70_ML2_.jpg" TargetMode="External"/><Relationship Id="rId1099" Type="http://schemas.openxmlformats.org/officeDocument/2006/relationships/hyperlink" Target="https://m.media-amazon.com/images/W/WEBP_402378-T2/images/I/41FyPER4ASL._SX300_SY300_QL70_FMwebp_.jpg" TargetMode="External"/><Relationship Id="rId6" Type="http://schemas.openxmlformats.org/officeDocument/2006/relationships/hyperlink" Target="https://m.media-amazon.com/images/I/31wOPjcSxlL._SX300_SY300_QL70_FMwebp_.jpg" TargetMode="External"/><Relationship Id="rId146" Type="http://schemas.openxmlformats.org/officeDocument/2006/relationships/hyperlink" Target="https://m.media-amazon.com/images/W/WEBP_402378-T2/images/I/41R3n7+taUL._SY300_SX300_.jpg" TargetMode="External"/><Relationship Id="rId388" Type="http://schemas.openxmlformats.org/officeDocument/2006/relationships/hyperlink" Target="https://m.media-amazon.com/images/I/41iEZV6nKbL._SX300_SY300_QL70_ML2_.jpg" TargetMode="External"/><Relationship Id="rId7" Type="http://schemas.openxmlformats.org/officeDocument/2006/relationships/hyperlink" Target="https://m.media-amazon.com/images/W/WEBP_402378-T2/images/I/41jlwEZpa5L._SX300_SY300_QL70_FMwebp_.jpg" TargetMode="External"/><Relationship Id="rId145" Type="http://schemas.openxmlformats.org/officeDocument/2006/relationships/hyperlink" Target="https://m.media-amazon.com/images/I/41ZptRPWCPL._SY300_SX300_QL70_FMwebp_.jpg" TargetMode="External"/><Relationship Id="rId387" Type="http://schemas.openxmlformats.org/officeDocument/2006/relationships/hyperlink" Target="https://m.media-amazon.com/images/I/41BnHjRP0ZS._SX300_SY300_QL70_ML2_.jpg" TargetMode="External"/><Relationship Id="rId8" Type="http://schemas.openxmlformats.org/officeDocument/2006/relationships/hyperlink" Target="https://m.media-amazon.com/images/I/31XO-wfGGGL._SX300_SY300_QL70_FMwebp_.jpg" TargetMode="External"/><Relationship Id="rId144" Type="http://schemas.openxmlformats.org/officeDocument/2006/relationships/hyperlink" Target="https://m.media-amazon.com/images/I/31Wb+A3VVdL._SY300_SX300_.jpg" TargetMode="External"/><Relationship Id="rId386" Type="http://schemas.openxmlformats.org/officeDocument/2006/relationships/hyperlink" Target="https://m.media-amazon.com/images/I/41-CKEKnjyL._SX300_SY300_QL70_ML2_.jpg" TargetMode="External"/><Relationship Id="rId381" Type="http://schemas.openxmlformats.org/officeDocument/2006/relationships/hyperlink" Target="https://m.media-amazon.com/images/I/41Fq27ZjJfL._SX300_SY300_QL70_ML2_.jpg" TargetMode="External"/><Relationship Id="rId380" Type="http://schemas.openxmlformats.org/officeDocument/2006/relationships/hyperlink" Target="https://m.media-amazon.com/images/I/31IvNJZnmdL._SY445_SX342_QL70_ML2_.jpg" TargetMode="External"/><Relationship Id="rId139" Type="http://schemas.openxmlformats.org/officeDocument/2006/relationships/hyperlink" Target="https://m.media-amazon.com/images/W/WEBP_402378-T1/images/I/41hpz9rFbZL._SX300_SY300_QL70_FMwebp_.jpg" TargetMode="External"/><Relationship Id="rId138" Type="http://schemas.openxmlformats.org/officeDocument/2006/relationships/hyperlink" Target="https://m.media-amazon.com/images/W/WEBP_402378-T1/images/I/41+AJMzMo7L._SX342_SY445_.jpg" TargetMode="External"/><Relationship Id="rId137" Type="http://schemas.openxmlformats.org/officeDocument/2006/relationships/hyperlink" Target="https://m.media-amazon.com/images/I/41gUqtvpULL._SX300_SY300_QL70_FMwebp_.jpg" TargetMode="External"/><Relationship Id="rId379" Type="http://schemas.openxmlformats.org/officeDocument/2006/relationships/hyperlink" Target="https://m.media-amazon.com/images/I/4105IiC5tDL._SX300_SY300_QL70_ML2_.jpg" TargetMode="External"/><Relationship Id="rId1080" Type="http://schemas.openxmlformats.org/officeDocument/2006/relationships/hyperlink" Target="https://m.media-amazon.com/images/W/WEBP_402378-T2/images/I/31LsgYDJNkL._SX300_SY300_QL70_FMwebp_.jpg" TargetMode="External"/><Relationship Id="rId1081" Type="http://schemas.openxmlformats.org/officeDocument/2006/relationships/hyperlink" Target="https://m.media-amazon.com/images/W/WEBP_402378-T1/images/I/51ey0zzictL._SX300_SY300_QL70_FMwebp_.jpg" TargetMode="External"/><Relationship Id="rId1082" Type="http://schemas.openxmlformats.org/officeDocument/2006/relationships/hyperlink" Target="https://m.media-amazon.com/images/I/41gZhEcCCQL._SX300_SY300_QL70_FMwebp_.jpg" TargetMode="External"/><Relationship Id="rId1083" Type="http://schemas.openxmlformats.org/officeDocument/2006/relationships/hyperlink" Target="https://m.media-amazon.com/images/W/WEBP_402378-T2/images/I/31WXnM9XIYL._SX300_SY300_QL70_FMwebp_.jpg" TargetMode="External"/><Relationship Id="rId132" Type="http://schemas.openxmlformats.org/officeDocument/2006/relationships/hyperlink" Target="https://m.media-amazon.com/images/I/41Rd-jDNOmL._SY445_SX342_QL70_FMwebp_.jpg" TargetMode="External"/><Relationship Id="rId374" Type="http://schemas.openxmlformats.org/officeDocument/2006/relationships/hyperlink" Target="https://m.media-amazon.com/images/I/41wNAXmtvIL._SX300_SY300_QL70_ML2_.jpg" TargetMode="External"/><Relationship Id="rId1084" Type="http://schemas.openxmlformats.org/officeDocument/2006/relationships/hyperlink" Target="https://m.media-amazon.com/images/I/41cxgOxlbYL._SX300_SY300_QL70_FMwebp_.jpg" TargetMode="External"/><Relationship Id="rId131" Type="http://schemas.openxmlformats.org/officeDocument/2006/relationships/hyperlink" Target="https://m.media-amazon.com/images/W/WEBP_402378-T1/images/I/417QOjrqyBL._SY300_SX300_QL70_FMwebp_.jpg" TargetMode="External"/><Relationship Id="rId373" Type="http://schemas.openxmlformats.org/officeDocument/2006/relationships/hyperlink" Target="https://m.media-amazon.com/images/I/410VGCE+q2L._SY300_SX300_.jpg" TargetMode="External"/><Relationship Id="rId1085" Type="http://schemas.openxmlformats.org/officeDocument/2006/relationships/hyperlink" Target="https://m.media-amazon.com/images/W/WEBP_402378-T1/images/I/31Tz8DcmevL._SX300_SY300_QL70_FMwebp_.jpg" TargetMode="External"/><Relationship Id="rId130" Type="http://schemas.openxmlformats.org/officeDocument/2006/relationships/hyperlink" Target="https://m.media-amazon.com/images/I/513rqzxlDpL._SX300_SY300_QL70_FMwebp_.jpg" TargetMode="External"/><Relationship Id="rId372" Type="http://schemas.openxmlformats.org/officeDocument/2006/relationships/hyperlink" Target="https://m.media-amazon.com/images/I/41i7LM0pGwL._SX300_SY300_QL70_ML2_.jpg" TargetMode="External"/><Relationship Id="rId1086" Type="http://schemas.openxmlformats.org/officeDocument/2006/relationships/hyperlink" Target="https://m.media-amazon.com/images/W/WEBP_402378-T2/images/I/31HSz-a5H3L._SX300_SY300_QL70_FMwebp_.jpg" TargetMode="External"/><Relationship Id="rId371" Type="http://schemas.openxmlformats.org/officeDocument/2006/relationships/hyperlink" Target="https://m.media-amazon.com/images/I/416SpYgTVYL._SX300_SY300_QL70_ML2_.jpg" TargetMode="External"/><Relationship Id="rId1087" Type="http://schemas.openxmlformats.org/officeDocument/2006/relationships/hyperlink" Target="https://m.media-amazon.com/images/W/WEBP_402378-T2/images/I/31lKVhGarbL._SX300_SY300_QL70_FMwebp_.jpg" TargetMode="External"/><Relationship Id="rId136" Type="http://schemas.openxmlformats.org/officeDocument/2006/relationships/hyperlink" Target="https://m.media-amazon.com/images/W/WEBP_402378-T1/images/I/51dOjIreG4L._SX300_SY300_QL70_FMwebp_.jpg" TargetMode="External"/><Relationship Id="rId378" Type="http://schemas.openxmlformats.org/officeDocument/2006/relationships/hyperlink" Target="https://m.media-amazon.com/images/I/31zOsqQOAOL._SY445_SX342_QL70_ML2_.jpg" TargetMode="External"/><Relationship Id="rId1088" Type="http://schemas.openxmlformats.org/officeDocument/2006/relationships/hyperlink" Target="https://m.media-amazon.com/images/W/WEBP_402378-T2/images/I/41QNSlZeKiL._SX300_SY300_QL70_FMwebp_.jpg" TargetMode="External"/><Relationship Id="rId135" Type="http://schemas.openxmlformats.org/officeDocument/2006/relationships/hyperlink" Target="https://m.media-amazon.com/images/I/31R8-XSK40L._SX342_SY445_QL70_FMwebp_.jpg" TargetMode="External"/><Relationship Id="rId377" Type="http://schemas.openxmlformats.org/officeDocument/2006/relationships/hyperlink" Target="https://m.media-amazon.com/images/I/413x7j3Z30L._SX300_SY300_QL70_ML2_.jpg" TargetMode="External"/><Relationship Id="rId1089" Type="http://schemas.openxmlformats.org/officeDocument/2006/relationships/hyperlink" Target="https://m.media-amazon.com/images/W/WEBP_402378-T2/images/I/31-RWRwJZOL._SX300_SY300_QL70_FMwebp_.jpg" TargetMode="External"/><Relationship Id="rId134" Type="http://schemas.openxmlformats.org/officeDocument/2006/relationships/hyperlink" Target="https://m.media-amazon.com/images/I/21fnxCjCF1L._SX300_SY300_QL70_FMwebp_.jpg" TargetMode="External"/><Relationship Id="rId376" Type="http://schemas.openxmlformats.org/officeDocument/2006/relationships/hyperlink" Target="https://m.media-amazon.com/images/I/41r1d8a2WGL._SX300_SY300_QL70_ML2_.jpg" TargetMode="External"/><Relationship Id="rId133" Type="http://schemas.openxmlformats.org/officeDocument/2006/relationships/hyperlink" Target="https://m.media-amazon.com/images/W/WEBP_402378-T2/images/I/41-AORr2udL._SX300_SY300_QL70_FMwebp_.jpg" TargetMode="External"/><Relationship Id="rId375" Type="http://schemas.openxmlformats.org/officeDocument/2006/relationships/hyperlink" Target="https://m.media-amazon.com/images/I/212redZnCCL._SX300_SY300_QL70_ML2_.jpg" TargetMode="External"/><Relationship Id="rId172" Type="http://schemas.openxmlformats.org/officeDocument/2006/relationships/hyperlink" Target="https://m.media-amazon.com/images/W/WEBP_402378-T2/images/I/41ECCMs7tjL._SY300_SX300_QL70_FMwebp_.jpg" TargetMode="External"/><Relationship Id="rId171" Type="http://schemas.openxmlformats.org/officeDocument/2006/relationships/hyperlink" Target="https://m.media-amazon.com/images/W/WEBP_402378-T1/images/I/31IdziegWVL._SX300_SY300_QL70_FMwebp_.jpg" TargetMode="External"/><Relationship Id="rId170" Type="http://schemas.openxmlformats.org/officeDocument/2006/relationships/hyperlink" Target="https://m.media-amazon.com/images/I/31Kt+OO7C6L._SY300_SX300_.jpg" TargetMode="External"/><Relationship Id="rId165" Type="http://schemas.openxmlformats.org/officeDocument/2006/relationships/hyperlink" Target="https://m.media-amazon.com/images/I/21DUuehBaRL._SX300_SY300_QL70_FMwebp_.jpg" TargetMode="External"/><Relationship Id="rId164" Type="http://schemas.openxmlformats.org/officeDocument/2006/relationships/hyperlink" Target="https://m.media-amazon.com/images/W/WEBP_402378-T2/images/I/313Ja+mXy6L._SY300_SX300_.jpg" TargetMode="External"/><Relationship Id="rId163" Type="http://schemas.openxmlformats.org/officeDocument/2006/relationships/hyperlink" Target="https://m.media-amazon.com/images/I/41agXfR4tqL._SX300_SY300_QL70_FMwebp_.jpg" TargetMode="External"/><Relationship Id="rId162" Type="http://schemas.openxmlformats.org/officeDocument/2006/relationships/hyperlink" Target="https://m.media-amazon.com/images/I/41-NYo+m0JL._SY300_SX300_.jpg" TargetMode="External"/><Relationship Id="rId169" Type="http://schemas.openxmlformats.org/officeDocument/2006/relationships/hyperlink" Target="https://m.media-amazon.com/images/I/51sUInS8MiL._SY300_SX300_QL70_FMwebp_.jpg" TargetMode="External"/><Relationship Id="rId168" Type="http://schemas.openxmlformats.org/officeDocument/2006/relationships/hyperlink" Target="https://m.media-amazon.com/images/W/WEBP_402378-T2/images/I/311wFoZMekL._SX300_SY300_QL70_FMwebp_.jpg" TargetMode="External"/><Relationship Id="rId167" Type="http://schemas.openxmlformats.org/officeDocument/2006/relationships/hyperlink" Target="https://m.media-amazon.com/images/I/41bkm5HhWsL._SY445_SX342_QL70_FMwebp_.jpg" TargetMode="External"/><Relationship Id="rId166" Type="http://schemas.openxmlformats.org/officeDocument/2006/relationships/hyperlink" Target="https://m.media-amazon.com/images/I/31vPhcWqqWL._SX300_SY300_QL70_FMwebp_.jpg" TargetMode="External"/><Relationship Id="rId161" Type="http://schemas.openxmlformats.org/officeDocument/2006/relationships/hyperlink" Target="https://m.media-amazon.com/images/W/WEBP_402378-T1/images/I/41OrFRgZhYL._SX300_SY300_QL70_FMwebp_.jpg" TargetMode="External"/><Relationship Id="rId160" Type="http://schemas.openxmlformats.org/officeDocument/2006/relationships/hyperlink" Target="https://m.media-amazon.com/images/I/31yHKPd+rsL._SY300_SX300_.jpg" TargetMode="External"/><Relationship Id="rId159" Type="http://schemas.openxmlformats.org/officeDocument/2006/relationships/hyperlink" Target="https://m.media-amazon.com/images/W/WEBP_402378-T2/images/I/31fpyR3mU4L._SX300_SY300_QL70_FMwebp_.jpg" TargetMode="External"/><Relationship Id="rId154" Type="http://schemas.openxmlformats.org/officeDocument/2006/relationships/hyperlink" Target="https://m.media-amazon.com/images/W/WEBP_402378-T1/images/I/21WhHd9leXL._SX300_SY300_QL70_FMwebp_.jpg" TargetMode="External"/><Relationship Id="rId396" Type="http://schemas.openxmlformats.org/officeDocument/2006/relationships/hyperlink" Target="https://m.media-amazon.com/images/I/41lQan54SPL._SX300_SY300_QL70_ML2_.jpg" TargetMode="External"/><Relationship Id="rId153" Type="http://schemas.openxmlformats.org/officeDocument/2006/relationships/hyperlink" Target="https://m.media-amazon.com/images/W/WEBP_402378-T1/images/I/41+b6inZEkL._SX300_SY300_.jpg" TargetMode="External"/><Relationship Id="rId395" Type="http://schemas.openxmlformats.org/officeDocument/2006/relationships/hyperlink" Target="https://m.media-amazon.com/images/I/51DLLa8HNWL._SX300_SY300_QL70_ML2_.jpg" TargetMode="External"/><Relationship Id="rId152" Type="http://schemas.openxmlformats.org/officeDocument/2006/relationships/hyperlink" Target="https://m.media-amazon.com/images/W/WEBP_402378-T1/images/I/419QKVTxaSL._SX300_SY300_QL70_FMwebp_.jpg" TargetMode="External"/><Relationship Id="rId394" Type="http://schemas.openxmlformats.org/officeDocument/2006/relationships/hyperlink" Target="https://m.media-amazon.com/images/I/31VzNhhqifL._SX300_SY300_QL70_ML2_.jpg" TargetMode="External"/><Relationship Id="rId151" Type="http://schemas.openxmlformats.org/officeDocument/2006/relationships/hyperlink" Target="https://m.media-amazon.com/images/I/41HhmJpfjNL._SX300_SY300_QL70_FMwebp_.jpg" TargetMode="External"/><Relationship Id="rId393" Type="http://schemas.openxmlformats.org/officeDocument/2006/relationships/hyperlink" Target="https://m.media-amazon.com/images/I/41V5FtEWPkL._SX300_SY300_QL70_ML2_.jpg" TargetMode="External"/><Relationship Id="rId158" Type="http://schemas.openxmlformats.org/officeDocument/2006/relationships/hyperlink" Target="https://m.media-amazon.com/images/W/WEBP_402378-T1/images/I/51DhRNtyo0L._SX300_SY300_QL70_FMwebp_.jpg" TargetMode="External"/><Relationship Id="rId157" Type="http://schemas.openxmlformats.org/officeDocument/2006/relationships/hyperlink" Target="https://m.media-amazon.com/images/W/WEBP_402378-T2/images/I/21fnuilweNL._SY445_SX342_QL70_FMwebp_.jpg" TargetMode="External"/><Relationship Id="rId399" Type="http://schemas.openxmlformats.org/officeDocument/2006/relationships/hyperlink" Target="https://m.media-amazon.com/images/I/31wqydqbA9L._SX300_SY300_QL70_ML2_.jpg" TargetMode="External"/><Relationship Id="rId156" Type="http://schemas.openxmlformats.org/officeDocument/2006/relationships/hyperlink" Target="https://m.media-amazon.com/images/W/WEBP_402378-T2/images/I/31IS376AeYL._SX300_SY300_QL70_FMwebp_.jpg" TargetMode="External"/><Relationship Id="rId398" Type="http://schemas.openxmlformats.org/officeDocument/2006/relationships/hyperlink" Target="https://m.media-amazon.com/images/I/31R6RP26dzL._SY300_SX300_QL70_ML2_.jpg" TargetMode="External"/><Relationship Id="rId155" Type="http://schemas.openxmlformats.org/officeDocument/2006/relationships/hyperlink" Target="https://m.media-amazon.com/images/I/41c5wGlZyPS._SX300_SY300_QL70_FMwebp_.jpg" TargetMode="External"/><Relationship Id="rId397" Type="http://schemas.openxmlformats.org/officeDocument/2006/relationships/hyperlink" Target="https://m.media-amazon.com/images/I/41MmsYTi06L._SX300_SY300_QL70_ML2_.jpg" TargetMode="External"/><Relationship Id="rId808" Type="http://schemas.openxmlformats.org/officeDocument/2006/relationships/hyperlink" Target="https://m.media-amazon.com/images/I/31NR4qCjJyL._SX300_SY300_QL70_FMwebp_.jpg" TargetMode="External"/><Relationship Id="rId807" Type="http://schemas.openxmlformats.org/officeDocument/2006/relationships/hyperlink" Target="https://m.media-amazon.com/images/W/WEBP_402378-T2/images/I/41aZf9i-QzL._SX300_SY300_QL70_FMwebp_.jpg" TargetMode="External"/><Relationship Id="rId806" Type="http://schemas.openxmlformats.org/officeDocument/2006/relationships/hyperlink" Target="https://m.media-amazon.com/images/I/31w-19-3fSL._SY300_SX300_QL70_FMwebp_.jpg" TargetMode="External"/><Relationship Id="rId805" Type="http://schemas.openxmlformats.org/officeDocument/2006/relationships/hyperlink" Target="https://m.media-amazon.com/images/I/41rfSd9spqL._SX300_SY300_QL70_FMwebp_.jpg" TargetMode="External"/><Relationship Id="rId809" Type="http://schemas.openxmlformats.org/officeDocument/2006/relationships/hyperlink" Target="https://m.media-amazon.com/images/I/41WggyozHQL._SX300_SY300_QL70_FMwebp_.jpg" TargetMode="External"/><Relationship Id="rId800" Type="http://schemas.openxmlformats.org/officeDocument/2006/relationships/hyperlink" Target="https://m.media-amazon.com/images/W/WEBP_402378-T1/images/I/31R5FtHMDiL._SY300_SX300_QL70_FMwebp_.jpg" TargetMode="External"/><Relationship Id="rId804" Type="http://schemas.openxmlformats.org/officeDocument/2006/relationships/hyperlink" Target="https://m.media-amazon.com/images/W/WEBP_402378-T1/images/I/41wL36XZGXL._SX300_SY300_QL70_FMwebp_.jpg" TargetMode="External"/><Relationship Id="rId803" Type="http://schemas.openxmlformats.org/officeDocument/2006/relationships/hyperlink" Target="https://m.media-amazon.com/images/W/WEBP_402378-T1/images/I/41Fqm0bR7PL._SX300_SY300_QL70_FMwebp_.jpg" TargetMode="External"/><Relationship Id="rId802" Type="http://schemas.openxmlformats.org/officeDocument/2006/relationships/hyperlink" Target="https://m.media-amazon.com/images/W/WEBP_402378-T2/images/I/411ZrOollDL._SX300_SY300_QL70_FMwebp_.jpg" TargetMode="External"/><Relationship Id="rId801" Type="http://schemas.openxmlformats.org/officeDocument/2006/relationships/hyperlink" Target="https://m.media-amazon.com/images/W/WEBP_402378-T1/images/I/413viCgpI+L._SY300_SX300_.jpg" TargetMode="External"/><Relationship Id="rId40" Type="http://schemas.openxmlformats.org/officeDocument/2006/relationships/hyperlink" Target="https://m.media-amazon.com/images/W/WEBP_402378-T1/images/I/41v5BQZzfAL._SX300_SY300_QL70_FMwebp_.jpg" TargetMode="External"/><Relationship Id="rId1334" Type="http://schemas.openxmlformats.org/officeDocument/2006/relationships/hyperlink" Target="https://m.media-amazon.com/images/W/WEBP_402378-T1/images/I/31l0oxTSJuL._SX300_SY300_QL70_FMwebp_.jpg" TargetMode="External"/><Relationship Id="rId1335" Type="http://schemas.openxmlformats.org/officeDocument/2006/relationships/hyperlink" Target="https://m.media-amazon.com/images/W/WEBP_402378-T1/images/I/41lGZWRZqOS._SX300_SY300_QL70_FMwebp_.jpg" TargetMode="External"/><Relationship Id="rId42" Type="http://schemas.openxmlformats.org/officeDocument/2006/relationships/hyperlink" Target="https://m.media-amazon.com/images/I/41nsy8kxWUL._SY300_SX300_QL70_FMwebp_.jpg" TargetMode="External"/><Relationship Id="rId1336" Type="http://schemas.openxmlformats.org/officeDocument/2006/relationships/hyperlink" Target="https://m.media-amazon.com/images/W/WEBP_402378-T1/images/I/310umqMFDRL._SX300_SY300_QL70_FMwebp_.jpg" TargetMode="External"/><Relationship Id="rId41" Type="http://schemas.openxmlformats.org/officeDocument/2006/relationships/hyperlink" Target="https://m.media-amazon.com/images/I/4101vlzySzL._SY300_SX300_QL70_FMwebp_.jpg" TargetMode="External"/><Relationship Id="rId1337" Type="http://schemas.openxmlformats.org/officeDocument/2006/relationships/hyperlink" Target="https://m.media-amazon.com/images/W/WEBP_402378-T1/images/I/41e5RU3gPHL._SX300_SY300_QL70_FMwebp_.jpg" TargetMode="External"/><Relationship Id="rId44" Type="http://schemas.openxmlformats.org/officeDocument/2006/relationships/hyperlink" Target="https://m.media-amazon.com/images/W/WEBP_402378-T2/images/I/31EHCPHbSlL._SX300_SY300_QL70_FMwebp_.jpg" TargetMode="External"/><Relationship Id="rId1338" Type="http://schemas.openxmlformats.org/officeDocument/2006/relationships/hyperlink" Target="https://m.media-amazon.com/images/I/319pDZDL+sL._SY300_SX300_.jpg" TargetMode="External"/><Relationship Id="rId43" Type="http://schemas.openxmlformats.org/officeDocument/2006/relationships/hyperlink" Target="https://m.media-amazon.com/images/W/WEBP_402378-T1/images/I/41rB0DnVFmL._SX300_SY300_QL70_FMwebp_.jpg" TargetMode="External"/><Relationship Id="rId1339" Type="http://schemas.openxmlformats.org/officeDocument/2006/relationships/hyperlink" Target="https://m.media-amazon.com/images/I/41bdE73aspL._SX300_SY300_QL70_FMwebp_.jpg" TargetMode="External"/><Relationship Id="rId46" Type="http://schemas.openxmlformats.org/officeDocument/2006/relationships/hyperlink" Target="https://m.media-amazon.com/images/W/WEBP_402378-T2/images/I/41CnR1WhD3L._SX300_SY300_QL70_FMwebp_.jpg" TargetMode="External"/><Relationship Id="rId45" Type="http://schemas.openxmlformats.org/officeDocument/2006/relationships/hyperlink" Target="https://m.media-amazon.com/images/I/31v7NnnAItL._SY445_SX342_QL70_FMwebp_.jpg" TargetMode="External"/><Relationship Id="rId509" Type="http://schemas.openxmlformats.org/officeDocument/2006/relationships/hyperlink" Target="https://m.media-amazon.com/images/I/41vjHoqVHJL._SX300_SY300_QL70_ML2_.jpg" TargetMode="External"/><Relationship Id="rId508" Type="http://schemas.openxmlformats.org/officeDocument/2006/relationships/hyperlink" Target="https://m.media-amazon.com/images/I/41g54hBpHkL._SY300_SX300_QL70_ML2_.jpg" TargetMode="External"/><Relationship Id="rId503" Type="http://schemas.openxmlformats.org/officeDocument/2006/relationships/hyperlink" Target="https://m.media-amazon.com/images/I/41u0PC4NajL._SX300_SY300_QL70_ML2_.jpg" TargetMode="External"/><Relationship Id="rId745" Type="http://schemas.openxmlformats.org/officeDocument/2006/relationships/hyperlink" Target="https://m.media-amazon.com/images/I/31oMWLNvoVS._SY300_SX300_QL70_FMwebp_.jpg" TargetMode="External"/><Relationship Id="rId987" Type="http://schemas.openxmlformats.org/officeDocument/2006/relationships/hyperlink" Target="https://m.media-amazon.com/images/I/31mYeD0VSTL._SX300_SY300_QL70_FMwebp_.jpg" TargetMode="External"/><Relationship Id="rId502" Type="http://schemas.openxmlformats.org/officeDocument/2006/relationships/hyperlink" Target="https://m.media-amazon.com/images/I/4121yWSVFmL._SX300_SY300_QL70_ML2_.jpg" TargetMode="External"/><Relationship Id="rId744" Type="http://schemas.openxmlformats.org/officeDocument/2006/relationships/hyperlink" Target="https://m.media-amazon.com/images/W/WEBP_402378-T1/images/I/31GrCGz9drL._SX300_SY300_QL70_FMwebp_.jpg" TargetMode="External"/><Relationship Id="rId986" Type="http://schemas.openxmlformats.org/officeDocument/2006/relationships/hyperlink" Target="https://m.media-amazon.com/images/I/41jlh3c7UbL._SX300_SY300_QL70_FMwebp_.jpg" TargetMode="External"/><Relationship Id="rId501" Type="http://schemas.openxmlformats.org/officeDocument/2006/relationships/hyperlink" Target="https://m.media-amazon.com/images/I/41XtHlbmOHL._SX300_SY300_QL70_ML2_.jpg" TargetMode="External"/><Relationship Id="rId743" Type="http://schemas.openxmlformats.org/officeDocument/2006/relationships/hyperlink" Target="https://m.media-amazon.com/images/W/WEBP_402378-T2/images/I/51JIngdPfEL._SX300_SY300_QL70_FMwebp_.jpg" TargetMode="External"/><Relationship Id="rId985" Type="http://schemas.openxmlformats.org/officeDocument/2006/relationships/hyperlink" Target="https://m.media-amazon.com/images/W/WEBP_402378-T2/images/I/31filqqY7-L._SX300_SY300_QL70_FMwebp_.jpg" TargetMode="External"/><Relationship Id="rId500" Type="http://schemas.openxmlformats.org/officeDocument/2006/relationships/hyperlink" Target="https://m.media-amazon.com/images/I/41iec5VPMlL._SX300_SY300_QL70_ML2_.jpg" TargetMode="External"/><Relationship Id="rId742" Type="http://schemas.openxmlformats.org/officeDocument/2006/relationships/hyperlink" Target="https://m.media-amazon.com/images/I/315g5ipEPAL._SY300_SX300_QL70_FMwebp_.jpg" TargetMode="External"/><Relationship Id="rId984" Type="http://schemas.openxmlformats.org/officeDocument/2006/relationships/hyperlink" Target="https://m.media-amazon.com/images/I/41gFqSHngyL._SX300_SY300_QL70_FMwebp_.jpg" TargetMode="External"/><Relationship Id="rId507" Type="http://schemas.openxmlformats.org/officeDocument/2006/relationships/hyperlink" Target="https://m.media-amazon.com/images/I/41GXZy6dLIL._SX300_SY300_QL70_ML2_.jpg" TargetMode="External"/><Relationship Id="rId749" Type="http://schemas.openxmlformats.org/officeDocument/2006/relationships/hyperlink" Target="https://m.media-amazon.com/images/I/41U9-x0JGPL._SX300_SY300_QL70_FMwebp_.jpg" TargetMode="External"/><Relationship Id="rId506" Type="http://schemas.openxmlformats.org/officeDocument/2006/relationships/hyperlink" Target="https://m.media-amazon.com/images/I/41kwROGAMEL._SX300_SY300_QL70_ML2_.jpg" TargetMode="External"/><Relationship Id="rId748" Type="http://schemas.openxmlformats.org/officeDocument/2006/relationships/hyperlink" Target="https://m.media-amazon.com/images/I/31luFfya0kL._SX300_SY300_QL70_FMwebp_.jpg" TargetMode="External"/><Relationship Id="rId505" Type="http://schemas.openxmlformats.org/officeDocument/2006/relationships/hyperlink" Target="https://m.media-amazon.com/images/I/4177nw8okbL._SX300_SY300_QL70_ML2_.jpg" TargetMode="External"/><Relationship Id="rId747" Type="http://schemas.openxmlformats.org/officeDocument/2006/relationships/hyperlink" Target="https://m.media-amazon.com/images/W/WEBP_402378-T1/images/I/313nBNJrT6L._SX300_SY300_QL70_FMwebp_.jpg" TargetMode="External"/><Relationship Id="rId989" Type="http://schemas.openxmlformats.org/officeDocument/2006/relationships/hyperlink" Target="https://m.media-amazon.com/images/I/51m3+9D6ZwL._SY300_SX300_.jpg" TargetMode="External"/><Relationship Id="rId504" Type="http://schemas.openxmlformats.org/officeDocument/2006/relationships/hyperlink" Target="https://m.media-amazon.com/images/I/41jk4zYjTsL._SX300_SY300_QL70_ML2_.jpg" TargetMode="External"/><Relationship Id="rId746" Type="http://schemas.openxmlformats.org/officeDocument/2006/relationships/hyperlink" Target="https://m.media-amazon.com/images/W/WEBP_402378-T2/images/I/41UD9vNsIjS._SX300_SY300_QL70_FMwebp_.jpg" TargetMode="External"/><Relationship Id="rId988" Type="http://schemas.openxmlformats.org/officeDocument/2006/relationships/hyperlink" Target="https://m.media-amazon.com/images/I/41p7lk3nj6L._SX300_SY300_QL70_FMwebp_.jpg" TargetMode="External"/><Relationship Id="rId48" Type="http://schemas.openxmlformats.org/officeDocument/2006/relationships/hyperlink" Target="https://m.media-amazon.com/images/I/41bCxnHksnL._SY300_SX300_QL70_FMwebp_.jpg" TargetMode="External"/><Relationship Id="rId47" Type="http://schemas.openxmlformats.org/officeDocument/2006/relationships/hyperlink" Target="https://m.media-amazon.com/images/I/31+NwZ8gb1L._SX300_SY300_.jpg" TargetMode="External"/><Relationship Id="rId49" Type="http://schemas.openxmlformats.org/officeDocument/2006/relationships/hyperlink" Target="https://m.media-amazon.com/images/W/WEBP_402378-T1/images/I/21rBnbHkW9L._SX300_SY300_QL70_FMwebp_.jpg" TargetMode="External"/><Relationship Id="rId741" Type="http://schemas.openxmlformats.org/officeDocument/2006/relationships/hyperlink" Target="https://m.media-amazon.com/images/W/WEBP_402378-T1/images/I/31bKIZtFGWL._SX300_SY300_QL70_FMwebp_.jpg" TargetMode="External"/><Relationship Id="rId983" Type="http://schemas.openxmlformats.org/officeDocument/2006/relationships/hyperlink" Target="https://m.media-amazon.com/images/I/51llGK9TR+L._SY300_SX300_.jpg" TargetMode="External"/><Relationship Id="rId1330" Type="http://schemas.openxmlformats.org/officeDocument/2006/relationships/hyperlink" Target="https://m.media-amazon.com/images/I/41Lfns2oFNL._SX300_SY300_QL70_FMwebp_.jpg" TargetMode="External"/><Relationship Id="rId740" Type="http://schemas.openxmlformats.org/officeDocument/2006/relationships/hyperlink" Target="https://m.media-amazon.com/images/I/41cRLg+wdIL._SY300_SX300_.jpg" TargetMode="External"/><Relationship Id="rId982" Type="http://schemas.openxmlformats.org/officeDocument/2006/relationships/hyperlink" Target="https://m.media-amazon.com/images/I/41Msi1CS2WL._SX300_SY300_QL70_FMwebp_.jpg" TargetMode="External"/><Relationship Id="rId1331" Type="http://schemas.openxmlformats.org/officeDocument/2006/relationships/hyperlink" Target="https://m.media-amazon.com/images/W/WEBP_402378-T1/images/I/21df9THeM-L._SX300_SY300_QL70_FMwebp_.jpg" TargetMode="External"/><Relationship Id="rId981" Type="http://schemas.openxmlformats.org/officeDocument/2006/relationships/hyperlink" Target="https://m.media-amazon.com/images/I/41No9BR7P0L._SX300_SY300_QL70_FMwebp_.jpg" TargetMode="External"/><Relationship Id="rId1332" Type="http://schemas.openxmlformats.org/officeDocument/2006/relationships/hyperlink" Target="https://m.media-amazon.com/images/I/41SWYTwG5-L._SX300_SY300_QL70_FMwebp_.jpg" TargetMode="External"/><Relationship Id="rId980" Type="http://schemas.openxmlformats.org/officeDocument/2006/relationships/hyperlink" Target="https://m.media-amazon.com/images/W/WEBP_402378-T1/images/I/41gztmbiIgL._SX300_SY300_QL70_FMwebp_.jpg" TargetMode="External"/><Relationship Id="rId1333" Type="http://schemas.openxmlformats.org/officeDocument/2006/relationships/hyperlink" Target="https://m.media-amazon.com/images/I/31YvxM2eDDL._SX300_SY300_QL70_FMwebp_.jpg" TargetMode="External"/><Relationship Id="rId1323" Type="http://schemas.openxmlformats.org/officeDocument/2006/relationships/hyperlink" Target="https://m.media-amazon.com/images/I/21954ou6hSL._SX300_SY300_QL70_FMwebp_.jpg" TargetMode="External"/><Relationship Id="rId1324" Type="http://schemas.openxmlformats.org/officeDocument/2006/relationships/hyperlink" Target="https://m.media-amazon.com/images/W/WEBP_402378-T1/images/I/41MrcJcvi3L._SX300_SY300_QL70_FMwebp_.jpg" TargetMode="External"/><Relationship Id="rId31" Type="http://schemas.openxmlformats.org/officeDocument/2006/relationships/hyperlink" Target="https://m.media-amazon.com/images/W/WEBP_402378-T2/images/I/41Fqm0bR7PL._SX300_SY300_QL70_FMwebp_.jpg" TargetMode="External"/><Relationship Id="rId1325" Type="http://schemas.openxmlformats.org/officeDocument/2006/relationships/hyperlink" Target="https://m.media-amazon.com/images/I/51SvK5l5JRL._SX300_SY300_QL70_FMwebp_.jpg" TargetMode="External"/><Relationship Id="rId30" Type="http://schemas.openxmlformats.org/officeDocument/2006/relationships/hyperlink" Target="https://m.media-amazon.com/images/I/41jk4zYjTsL._SX300_SY300_QL70_FMwebp_.jpg" TargetMode="External"/><Relationship Id="rId1326" Type="http://schemas.openxmlformats.org/officeDocument/2006/relationships/hyperlink" Target="https://m.media-amazon.com/images/I/31TnmukIucL._SX300_SY300_QL70_FMwebp_.jpg" TargetMode="External"/><Relationship Id="rId33" Type="http://schemas.openxmlformats.org/officeDocument/2006/relationships/hyperlink" Target="https://m.media-amazon.com/images/I/419QKVTxaSL._SX300_SY300_QL70_FMwebp_.jpg" TargetMode="External"/><Relationship Id="rId1327" Type="http://schemas.openxmlformats.org/officeDocument/2006/relationships/hyperlink" Target="https://m.media-amazon.com/images/W/WEBP_402378-T2/images/I/31991seDfcL._SY300_SX300_QL70_FMwebp_.jpg" TargetMode="External"/><Relationship Id="rId32" Type="http://schemas.openxmlformats.org/officeDocument/2006/relationships/hyperlink" Target="https://m.media-amazon.com/images/W/WEBP_402378-T1/images/I/41cCZ5EPnvL._SX300_SY300_QL70_FMwebp_.jpg" TargetMode="External"/><Relationship Id="rId1328" Type="http://schemas.openxmlformats.org/officeDocument/2006/relationships/hyperlink" Target="https://m.media-amazon.com/images/W/WEBP_402378-T1/images/I/41875hbgKyL._SY300_SX300_QL70_FMwebp_.jpg" TargetMode="External"/><Relationship Id="rId35" Type="http://schemas.openxmlformats.org/officeDocument/2006/relationships/hyperlink" Target="https://m.media-amazon.com/images/I/41wN7jooz0L._SX300_SY300_QL70_FMwebp_.jpg" TargetMode="External"/><Relationship Id="rId1329" Type="http://schemas.openxmlformats.org/officeDocument/2006/relationships/hyperlink" Target="https://m.media-amazon.com/images/W/WEBP_402378-T2/images/I/419H62Is66L._SX300_SY300_QL70_FMwebp_.jpg" TargetMode="External"/><Relationship Id="rId34" Type="http://schemas.openxmlformats.org/officeDocument/2006/relationships/hyperlink" Target="https://m.media-amazon.com/images/W/WEBP_402378-T1/images/I/11ICusapw3L._SY300_SX300_QL70_FMwebp_.jpg" TargetMode="External"/><Relationship Id="rId739" Type="http://schemas.openxmlformats.org/officeDocument/2006/relationships/hyperlink" Target="https://m.media-amazon.com/images/W/WEBP_402378-T1/images/I/41YjSD1XPoS._SY300_SX300_QL70_FMwebp_.jpg" TargetMode="External"/><Relationship Id="rId734" Type="http://schemas.openxmlformats.org/officeDocument/2006/relationships/hyperlink" Target="https://m.media-amazon.com/images/W/WEBP_402378-T1/images/I/41n2MqMIH5L._SX300_SY300_QL70_FMwebp_.jpg" TargetMode="External"/><Relationship Id="rId976" Type="http://schemas.openxmlformats.org/officeDocument/2006/relationships/hyperlink" Target="https://m.media-amazon.com/images/I/31s6OZfTO2L._SX300_SY300_QL70_FMwebp_.jpg" TargetMode="External"/><Relationship Id="rId733" Type="http://schemas.openxmlformats.org/officeDocument/2006/relationships/hyperlink" Target="https://m.media-amazon.com/images/I/41cOH84GhGL._SX300_SY300_QL70_FMwebp_.jpg" TargetMode="External"/><Relationship Id="rId975" Type="http://schemas.openxmlformats.org/officeDocument/2006/relationships/hyperlink" Target="https://m.media-amazon.com/images/W/WEBP_402378-T1/images/I/31-BRsjrvDL._SY300_SX300_QL70_FMwebp_.jpg" TargetMode="External"/><Relationship Id="rId732" Type="http://schemas.openxmlformats.org/officeDocument/2006/relationships/hyperlink" Target="https://m.media-amazon.com/images/I/41da4tk7N+L._SY300_SX300_.jpg" TargetMode="External"/><Relationship Id="rId974" Type="http://schemas.openxmlformats.org/officeDocument/2006/relationships/hyperlink" Target="https://m.media-amazon.com/images/I/31Yg8KP64NL._SX300_SY300_QL70_FMwebp_.jpg" TargetMode="External"/><Relationship Id="rId731" Type="http://schemas.openxmlformats.org/officeDocument/2006/relationships/hyperlink" Target="https://m.media-amazon.com/images/I/51RTfgkScMS._SX300_SY300_QL70_FMwebp_.jpg" TargetMode="External"/><Relationship Id="rId973" Type="http://schemas.openxmlformats.org/officeDocument/2006/relationships/hyperlink" Target="https://m.media-amazon.com/images/I/31Wm6eo+yYL._SY300_SX300_.jpg" TargetMode="External"/><Relationship Id="rId738" Type="http://schemas.openxmlformats.org/officeDocument/2006/relationships/hyperlink" Target="https://m.media-amazon.com/images/I/41tLaG2nSpL._SX300_SY300_QL70_FMwebp_.jpg" TargetMode="External"/><Relationship Id="rId737" Type="http://schemas.openxmlformats.org/officeDocument/2006/relationships/hyperlink" Target="https://m.media-amazon.com/images/W/WEBP_402378-T1/images/I/314QZXF1dHL._SY300_SX300_QL70_FMwebp_.jpg" TargetMode="External"/><Relationship Id="rId979" Type="http://schemas.openxmlformats.org/officeDocument/2006/relationships/hyperlink" Target="https://m.media-amazon.com/images/W/WEBP_402378-T1/images/I/41AKgxsBONL._SY300_SX300_QL70_FMwebp_.jpg" TargetMode="External"/><Relationship Id="rId736" Type="http://schemas.openxmlformats.org/officeDocument/2006/relationships/hyperlink" Target="https://m.media-amazon.com/images/I/31SKRsp7Y1L._SX300_SY300_QL70_FMwebp_.jpg" TargetMode="External"/><Relationship Id="rId978" Type="http://schemas.openxmlformats.org/officeDocument/2006/relationships/hyperlink" Target="https://m.media-amazon.com/images/W/WEBP_402378-T2/images/I/31VnhITYb+L._SY300_SX300_.jpg" TargetMode="External"/><Relationship Id="rId735" Type="http://schemas.openxmlformats.org/officeDocument/2006/relationships/hyperlink" Target="https://m.media-amazon.com/images/I/31CtVvtFt+L._SY300_SX300_.jpg" TargetMode="External"/><Relationship Id="rId977" Type="http://schemas.openxmlformats.org/officeDocument/2006/relationships/hyperlink" Target="https://m.media-amazon.com/images/I/31jUKdJdjHL._SX300_SY300_QL70_FMwebp_.jpg" TargetMode="External"/><Relationship Id="rId37" Type="http://schemas.openxmlformats.org/officeDocument/2006/relationships/hyperlink" Target="https://m.media-amazon.com/images/I/3183iGEWksL._SX300_SY300_QL70_FMwebp_.jpg" TargetMode="External"/><Relationship Id="rId36" Type="http://schemas.openxmlformats.org/officeDocument/2006/relationships/hyperlink" Target="https://m.media-amazon.com/images/W/WEBP_402378-T1/images/I/31ew3okQR2L._SX300_SY300_QL70_FMwebp_.jpg" TargetMode="External"/><Relationship Id="rId39" Type="http://schemas.openxmlformats.org/officeDocument/2006/relationships/hyperlink" Target="https://m.media-amazon.com/images/I/51hQfTroMzL._SX300_SY300_QL70_FMwebp_.jpg" TargetMode="External"/><Relationship Id="rId38" Type="http://schemas.openxmlformats.org/officeDocument/2006/relationships/hyperlink" Target="https://m.media-amazon.com/images/W/WEBP_402378-T1/images/I/41P2EdQI1ZL._SY445_SX342_QL70_FMwebp_.jpg" TargetMode="External"/><Relationship Id="rId730" Type="http://schemas.openxmlformats.org/officeDocument/2006/relationships/hyperlink" Target="https://m.media-amazon.com/images/W/WEBP_402378-T2/images/I/31ylgpMYDwL._SX300_SY300_QL70_FMwebp_.jpg" TargetMode="External"/><Relationship Id="rId972" Type="http://schemas.openxmlformats.org/officeDocument/2006/relationships/hyperlink" Target="https://m.media-amazon.com/images/W/WEBP_402378-T1/images/I/41BDLm8-jLL._SX300_SY300_QL70_FMwebp_.jpg" TargetMode="External"/><Relationship Id="rId971" Type="http://schemas.openxmlformats.org/officeDocument/2006/relationships/hyperlink" Target="https://m.media-amazon.com/images/W/WEBP_402378-T1/images/I/21m+6LxEnOL._SY300_SX300_.jpg" TargetMode="External"/><Relationship Id="rId1320" Type="http://schemas.openxmlformats.org/officeDocument/2006/relationships/hyperlink" Target="https://m.media-amazon.com/images/I/314V87LweLL._SX300_SY300_QL70_FMwebp_.jpg" TargetMode="External"/><Relationship Id="rId970" Type="http://schemas.openxmlformats.org/officeDocument/2006/relationships/hyperlink" Target="https://m.media-amazon.com/images/W/WEBP_402378-T1/images/I/41Gt21tmhTL._SX300_SY300_QL70_FMwebp_.jpg" TargetMode="External"/><Relationship Id="rId1321" Type="http://schemas.openxmlformats.org/officeDocument/2006/relationships/hyperlink" Target="https://m.media-amazon.com/images/W/WEBP_402378-T1/images/I/31RZz5dsEVL._SX300_SY300_QL70_FMwebp_.jpg" TargetMode="External"/><Relationship Id="rId1322" Type="http://schemas.openxmlformats.org/officeDocument/2006/relationships/hyperlink" Target="https://m.media-amazon.com/images/I/316y4IIKD6L._SX300_SY300_QL70_FMwebp_.jpg" TargetMode="External"/><Relationship Id="rId1114" Type="http://schemas.openxmlformats.org/officeDocument/2006/relationships/hyperlink" Target="https://m.media-amazon.com/images/I/41A8H7PSidL._SY300_SX300_QL70_FMwebp_.jpg" TargetMode="External"/><Relationship Id="rId1356" Type="http://schemas.openxmlformats.org/officeDocument/2006/relationships/hyperlink" Target="https://m.media-amazon.com/images/I/41WfA7FDnzL._SX300_SY300_QL70_FMwebp_.jpg" TargetMode="External"/><Relationship Id="rId1115" Type="http://schemas.openxmlformats.org/officeDocument/2006/relationships/hyperlink" Target="https://m.media-amazon.com/images/I/31eyLyEftOL._SX300_SY300_QL70_FMwebp_.jpg" TargetMode="External"/><Relationship Id="rId1357" Type="http://schemas.openxmlformats.org/officeDocument/2006/relationships/hyperlink" Target="https://m.media-amazon.com/images/W/WEBP_402378-T2/images/I/411NB1EXJNL._SY300_SX300_QL70_FMwebp_.jpg" TargetMode="External"/><Relationship Id="rId20" Type="http://schemas.openxmlformats.org/officeDocument/2006/relationships/hyperlink" Target="https://m.media-amazon.com/images/W/WEBP_402378-T2/images/I/51v-2Nzr+ML._SY300_SX300_.jpg" TargetMode="External"/><Relationship Id="rId1116" Type="http://schemas.openxmlformats.org/officeDocument/2006/relationships/hyperlink" Target="https://m.media-amazon.com/images/I/41wqOJ5t9QL._SX300_SY300_QL70_FMwebp_.jpg" TargetMode="External"/><Relationship Id="rId1358" Type="http://schemas.openxmlformats.org/officeDocument/2006/relationships/hyperlink" Target="https://m.media-amazon.com/images/W/WEBP_402378-T2/images/I/51kEztAe73L._SX300_SY300_QL70_FMwebp_.jpg" TargetMode="External"/><Relationship Id="rId1117" Type="http://schemas.openxmlformats.org/officeDocument/2006/relationships/hyperlink" Target="https://m.media-amazon.com/images/W/WEBP_402378-T1/images/I/31D9nttNSPL._SX300_SY300_QL70_FMwebp_.jpg" TargetMode="External"/><Relationship Id="rId1359" Type="http://schemas.openxmlformats.org/officeDocument/2006/relationships/hyperlink" Target="https://m.media-amazon.com/images/W/WEBP_402378-T1/images/I/315uFBgWK3L._SX300_SY300_QL70_FMwebp_.jpg" TargetMode="External"/><Relationship Id="rId22" Type="http://schemas.openxmlformats.org/officeDocument/2006/relationships/hyperlink" Target="https://m.media-amazon.com/images/W/WEBP_402378-T1/images/I/31MIyzg8uzL._SX300_SY300_QL70_FMwebp_.jpg" TargetMode="External"/><Relationship Id="rId1118" Type="http://schemas.openxmlformats.org/officeDocument/2006/relationships/hyperlink" Target="https://m.media-amazon.com/images/W/WEBP_402378-T1/images/I/31iBzpNszEL._SX300_SY300_QL70_FMwebp_.jpg" TargetMode="External"/><Relationship Id="rId21" Type="http://schemas.openxmlformats.org/officeDocument/2006/relationships/hyperlink" Target="https://m.media-amazon.com/images/W/WEBP_402378-T1/images/I/41TZJiPRRwL._SX300_SY300_QL70_FMwebp_.jpg" TargetMode="External"/><Relationship Id="rId1119" Type="http://schemas.openxmlformats.org/officeDocument/2006/relationships/hyperlink" Target="https://m.media-amazon.com/images/I/31uLbVqjaqL._SX300_SY300_QL70_FMwebp_.jpg" TargetMode="External"/><Relationship Id="rId24" Type="http://schemas.openxmlformats.org/officeDocument/2006/relationships/hyperlink" Target="https://m.media-amazon.com/images/I/31qGpf8uzuL._SY445_SX342_QL70_FMwebp_.jpg" TargetMode="External"/><Relationship Id="rId23" Type="http://schemas.openxmlformats.org/officeDocument/2006/relationships/hyperlink" Target="https://m.media-amazon.com/images/W/WEBP_402378-T1/images/I/51q3+E64azL._SX300_SY300_.jpg" TargetMode="External"/><Relationship Id="rId525" Type="http://schemas.openxmlformats.org/officeDocument/2006/relationships/hyperlink" Target="https://m.media-amazon.com/images/I/31xJT-3ZAkL._SX300_SY300_QL70_ML2_.jpg" TargetMode="External"/><Relationship Id="rId767" Type="http://schemas.openxmlformats.org/officeDocument/2006/relationships/hyperlink" Target="https://m.media-amazon.com/images/W/WEBP_402378-T2/images/I/416+IXsM9lL._SY300_SX300_.jpg" TargetMode="External"/><Relationship Id="rId524" Type="http://schemas.openxmlformats.org/officeDocument/2006/relationships/hyperlink" Target="https://m.media-amazon.com/images/I/31+GLbqRPtL._SY300_SX300_.jpg" TargetMode="External"/><Relationship Id="rId766" Type="http://schemas.openxmlformats.org/officeDocument/2006/relationships/hyperlink" Target="https://m.media-amazon.com/images/I/41Ae67XZACL._SX300_SY300_QL70_FMwebp_.jpg" TargetMode="External"/><Relationship Id="rId523" Type="http://schemas.openxmlformats.org/officeDocument/2006/relationships/hyperlink" Target="https://m.media-amazon.com/images/I/412VyMavsJL._SX300_SY300_QL70_ML2_.jpg" TargetMode="External"/><Relationship Id="rId765" Type="http://schemas.openxmlformats.org/officeDocument/2006/relationships/hyperlink" Target="https://m.media-amazon.com/images/I/315HWKLDHlL._SY300_SX300_QL70_FMwebp_.jpg" TargetMode="External"/><Relationship Id="rId522" Type="http://schemas.openxmlformats.org/officeDocument/2006/relationships/hyperlink" Target="https://m.media-amazon.com/images/I/41R0DrIbTNL._SX300_SY300_QL70_ML2_.jpg" TargetMode="External"/><Relationship Id="rId764" Type="http://schemas.openxmlformats.org/officeDocument/2006/relationships/hyperlink" Target="https://m.media-amazon.com/images/W/WEBP_402378-T2/images/I/41KB80oxxfL._SX300_SY300_QL70_FMwebp_.jpg" TargetMode="External"/><Relationship Id="rId529" Type="http://schemas.openxmlformats.org/officeDocument/2006/relationships/hyperlink" Target="https://m.media-amazon.com/images/I/51WJbMPuROL._SX300_SY300_QL70_ML2_.jpg" TargetMode="External"/><Relationship Id="rId528" Type="http://schemas.openxmlformats.org/officeDocument/2006/relationships/hyperlink" Target="https://m.media-amazon.com/images/I/41bFp+Wev+L._SY300_SX300_.jpg" TargetMode="External"/><Relationship Id="rId527" Type="http://schemas.openxmlformats.org/officeDocument/2006/relationships/hyperlink" Target="https://m.media-amazon.com/images/I/31LVAoe3VNL._SX300_SY300_QL70_ML2_.jpg" TargetMode="External"/><Relationship Id="rId769" Type="http://schemas.openxmlformats.org/officeDocument/2006/relationships/hyperlink" Target="https://m.media-amazon.com/images/I/41GeM83DzzL._SX300_SY300_QL70_FMwebp_.jpg" TargetMode="External"/><Relationship Id="rId526" Type="http://schemas.openxmlformats.org/officeDocument/2006/relationships/hyperlink" Target="https://m.media-amazon.com/images/I/41LDspRanIL._SX300_SY300_QL70_ML2_.jpg" TargetMode="External"/><Relationship Id="rId768" Type="http://schemas.openxmlformats.org/officeDocument/2006/relationships/hyperlink" Target="https://m.media-amazon.com/images/W/WEBP_402378-T2/images/I/512Lrv2A-pL._SX300_SY300_QL70_FMwebp_.jpg" TargetMode="External"/><Relationship Id="rId26" Type="http://schemas.openxmlformats.org/officeDocument/2006/relationships/hyperlink" Target="https://m.media-amazon.com/images/I/41da4tk7N+L._SY300_SX300_.jpg" TargetMode="External"/><Relationship Id="rId25" Type="http://schemas.openxmlformats.org/officeDocument/2006/relationships/hyperlink" Target="https://m.media-amazon.com/images/I/41gikeSuhAL._SY300_SX300_QL70_FMwebp_.jpg" TargetMode="External"/><Relationship Id="rId28" Type="http://schemas.openxmlformats.org/officeDocument/2006/relationships/hyperlink" Target="https://m.media-amazon.com/images/W/WEBP_402378-T2/images/I/41GeM83DzzL._SX300_SY300_QL70_FMwebp_.jpg" TargetMode="External"/><Relationship Id="rId1350" Type="http://schemas.openxmlformats.org/officeDocument/2006/relationships/hyperlink" Target="https://m.media-amazon.com/images/W/WEBP_402378-T2/images/I/41RI-hzCnvL._SY300_SX300_QL70_FMwebp_.jpg" TargetMode="External"/><Relationship Id="rId27" Type="http://schemas.openxmlformats.org/officeDocument/2006/relationships/hyperlink" Target="https://m.media-amazon.com/images/W/WEBP_402378-T2/images/I/41WE9ZGEC4L._SX300_SY300_QL70_FMwebp_.jpg" TargetMode="External"/><Relationship Id="rId1351" Type="http://schemas.openxmlformats.org/officeDocument/2006/relationships/hyperlink" Target="https://m.media-amazon.com/images/W/WEBP_402378-T1/images/I/21vWJo4CXKL._SX300_SY300_QL70_FMwebp_.jpg" TargetMode="External"/><Relationship Id="rId521" Type="http://schemas.openxmlformats.org/officeDocument/2006/relationships/hyperlink" Target="https://m.media-amazon.com/images/I/318wXJER9zL._SX300_SY300_QL70_ML2_.jpg" TargetMode="External"/><Relationship Id="rId763" Type="http://schemas.openxmlformats.org/officeDocument/2006/relationships/hyperlink" Target="https://m.media-amazon.com/images/W/WEBP_402378-T2/images/I/41hmoJUQTuL._SX300_SY300_QL70_FMwebp_.jpg" TargetMode="External"/><Relationship Id="rId1110" Type="http://schemas.openxmlformats.org/officeDocument/2006/relationships/hyperlink" Target="https://m.media-amazon.com/images/W/WEBP_402378-T2/images/I/31nZs1BL4tL._SX300_SY300_QL70_FMwebp_.jpg" TargetMode="External"/><Relationship Id="rId1352" Type="http://schemas.openxmlformats.org/officeDocument/2006/relationships/hyperlink" Target="https://m.media-amazon.com/images/I/41Yb7bZL3nL._SX300_SY300_QL70_FMwebp_.jpg" TargetMode="External"/><Relationship Id="rId29" Type="http://schemas.openxmlformats.org/officeDocument/2006/relationships/hyperlink" Target="https://m.media-amazon.com/images/W/WEBP_402378-T2/images/I/4177nw8okbL._SX300_SY300_QL70_FMwebp_.jpg" TargetMode="External"/><Relationship Id="rId520" Type="http://schemas.openxmlformats.org/officeDocument/2006/relationships/hyperlink" Target="https://m.media-amazon.com/images/I/31efS1bi1vL._SX300_SY300_QL70_ML2_.jpg" TargetMode="External"/><Relationship Id="rId762" Type="http://schemas.openxmlformats.org/officeDocument/2006/relationships/hyperlink" Target="https://m.media-amazon.com/images/W/WEBP_402378-T1/images/I/51mCZQzY6SL._SX300_SY300_QL70_FMwebp_.jpg" TargetMode="External"/><Relationship Id="rId1111" Type="http://schemas.openxmlformats.org/officeDocument/2006/relationships/hyperlink" Target="https://m.media-amazon.com/images/W/WEBP_402378-T2/images/I/415mgfOmzUS._SX300_SY300_QL70_FMwebp_.jpg" TargetMode="External"/><Relationship Id="rId1353" Type="http://schemas.openxmlformats.org/officeDocument/2006/relationships/hyperlink" Target="https://m.media-amazon.com/images/W/WEBP_402378-T1/images/I/41buv8eJQtL._SX300_SY300_QL70_FMwebp_.jpg" TargetMode="External"/><Relationship Id="rId761" Type="http://schemas.openxmlformats.org/officeDocument/2006/relationships/hyperlink" Target="https://m.media-amazon.com/images/I/3101FmUqUOL._SX300_SY300_QL70_FMwebp_.jpg" TargetMode="External"/><Relationship Id="rId1112" Type="http://schemas.openxmlformats.org/officeDocument/2006/relationships/hyperlink" Target="https://m.media-amazon.com/images/W/WEBP_402378-T1/images/I/31CLpobJstL._SY300_SX300_QL70_FMwebp_.jpg" TargetMode="External"/><Relationship Id="rId1354" Type="http://schemas.openxmlformats.org/officeDocument/2006/relationships/hyperlink" Target="https://m.media-amazon.com/images/I/31Ex4oSr8RL._SX300_SY300_QL70_FMwebp_.jpg" TargetMode="External"/><Relationship Id="rId760" Type="http://schemas.openxmlformats.org/officeDocument/2006/relationships/hyperlink" Target="https://m.media-amazon.com/images/W/WEBP_402378-T2/images/I/31SAqKSRWyL._SX300_SY300_QL70_FMwebp_.jpg" TargetMode="External"/><Relationship Id="rId1113" Type="http://schemas.openxmlformats.org/officeDocument/2006/relationships/hyperlink" Target="https://m.media-amazon.com/images/I/41v9yj848iL._SX300_SY300_QL70_FMwebp_.jpg" TargetMode="External"/><Relationship Id="rId1355" Type="http://schemas.openxmlformats.org/officeDocument/2006/relationships/hyperlink" Target="https://m.media-amazon.com/images/I/21ywp-zfTjL._SY445_SX342_QL70_FMwebp_.jpg" TargetMode="External"/><Relationship Id="rId1103" Type="http://schemas.openxmlformats.org/officeDocument/2006/relationships/hyperlink" Target="https://m.media-amazon.com/images/I/416ICdLhYGL._SX300_SY300_QL70_FMwebp_.jpg" TargetMode="External"/><Relationship Id="rId1345" Type="http://schemas.openxmlformats.org/officeDocument/2006/relationships/hyperlink" Target="https://m.media-amazon.com/images/W/WEBP_402378-T1/images/I/51y3Y6qZScL._SY300_SX300_QL70_FMwebp_.jpg" TargetMode="External"/><Relationship Id="rId1104" Type="http://schemas.openxmlformats.org/officeDocument/2006/relationships/hyperlink" Target="https://m.media-amazon.com/images/I/31XMh-zc1IL._SX300_SY300_QL70_FMwebp_.jpg" TargetMode="External"/><Relationship Id="rId1346" Type="http://schemas.openxmlformats.org/officeDocument/2006/relationships/hyperlink" Target="https://m.media-amazon.com/images/I/41-iQHWCwHL._SX300_SY300_QL70_FMwebp_.jpg" TargetMode="External"/><Relationship Id="rId1105" Type="http://schemas.openxmlformats.org/officeDocument/2006/relationships/hyperlink" Target="https://m.media-amazon.com/images/W/WEBP_402378-T1/images/I/416t5HILjUL._SX300_SY300_QL70_FMwebp_.jpg" TargetMode="External"/><Relationship Id="rId1347" Type="http://schemas.openxmlformats.org/officeDocument/2006/relationships/hyperlink" Target="https://m.media-amazon.com/images/W/WEBP_402378-T1/images/I/31oK2IDhhLL._SX300_SY300_QL70_FMwebp_.jpg" TargetMode="External"/><Relationship Id="rId1106" Type="http://schemas.openxmlformats.org/officeDocument/2006/relationships/hyperlink" Target="https://m.media-amazon.com/images/W/WEBP_402378-T2/images/I/41WyoT08raL._SX300_SY300_QL70_FMwebp_.jpg" TargetMode="External"/><Relationship Id="rId1348" Type="http://schemas.openxmlformats.org/officeDocument/2006/relationships/hyperlink" Target="https://m.media-amazon.com/images/I/41qqrzjPySL._SX300_SY300_QL70_FMwebp_.jpg" TargetMode="External"/><Relationship Id="rId11" Type="http://schemas.openxmlformats.org/officeDocument/2006/relationships/hyperlink" Target="https://m.media-amazon.com/images/I/31dJ+lXJq3L._SY300_SX300_.jpg" TargetMode="External"/><Relationship Id="rId1107" Type="http://schemas.openxmlformats.org/officeDocument/2006/relationships/hyperlink" Target="https://m.media-amazon.com/images/W/WEBP_402378-T2/images/I/21OWOIM1wML._SX300_SY300_QL70_FMwebp_.jpg" TargetMode="External"/><Relationship Id="rId1349" Type="http://schemas.openxmlformats.org/officeDocument/2006/relationships/hyperlink" Target="https://m.media-amazon.com/images/I/31kbrfC16XL._SX300_SY300_QL70_FMwebp_.jpg" TargetMode="External"/><Relationship Id="rId10" Type="http://schemas.openxmlformats.org/officeDocument/2006/relationships/hyperlink" Target="https://m.media-amazon.com/images/W/WEBP_402378-T2/images/I/31kj3q4SepL._SY445_SX342_QL70_FMwebp_.jpg" TargetMode="External"/><Relationship Id="rId1108" Type="http://schemas.openxmlformats.org/officeDocument/2006/relationships/hyperlink" Target="https://m.media-amazon.com/images/I/41yKM0rHKQL._SX300_SY300_QL70_FMwebp_.jpg" TargetMode="External"/><Relationship Id="rId13" Type="http://schemas.openxmlformats.org/officeDocument/2006/relationships/hyperlink" Target="https://m.media-amazon.com/images/I/41nPYaWA+ML._SY300_SX300_.jpg" TargetMode="External"/><Relationship Id="rId1109" Type="http://schemas.openxmlformats.org/officeDocument/2006/relationships/hyperlink" Target="https://m.media-amazon.com/images/W/WEBP_402378-T1/images/I/410d2Vda6QS._SY300_SX300_QL70_FMwebp_.jpg" TargetMode="External"/><Relationship Id="rId12" Type="http://schemas.openxmlformats.org/officeDocument/2006/relationships/hyperlink" Target="https://m.media-amazon.com/images/I/41SDfuK7L2L._SX300_SY300_QL70_FMwebp_.jpg" TargetMode="External"/><Relationship Id="rId519" Type="http://schemas.openxmlformats.org/officeDocument/2006/relationships/hyperlink" Target="https://m.media-amazon.com/images/I/3183iGEWksL._SX300_SY300_QL70_ML2_.jpg" TargetMode="External"/><Relationship Id="rId514" Type="http://schemas.openxmlformats.org/officeDocument/2006/relationships/hyperlink" Target="https://m.media-amazon.com/images/I/31OgHTags6L._SX300_SY300_QL70_ML2_.jpg" TargetMode="External"/><Relationship Id="rId756" Type="http://schemas.openxmlformats.org/officeDocument/2006/relationships/hyperlink" Target="https://m.media-amazon.com/images/I/31R4HANvX2L._SY300_SX300_QL70_FMwebp_.jpg" TargetMode="External"/><Relationship Id="rId998" Type="http://schemas.openxmlformats.org/officeDocument/2006/relationships/hyperlink" Target="https://m.media-amazon.com/images/W/WEBP_402378-T2/images/I/31vg0FKWoUL._SX300_SY300_QL70_FMwebp_.jpg" TargetMode="External"/><Relationship Id="rId513" Type="http://schemas.openxmlformats.org/officeDocument/2006/relationships/hyperlink" Target="https://m.media-amazon.com/images/I/41OEfM3qYLL._SX300_SY300_QL70_ML2_.jpg" TargetMode="External"/><Relationship Id="rId755" Type="http://schemas.openxmlformats.org/officeDocument/2006/relationships/hyperlink" Target="https://m.media-amazon.com/images/I/41GogihEYeL._SX300_SY300_QL70_FMwebp_.jpg" TargetMode="External"/><Relationship Id="rId997" Type="http://schemas.openxmlformats.org/officeDocument/2006/relationships/hyperlink" Target="https://m.media-amazon.com/images/W/WEBP_402378-T2/images/I/412fxJY-gxL._SX300_SY300_QL70_FMwebp_.jpg" TargetMode="External"/><Relationship Id="rId512" Type="http://schemas.openxmlformats.org/officeDocument/2006/relationships/hyperlink" Target="https://m.media-amazon.com/images/I/417k0DCw0GL._SX300_SY300_QL70_ML2_.jpg" TargetMode="External"/><Relationship Id="rId754" Type="http://schemas.openxmlformats.org/officeDocument/2006/relationships/hyperlink" Target="https://m.media-amazon.com/images/I/41Qf-pUQr9L._SX300_SY300_QL70_FMwebp_.jpg" TargetMode="External"/><Relationship Id="rId996" Type="http://schemas.openxmlformats.org/officeDocument/2006/relationships/hyperlink" Target="https://m.media-amazon.com/images/I/41LWT2NmHXL._SX300_SY300_QL70_FMwebp_.jpg" TargetMode="External"/><Relationship Id="rId511" Type="http://schemas.openxmlformats.org/officeDocument/2006/relationships/hyperlink" Target="https://m.media-amazon.com/images/I/41zs4v3adaL._SX300_SY300_QL70_ML2_.jpg" TargetMode="External"/><Relationship Id="rId753" Type="http://schemas.openxmlformats.org/officeDocument/2006/relationships/hyperlink" Target="https://m.media-amazon.com/images/I/21qdAZyu9xL._SX300_SY300_QL70_FMwebp_.jpg" TargetMode="External"/><Relationship Id="rId995" Type="http://schemas.openxmlformats.org/officeDocument/2006/relationships/hyperlink" Target="https://m.media-amazon.com/images/I/41n3-joTUHL._SX300_SY300_QL70_FMwebp_.jpg" TargetMode="External"/><Relationship Id="rId518" Type="http://schemas.openxmlformats.org/officeDocument/2006/relationships/hyperlink" Target="https://m.media-amazon.com/images/I/41-IPkI1Y5L._SX300_SY300_QL70_ML2_.jpg" TargetMode="External"/><Relationship Id="rId517" Type="http://schemas.openxmlformats.org/officeDocument/2006/relationships/hyperlink" Target="https://m.media-amazon.com/images/I/412DrCgktiL._SX300_SY300_QL70_ML2_.jpg" TargetMode="External"/><Relationship Id="rId759" Type="http://schemas.openxmlformats.org/officeDocument/2006/relationships/hyperlink" Target="https://m.media-amazon.com/images/I/51r+g8fFJsL._SX300_SY300_.jpg" TargetMode="External"/><Relationship Id="rId516" Type="http://schemas.openxmlformats.org/officeDocument/2006/relationships/hyperlink" Target="https://m.media-amazon.com/images/I/41DgrxyBPTL._SX300_SY300_QL70_ML2_.jpg" TargetMode="External"/><Relationship Id="rId758" Type="http://schemas.openxmlformats.org/officeDocument/2006/relationships/hyperlink" Target="https://m.media-amazon.com/images/W/WEBP_402378-T1/images/I/4127NZ2xG6L._SX300_SY300_QL70_FMwebp_.jpg" TargetMode="External"/><Relationship Id="rId515" Type="http://schemas.openxmlformats.org/officeDocument/2006/relationships/hyperlink" Target="https://m.media-amazon.com/images/I/31ew3okQR2L._SX300_SY300_QL70_ML2_.jpg" TargetMode="External"/><Relationship Id="rId757" Type="http://schemas.openxmlformats.org/officeDocument/2006/relationships/hyperlink" Target="https://m.media-amazon.com/images/W/WEBP_402378-T1/images/I/41c7bJo7ooL._SX300_SY300_QL70_FMwebp_.jpg" TargetMode="External"/><Relationship Id="rId999" Type="http://schemas.openxmlformats.org/officeDocument/2006/relationships/hyperlink" Target="https://m.media-amazon.com/images/I/31aoDL5YfNL._SX300_SY300_QL70_FMwebp_.jpg" TargetMode="External"/><Relationship Id="rId15" Type="http://schemas.openxmlformats.org/officeDocument/2006/relationships/hyperlink" Target="https://m.media-amazon.com/images/W/WEBP_402378-T2/images/I/41R08zLK69L._SX300_SY300_QL70_FMwebp_.jpg" TargetMode="External"/><Relationship Id="rId990" Type="http://schemas.openxmlformats.org/officeDocument/2006/relationships/hyperlink" Target="https://m.media-amazon.com/images/I/41QtHHI0rXL._SX300_SY300_QL70_FMwebp_.jpg" TargetMode="External"/><Relationship Id="rId14" Type="http://schemas.openxmlformats.org/officeDocument/2006/relationships/hyperlink" Target="https://m.media-amazon.com/images/I/31J6qGhAL9L._SX300_SY300_QL70_FMwebp_.jpg" TargetMode="External"/><Relationship Id="rId17" Type="http://schemas.openxmlformats.org/officeDocument/2006/relationships/hyperlink" Target="https://m.media-amazon.com/images/I/51fmHk3km+L._SX300_SY300_.jpg" TargetMode="External"/><Relationship Id="rId16" Type="http://schemas.openxmlformats.org/officeDocument/2006/relationships/hyperlink" Target="https://m.media-amazon.com/images/W/WEBP_402378-T1/images/I/31gaP7qpBNL._SX300_SY300_QL70_FMwebp_.jpg" TargetMode="External"/><Relationship Id="rId1340" Type="http://schemas.openxmlformats.org/officeDocument/2006/relationships/hyperlink" Target="https://m.media-amazon.com/images/W/WEBP_402378-T2/images/I/31pzC6I+bEL._SY300_SX300_.jpg" TargetMode="External"/><Relationship Id="rId19" Type="http://schemas.openxmlformats.org/officeDocument/2006/relationships/hyperlink" Target="https://m.media-amazon.com/images/W/WEBP_402378-T1/images/I/41xwPQLxTML._SX300_SY300_QL70_FMwebp_.jpg" TargetMode="External"/><Relationship Id="rId510" Type="http://schemas.openxmlformats.org/officeDocument/2006/relationships/hyperlink" Target="https://m.media-amazon.com/images/I/411yU+n3UkL._SY300_SX300_.jpg" TargetMode="External"/><Relationship Id="rId752" Type="http://schemas.openxmlformats.org/officeDocument/2006/relationships/hyperlink" Target="https://m.media-amazon.com/images/I/41O4rjSlneL._SY300_SX300_QL70_FMwebp_.jpg" TargetMode="External"/><Relationship Id="rId994" Type="http://schemas.openxmlformats.org/officeDocument/2006/relationships/hyperlink" Target="https://m.media-amazon.com/images/I/21t8TMvuq6L._SX300_SY300_QL70_FMwebp_.jpg" TargetMode="External"/><Relationship Id="rId1341" Type="http://schemas.openxmlformats.org/officeDocument/2006/relationships/hyperlink" Target="https://m.media-amazon.com/images/I/41VYlxCZqLL._SX300_SY300_QL70_FMwebp_.jpg" TargetMode="External"/><Relationship Id="rId18" Type="http://schemas.openxmlformats.org/officeDocument/2006/relationships/hyperlink" Target="https://m.media-amazon.com/images/I/41d84o5-M-L._SY445_SX342_QL70_FMwebp_.jpg" TargetMode="External"/><Relationship Id="rId751" Type="http://schemas.openxmlformats.org/officeDocument/2006/relationships/hyperlink" Target="https://m.media-amazon.com/images/W/WEBP_402378-T2/images/I/517nCRsjYeL._SX300_SY300_QL70_FMwebp_.jpg" TargetMode="External"/><Relationship Id="rId993" Type="http://schemas.openxmlformats.org/officeDocument/2006/relationships/hyperlink" Target="https://m.media-amazon.com/images/I/31l-eZHBfKL._SX300_SY300_QL70_FMwebp_.jpg" TargetMode="External"/><Relationship Id="rId1100" Type="http://schemas.openxmlformats.org/officeDocument/2006/relationships/hyperlink" Target="https://m.media-amazon.com/images/W/WEBP_402378-T1/images/I/31TLru4LT8L._SX300_SY300_QL70_FMwebp_.jpg" TargetMode="External"/><Relationship Id="rId1342" Type="http://schemas.openxmlformats.org/officeDocument/2006/relationships/hyperlink" Target="https://m.media-amazon.com/images/I/31MEXd6TAoL._SX300_SY300_QL70_FMwebp_.jpg" TargetMode="External"/><Relationship Id="rId750" Type="http://schemas.openxmlformats.org/officeDocument/2006/relationships/hyperlink" Target="https://m.media-amazon.com/images/W/WEBP_402378-T1/images/I/41P+nvE9FYL._SY300_SX300_.jpg" TargetMode="External"/><Relationship Id="rId992" Type="http://schemas.openxmlformats.org/officeDocument/2006/relationships/hyperlink" Target="https://m.media-amazon.com/images/I/21N0SU36xXL._SX300_SY300_QL70_FMwebp_.jpg" TargetMode="External"/><Relationship Id="rId1101" Type="http://schemas.openxmlformats.org/officeDocument/2006/relationships/hyperlink" Target="https://m.media-amazon.com/images/I/41Y4vsQHt6L._SX300_SY300_QL70_FMwebp_.jpg" TargetMode="External"/><Relationship Id="rId1343" Type="http://schemas.openxmlformats.org/officeDocument/2006/relationships/hyperlink" Target="https://m.media-amazon.com/images/I/41ady4ISpWL._SX300_SY300_QL70_FMwebp_.jpg" TargetMode="External"/><Relationship Id="rId991" Type="http://schemas.openxmlformats.org/officeDocument/2006/relationships/hyperlink" Target="https://m.media-amazon.com/images/W/WEBP_402378-T2/images/I/31x3IUfMneL._SX300_SY300_QL70_FMwebp_.jpg" TargetMode="External"/><Relationship Id="rId1102" Type="http://schemas.openxmlformats.org/officeDocument/2006/relationships/hyperlink" Target="https://m.media-amazon.com/images/W/WEBP_402378-T1/images/I/31KGeL7u8hL._SX300_SY300_QL70_FMwebp_.jpg" TargetMode="External"/><Relationship Id="rId1344" Type="http://schemas.openxmlformats.org/officeDocument/2006/relationships/hyperlink" Target="https://m.media-amazon.com/images/W/WEBP_402378-T1/images/I/413XAuyrxWL._SX300_SY300_QL70_FMwebp_.jpg" TargetMode="External"/><Relationship Id="rId84" Type="http://schemas.openxmlformats.org/officeDocument/2006/relationships/hyperlink" Target="https://m.media-amazon.com/images/I/412XfBAEikL._SX300_SY300_QL70_FMwebp_.jpg" TargetMode="External"/><Relationship Id="rId83" Type="http://schemas.openxmlformats.org/officeDocument/2006/relationships/hyperlink" Target="https://m.media-amazon.com/images/I/41M9BBMSUdL._SX300_SY300_QL70_FMwebp_.jpg" TargetMode="External"/><Relationship Id="rId86" Type="http://schemas.openxmlformats.org/officeDocument/2006/relationships/hyperlink" Target="https://m.media-amazon.com/images/W/WEBP_402378-T2/images/I/51ovMTXv9RL._SX300_SY300_QL70_FMwebp_.jpg" TargetMode="External"/><Relationship Id="rId85" Type="http://schemas.openxmlformats.org/officeDocument/2006/relationships/hyperlink" Target="https://m.media-amazon.com/images/W/WEBP_402378-T1/images/I/41J6oGU8w5L._SX300_SY300_QL70_FMwebp_.jpg" TargetMode="External"/><Relationship Id="rId88" Type="http://schemas.openxmlformats.org/officeDocument/2006/relationships/hyperlink" Target="https://m.media-amazon.com/images/I/41RVzq6GiIL._SY300_SX300_QL70_FMwebp_.jpg" TargetMode="External"/><Relationship Id="rId87" Type="http://schemas.openxmlformats.org/officeDocument/2006/relationships/hyperlink" Target="https://m.media-amazon.com/images/W/WEBP_402378-T1/images/I/41imW51RweL._SY300_SX300_QL70_FMwebp_.jpg" TargetMode="External"/><Relationship Id="rId89" Type="http://schemas.openxmlformats.org/officeDocument/2006/relationships/hyperlink" Target="https://m.media-amazon.com/images/W/WEBP_402378-T2/images/I/3135yilFsfL._SY445_SX342_QL70_FMwebp_.jpg" TargetMode="External"/><Relationship Id="rId709" Type="http://schemas.openxmlformats.org/officeDocument/2006/relationships/hyperlink" Target="https://m.media-amazon.com/images/I/31z+0UyRo2L._SY300_SX300_.jpg" TargetMode="External"/><Relationship Id="rId708" Type="http://schemas.openxmlformats.org/officeDocument/2006/relationships/hyperlink" Target="https://m.media-amazon.com/images/W/WEBP_402378-T1/images/I/41ZrxS9SpwL._SX300_SY300_QL70_FMwebp_.jpg" TargetMode="External"/><Relationship Id="rId707" Type="http://schemas.openxmlformats.org/officeDocument/2006/relationships/hyperlink" Target="https://m.media-amazon.com/images/I/31YW3+kpZQL._SY300_SX300_.jpg" TargetMode="External"/><Relationship Id="rId949" Type="http://schemas.openxmlformats.org/officeDocument/2006/relationships/hyperlink" Target="https://m.media-amazon.com/images/W/WEBP_402378-T1/images/I/41NxAkv7knL._SX300_SY300_QL70_FMwebp_.jpg" TargetMode="External"/><Relationship Id="rId706" Type="http://schemas.openxmlformats.org/officeDocument/2006/relationships/hyperlink" Target="https://m.media-amazon.com/images/I/31CuxaU77jL._SY300_SX300_QL70_FMwebp_.jpg" TargetMode="External"/><Relationship Id="rId948" Type="http://schemas.openxmlformats.org/officeDocument/2006/relationships/hyperlink" Target="https://m.media-amazon.com/images/I/51JATaEt6XL._SY300_SX300_QL70_FMwebp_.jpg" TargetMode="External"/><Relationship Id="rId80" Type="http://schemas.openxmlformats.org/officeDocument/2006/relationships/hyperlink" Target="https://m.media-amazon.com/images/I/31C4z2M8TiL._SX300_SY300_QL70_FMwebp_.jpg" TargetMode="External"/><Relationship Id="rId82" Type="http://schemas.openxmlformats.org/officeDocument/2006/relationships/hyperlink" Target="https://m.media-amazon.com/images/W/WEBP_402378-T2/images/I/31DDGpem3OL._SY445_SX342_QL70_FMwebp_.jpg" TargetMode="External"/><Relationship Id="rId81" Type="http://schemas.openxmlformats.org/officeDocument/2006/relationships/hyperlink" Target="https://m.media-amazon.com/images/W/WEBP_402378-T2/images/I/41xmv3WPs7L._SX300_SY300_QL70_FMwebp_.jpg" TargetMode="External"/><Relationship Id="rId701" Type="http://schemas.openxmlformats.org/officeDocument/2006/relationships/hyperlink" Target="https://m.media-amazon.com/images/I/41TZJiPRRwL._SX300_SY300_QL70_FMwebp_.jpg" TargetMode="External"/><Relationship Id="rId943" Type="http://schemas.openxmlformats.org/officeDocument/2006/relationships/hyperlink" Target="https://m.media-amazon.com/images/W/WEBP_402378-T1/images/I/41EJrZlo0UL._SX300_SY300_QL70_FMwebp_.jpg" TargetMode="External"/><Relationship Id="rId700" Type="http://schemas.openxmlformats.org/officeDocument/2006/relationships/hyperlink" Target="https://m.media-amazon.com/images/I/31gaP7qpBNL._SX300_SY300_QL70_FMwebp_.jpg" TargetMode="External"/><Relationship Id="rId942" Type="http://schemas.openxmlformats.org/officeDocument/2006/relationships/hyperlink" Target="https://m.media-amazon.com/images/I/512ah5e1LsL._SY300_SX300_QL70_FMwebp_.jpg" TargetMode="External"/><Relationship Id="rId941" Type="http://schemas.openxmlformats.org/officeDocument/2006/relationships/hyperlink" Target="https://m.media-amazon.com/images/W/WEBP_402378-T2/images/I/31hqtiqWTaL._SX300_SY300_QL70_FMwebp_.jpg" TargetMode="External"/><Relationship Id="rId940" Type="http://schemas.openxmlformats.org/officeDocument/2006/relationships/hyperlink" Target="https://m.media-amazon.com/images/W/WEBP_402378-T1/images/I/41Wq-obB2VL._SX300_SY300_QL70_FMwebp_.jpg" TargetMode="External"/><Relationship Id="rId705" Type="http://schemas.openxmlformats.org/officeDocument/2006/relationships/hyperlink" Target="https://m.media-amazon.com/images/I/41ziJKWj9LL._SX300_SY300_QL70_FMwebp_.jpg" TargetMode="External"/><Relationship Id="rId947" Type="http://schemas.openxmlformats.org/officeDocument/2006/relationships/hyperlink" Target="https://m.media-amazon.com/images/I/41oLMkm5cfL._SY300_SX300_QL70_FMwebp_.jpg" TargetMode="External"/><Relationship Id="rId704" Type="http://schemas.openxmlformats.org/officeDocument/2006/relationships/hyperlink" Target="https://m.media-amazon.com/images/I/51fEftU7HAL._SX300_SY300_QL70_FMwebp_.jpg" TargetMode="External"/><Relationship Id="rId946" Type="http://schemas.openxmlformats.org/officeDocument/2006/relationships/hyperlink" Target="https://m.media-amazon.com/images/W/WEBP_402378-T1/images/I/41eEK+FeFyL._SY300_SX300_.jpg" TargetMode="External"/><Relationship Id="rId703" Type="http://schemas.openxmlformats.org/officeDocument/2006/relationships/hyperlink" Target="https://m.media-amazon.com/images/W/WEBP_402378-T1/images/I/41oLhpKArFL._SY300_SX300_QL70_FMwebp_.jpg" TargetMode="External"/><Relationship Id="rId945" Type="http://schemas.openxmlformats.org/officeDocument/2006/relationships/hyperlink" Target="https://m.media-amazon.com/images/W/WEBP_402378-T1/images/I/51pl09bEsHL._SY445_SX342_QL70_FMwebp_.jpg" TargetMode="External"/><Relationship Id="rId702" Type="http://schemas.openxmlformats.org/officeDocument/2006/relationships/hyperlink" Target="https://m.media-amazon.com/images/W/WEBP_402378-T1/images/I/21n1BGPOHBL._SX300_SY300_QL70_FMwebp_.jpg" TargetMode="External"/><Relationship Id="rId944" Type="http://schemas.openxmlformats.org/officeDocument/2006/relationships/hyperlink" Target="https://m.media-amazon.com/images/W/WEBP_402378-T1/images/I/414y0iu5NUL._SX300_SY300_QL70_FMwebp_.jpg" TargetMode="External"/><Relationship Id="rId73" Type="http://schemas.openxmlformats.org/officeDocument/2006/relationships/hyperlink" Target="https://m.media-amazon.com/images/W/WEBP_402378-T2/images/I/41w1didcczL._SY300_SX300_QL70_FMwebp_.jpg" TargetMode="External"/><Relationship Id="rId72" Type="http://schemas.openxmlformats.org/officeDocument/2006/relationships/hyperlink" Target="https://m.media-amazon.com/images/W/WEBP_402378-T2/images/I/41SNaWjuZWL._SX300_SY300_QL70_FMwebp_.jpg" TargetMode="External"/><Relationship Id="rId75" Type="http://schemas.openxmlformats.org/officeDocument/2006/relationships/hyperlink" Target="https://m.media-amazon.com/images/I/41jlh3c7UbL._SX300_SY300_QL70_FMwebp_.jpg" TargetMode="External"/><Relationship Id="rId74" Type="http://schemas.openxmlformats.org/officeDocument/2006/relationships/hyperlink" Target="https://m.media-amazon.com/images/I/41gFqSHngyL._SX300_SY300_QL70_FMwebp_.jpg" TargetMode="External"/><Relationship Id="rId77" Type="http://schemas.openxmlformats.org/officeDocument/2006/relationships/hyperlink" Target="https://m.media-amazon.com/images/W/WEBP_402378-T1/images/I/31l-eZHBfKL._SX300_SY300_QL70_FMwebp_.jpg" TargetMode="External"/><Relationship Id="rId76" Type="http://schemas.openxmlformats.org/officeDocument/2006/relationships/hyperlink" Target="https://m.media-amazon.com/images/I/31x3IUfMneL._SX300_SY300_QL70_FMwebp_.jpg" TargetMode="External"/><Relationship Id="rId79" Type="http://schemas.openxmlformats.org/officeDocument/2006/relationships/hyperlink" Target="https://m.media-amazon.com/images/I/41KmCJuybRL._SX300_SY300_QL70_FMwebp_.jpg" TargetMode="External"/><Relationship Id="rId78" Type="http://schemas.openxmlformats.org/officeDocument/2006/relationships/hyperlink" Target="https://m.media-amazon.com/images/I/51ow6bmLWIL._SY300_SX300_QL70_FMwebp_.jpg" TargetMode="External"/><Relationship Id="rId939" Type="http://schemas.openxmlformats.org/officeDocument/2006/relationships/hyperlink" Target="https://m.media-amazon.com/images/I/310WOJIrwjL._SX300_SY300_QL70_FMwebp_.jpg" TargetMode="External"/><Relationship Id="rId938" Type="http://schemas.openxmlformats.org/officeDocument/2006/relationships/hyperlink" Target="https://m.media-amazon.com/images/I/21uJX5AqizL._SX300_SY300_QL70_FMwebp_.jpg" TargetMode="External"/><Relationship Id="rId937" Type="http://schemas.openxmlformats.org/officeDocument/2006/relationships/hyperlink" Target="https://m.media-amazon.com/images/I/41cUmIYRfVL._SX300_SY300_QL70_FMwebp_.jpg" TargetMode="External"/><Relationship Id="rId71" Type="http://schemas.openxmlformats.org/officeDocument/2006/relationships/hyperlink" Target="https://m.media-amazon.com/images/I/41gztmbiIgL._SX300_SY300_QL70_FMwebp_.jpg" TargetMode="External"/><Relationship Id="rId70" Type="http://schemas.openxmlformats.org/officeDocument/2006/relationships/hyperlink" Target="https://m.media-amazon.com/images/W/WEBP_402378-T1/images/I/31-BRsjrvDL._SY300_SX300_QL70_FMwebp_.jpg" TargetMode="External"/><Relationship Id="rId932" Type="http://schemas.openxmlformats.org/officeDocument/2006/relationships/hyperlink" Target="https://m.media-amazon.com/images/W/WEBP_402378-T2/images/I/51HO3bkK+VS._SY300_SX300_.jpg" TargetMode="External"/><Relationship Id="rId931" Type="http://schemas.openxmlformats.org/officeDocument/2006/relationships/hyperlink" Target="https://m.media-amazon.com/images/I/41ZCYvl4noL._SX300_SY300_QL70_FMwebp_.jpg" TargetMode="External"/><Relationship Id="rId930" Type="http://schemas.openxmlformats.org/officeDocument/2006/relationships/hyperlink" Target="https://m.media-amazon.com/images/W/WEBP_402378-T2/images/I/41mRWV0YG8L._SX300_SY300_QL70_FMwebp_.jpg" TargetMode="External"/><Relationship Id="rId936" Type="http://schemas.openxmlformats.org/officeDocument/2006/relationships/hyperlink" Target="https://m.media-amazon.com/images/I/41Iln5A+8HL._SY300_SX300_.jpg" TargetMode="External"/><Relationship Id="rId935" Type="http://schemas.openxmlformats.org/officeDocument/2006/relationships/hyperlink" Target="https://m.media-amazon.com/images/W/WEBP_402378-T1/images/I/41YEYCsXI8L._SX300_SY300_QL70_FMwebp_.jpg" TargetMode="External"/><Relationship Id="rId934" Type="http://schemas.openxmlformats.org/officeDocument/2006/relationships/hyperlink" Target="https://m.media-amazon.com/images/W/WEBP_402378-T1/images/I/41PJLOoFNWL._SX300_SY300_QL70_FMwebp_.jpg" TargetMode="External"/><Relationship Id="rId933" Type="http://schemas.openxmlformats.org/officeDocument/2006/relationships/hyperlink" Target="https://m.media-amazon.com/images/I/41QsvdbthFL._SX300_SY300_QL70_FMwebp_.jpg" TargetMode="External"/><Relationship Id="rId62" Type="http://schemas.openxmlformats.org/officeDocument/2006/relationships/hyperlink" Target="https://m.media-amazon.com/images/I/41Tz1YnJkoL._SY300_SX300_QL70_FMwebp_.jpg" TargetMode="External"/><Relationship Id="rId1312" Type="http://schemas.openxmlformats.org/officeDocument/2006/relationships/hyperlink" Target="https://m.media-amazon.com/images/I/41NJizePolL._SX300_SY300_QL70_FMwebp_.jpg" TargetMode="External"/><Relationship Id="rId61" Type="http://schemas.openxmlformats.org/officeDocument/2006/relationships/hyperlink" Target="https://m.media-amazon.com/images/W/WEBP_402378-T2/images/I/41v00lhhdbL._SX300_SY300_QL70_FMwebp_.jpg" TargetMode="External"/><Relationship Id="rId1313" Type="http://schemas.openxmlformats.org/officeDocument/2006/relationships/hyperlink" Target="https://m.media-amazon.com/images/I/31jWfV8N6+L._SY300_SX300_.jpg" TargetMode="External"/><Relationship Id="rId64" Type="http://schemas.openxmlformats.org/officeDocument/2006/relationships/hyperlink" Target="https://m.media-amazon.com/images/W/WEBP_402378-T2/images/I/414y0iu5NUL._SX300_SY300_QL70_FMwebp_.jpg" TargetMode="External"/><Relationship Id="rId1314" Type="http://schemas.openxmlformats.org/officeDocument/2006/relationships/hyperlink" Target="https://m.media-amazon.com/images/I/31RLcOp57gL._SX300_SY300_QL70_FMwebp_.jpg" TargetMode="External"/><Relationship Id="rId63" Type="http://schemas.openxmlformats.org/officeDocument/2006/relationships/hyperlink" Target="https://m.media-amazon.com/images/I/310WOJIrwjL._SX300_SY300_QL70_FMwebp_.jpg" TargetMode="External"/><Relationship Id="rId1315" Type="http://schemas.openxmlformats.org/officeDocument/2006/relationships/hyperlink" Target="https://m.media-amazon.com/images/W/WEBP_402378-T2/images/I/51ngprQwafL._SY300_SX300_QL70_FMwebp_.jpg" TargetMode="External"/><Relationship Id="rId66" Type="http://schemas.openxmlformats.org/officeDocument/2006/relationships/hyperlink" Target="https://m.media-amazon.com/images/I/41eJqkFjCRL._SY300_SX300_QL70_FMwebp_.jpg" TargetMode="External"/><Relationship Id="rId1316" Type="http://schemas.openxmlformats.org/officeDocument/2006/relationships/hyperlink" Target="https://m.media-amazon.com/images/W/WEBP_402378-T2/images/I/21rLuqop7cL._SY300_SX300_QL70_FMwebp_.jpg" TargetMode="External"/><Relationship Id="rId65" Type="http://schemas.openxmlformats.org/officeDocument/2006/relationships/hyperlink" Target="https://m.media-amazon.com/images/W/WEBP_402378-T2/images/I/41611VFTGwL._SY300_SX300_QL70_FMwebp_.jpg" TargetMode="External"/><Relationship Id="rId1317" Type="http://schemas.openxmlformats.org/officeDocument/2006/relationships/hyperlink" Target="https://m.media-amazon.com/images/W/WEBP_402378-T1/images/I/318oSoMwjsL._SX300_SY300_QL70_FMwebp_.jpg" TargetMode="External"/><Relationship Id="rId68" Type="http://schemas.openxmlformats.org/officeDocument/2006/relationships/hyperlink" Target="https://m.media-amazon.com/images/I/51FicDnawaL._SY300_SX300_QL70_FMwebp_.jpg" TargetMode="External"/><Relationship Id="rId1318" Type="http://schemas.openxmlformats.org/officeDocument/2006/relationships/hyperlink" Target="https://m.media-amazon.com/images/I/41EzVyKoA0L._SY445_SX342_QL70_FMwebp_.jpg" TargetMode="External"/><Relationship Id="rId67" Type="http://schemas.openxmlformats.org/officeDocument/2006/relationships/hyperlink" Target="https://m.media-amazon.com/images/I/41x3iKbD-+L._SX342_SY445_.jpg" TargetMode="External"/><Relationship Id="rId1319" Type="http://schemas.openxmlformats.org/officeDocument/2006/relationships/hyperlink" Target="https://m.media-amazon.com/images/W/WEBP_402378-T1/images/I/31+mSNSzKXL._SY300_SX300_.jpg" TargetMode="External"/><Relationship Id="rId729" Type="http://schemas.openxmlformats.org/officeDocument/2006/relationships/hyperlink" Target="https://m.media-amazon.com/images/W/WEBP_402378-T2/images/I/51E0xvwRCpL._SX300_SY300_QL70_FMwebp_.jpg" TargetMode="External"/><Relationship Id="rId728" Type="http://schemas.openxmlformats.org/officeDocument/2006/relationships/hyperlink" Target="https://m.media-amazon.com/images/I/31qGpf8uzuL._SY445_SX342_QL70_FMwebp_.jpg" TargetMode="External"/><Relationship Id="rId60" Type="http://schemas.openxmlformats.org/officeDocument/2006/relationships/hyperlink" Target="https://m.media-amazon.com/images/W/WEBP_402378-T1/images/I/31pQZsxPR4L._SX300_SY300_QL70_FMwebp_.jpg" TargetMode="External"/><Relationship Id="rId723" Type="http://schemas.openxmlformats.org/officeDocument/2006/relationships/hyperlink" Target="https://m.media-amazon.com/images/I/31MIyzg8uzL._SX300_SY300_QL70_FMwebp_.jpg" TargetMode="External"/><Relationship Id="rId965" Type="http://schemas.openxmlformats.org/officeDocument/2006/relationships/hyperlink" Target="https://m.media-amazon.com/images/W/WEBP_402378-T1/images/I/31nlfClYn7L._SX300_SY300_QL70_FMwebp_.jpg" TargetMode="External"/><Relationship Id="rId722" Type="http://schemas.openxmlformats.org/officeDocument/2006/relationships/hyperlink" Target="https://m.media-amazon.com/images/I/418YrbHVLCL._SX300_SY300_QL70_FMwebp_.jpg" TargetMode="External"/><Relationship Id="rId964" Type="http://schemas.openxmlformats.org/officeDocument/2006/relationships/hyperlink" Target="https://m.media-amazon.com/images/I/31EDDF4uNtL._SX300_SY300_QL70_FMwebp_.jpg" TargetMode="External"/><Relationship Id="rId721" Type="http://schemas.openxmlformats.org/officeDocument/2006/relationships/hyperlink" Target="https://m.media-amazon.com/images/W/WEBP_402378-T2/images/I/41IAc+vLV7S._SY300_SX300_.jpg" TargetMode="External"/><Relationship Id="rId963" Type="http://schemas.openxmlformats.org/officeDocument/2006/relationships/hyperlink" Target="https://m.media-amazon.com/images/W/WEBP_402378-T1/images/I/41jmiwgyu8L._SX300_SY300_QL70_FMwebp_.jpg" TargetMode="External"/><Relationship Id="rId720" Type="http://schemas.openxmlformats.org/officeDocument/2006/relationships/hyperlink" Target="https://m.media-amazon.com/images/I/31pcbVy11RL._SX300_SY300_QL70_FMwebp_.jpg" TargetMode="External"/><Relationship Id="rId962" Type="http://schemas.openxmlformats.org/officeDocument/2006/relationships/hyperlink" Target="https://m.media-amazon.com/images/I/51fYe0OSURL._SX300_SY300_QL70_FMwebp_.jpg" TargetMode="External"/><Relationship Id="rId727" Type="http://schemas.openxmlformats.org/officeDocument/2006/relationships/hyperlink" Target="https://m.media-amazon.com/images/W/WEBP_402378-T2/images/I/51owoY2Xq7L._SX300_SY300_QL70_FMwebp_.jpg" TargetMode="External"/><Relationship Id="rId969" Type="http://schemas.openxmlformats.org/officeDocument/2006/relationships/hyperlink" Target="https://m.media-amazon.com/images/I/41x3iKbD-+L._SX342_SY445_.jpg" TargetMode="External"/><Relationship Id="rId726" Type="http://schemas.openxmlformats.org/officeDocument/2006/relationships/hyperlink" Target="https://m.media-amazon.com/images/W/WEBP_402378-T1/images/I/317lVfwVu8L._SX300_SY300_QL70_FMwebp_.jpg" TargetMode="External"/><Relationship Id="rId968" Type="http://schemas.openxmlformats.org/officeDocument/2006/relationships/hyperlink" Target="https://m.media-amazon.com/images/I/31ejgWaEayL._SY300_SX300_QL70_FMwebp_.jpg" TargetMode="External"/><Relationship Id="rId725" Type="http://schemas.openxmlformats.org/officeDocument/2006/relationships/hyperlink" Target="https://m.media-amazon.com/images/I/31iFF1KbkpL._SX300_SY300_QL70_FMwebp_.jpg" TargetMode="External"/><Relationship Id="rId967" Type="http://schemas.openxmlformats.org/officeDocument/2006/relationships/hyperlink" Target="https://m.media-amazon.com/images/I/41EIVJvXxsL._SX300_SY300_QL70_FMwebp_.jpg" TargetMode="External"/><Relationship Id="rId724" Type="http://schemas.openxmlformats.org/officeDocument/2006/relationships/hyperlink" Target="https://m.media-amazon.com/images/I/51q3+E64azL._SX300_SY300_.jpg" TargetMode="External"/><Relationship Id="rId966" Type="http://schemas.openxmlformats.org/officeDocument/2006/relationships/hyperlink" Target="https://m.media-amazon.com/images/W/WEBP_402378-T1/images/I/41N+hHYrIWL._SY300_SX300_.jpg" TargetMode="External"/><Relationship Id="rId69" Type="http://schemas.openxmlformats.org/officeDocument/2006/relationships/hyperlink" Target="https://m.media-amazon.com/images/I/41+mgWz7knL._SX300_SY300_.jpg" TargetMode="External"/><Relationship Id="rId961" Type="http://schemas.openxmlformats.org/officeDocument/2006/relationships/hyperlink" Target="https://m.media-amazon.com/images/W/WEBP_402378-T2/images/I/21XzK-guXHL._SX300_SY300_QL70_FMwebp_.jpg" TargetMode="External"/><Relationship Id="rId960" Type="http://schemas.openxmlformats.org/officeDocument/2006/relationships/hyperlink" Target="https://m.media-amazon.com/images/I/31gNcDrEskL._SX300_SY300_QL70_FMwebp_.jpg" TargetMode="External"/><Relationship Id="rId1310" Type="http://schemas.openxmlformats.org/officeDocument/2006/relationships/hyperlink" Target="https://m.media-amazon.com/images/W/WEBP_402378-T1/images/I/31B8Pd1SmLL._SX300_SY300_QL70_FMwebp_.jpg" TargetMode="External"/><Relationship Id="rId1311" Type="http://schemas.openxmlformats.org/officeDocument/2006/relationships/hyperlink" Target="https://m.media-amazon.com/images/W/WEBP_402378-T2/images/I/41-76LhAc4S._SX300_SY300_QL70_FMwebp_.jpg" TargetMode="External"/><Relationship Id="rId51" Type="http://schemas.openxmlformats.org/officeDocument/2006/relationships/hyperlink" Target="https://m.media-amazon.com/images/I/216Q4FqmZVL._SX300_SY300_QL70_FMwebp_.jpg" TargetMode="External"/><Relationship Id="rId1301" Type="http://schemas.openxmlformats.org/officeDocument/2006/relationships/hyperlink" Target="https://m.media-amazon.com/images/W/WEBP_402378-T2/images/I/41ut+j+REdL._SY300_SX300_.jpg" TargetMode="External"/><Relationship Id="rId50" Type="http://schemas.openxmlformats.org/officeDocument/2006/relationships/hyperlink" Target="https://m.media-amazon.com/images/W/WEBP_402378-T1/images/I/31nrDWDT8+L._SX300_SY300_.jpg" TargetMode="External"/><Relationship Id="rId1302" Type="http://schemas.openxmlformats.org/officeDocument/2006/relationships/hyperlink" Target="https://m.media-amazon.com/images/I/319t03ZuOML._SX300_SY300_QL70_FMwebp_.jpg" TargetMode="External"/><Relationship Id="rId53" Type="http://schemas.openxmlformats.org/officeDocument/2006/relationships/hyperlink" Target="https://m.media-amazon.com/images/I/31kw1RgU5yL._SX300_SY300_QL70_FMwebp_.jpg" TargetMode="External"/><Relationship Id="rId1303" Type="http://schemas.openxmlformats.org/officeDocument/2006/relationships/hyperlink" Target="https://images-na.ssl-images-amazon.com/images/W/WEBP_402378-T1/images/I/41EK0QNFSUL._SX300_SY300_QL70_FMwebp_.jpg" TargetMode="External"/><Relationship Id="rId52" Type="http://schemas.openxmlformats.org/officeDocument/2006/relationships/hyperlink" Target="https://m.media-amazon.com/images/W/WEBP_402378-T1/images/I/31iESA2h2gL._SY300_SX300_QL70_FMwebp_.jpg" TargetMode="External"/><Relationship Id="rId1304" Type="http://schemas.openxmlformats.org/officeDocument/2006/relationships/hyperlink" Target="https://m.media-amazon.com/images/I/41FQI5F2OiL._SX300_SY300_QL70_FMwebp_.jpg" TargetMode="External"/><Relationship Id="rId55" Type="http://schemas.openxmlformats.org/officeDocument/2006/relationships/hyperlink" Target="https://m.media-amazon.com/images/W/WEBP_402378-T2/images/I/41rbKciLrcL._SX300_SY300_QL70_FMwebp_.jpg" TargetMode="External"/><Relationship Id="rId1305" Type="http://schemas.openxmlformats.org/officeDocument/2006/relationships/hyperlink" Target="https://m.media-amazon.com/images/I/414iVhwacbL._SX300_SY300_QL70_FMwebp_.jpg" TargetMode="External"/><Relationship Id="rId54" Type="http://schemas.openxmlformats.org/officeDocument/2006/relationships/hyperlink" Target="https://m.media-amazon.com/images/I/418GxB04szL._SY300_SX300_QL70_FMwebp_.jpg" TargetMode="External"/><Relationship Id="rId1306" Type="http://schemas.openxmlformats.org/officeDocument/2006/relationships/hyperlink" Target="https://m.media-amazon.com/images/I/31W1xfnsOPL._SY300_SX300_QL70_FMwebp_.jpg" TargetMode="External"/><Relationship Id="rId57" Type="http://schemas.openxmlformats.org/officeDocument/2006/relationships/hyperlink" Target="https://m.media-amazon.com/images/I/41jxZkzNcnL._SX300_SY300_QL70_FMwebp_.jpg" TargetMode="External"/><Relationship Id="rId1307" Type="http://schemas.openxmlformats.org/officeDocument/2006/relationships/hyperlink" Target="https://m.media-amazon.com/images/W/WEBP_402378-T2/images/I/31Ly7OehCGL._SX300_SY300_QL70_FMwebp_.jpg" TargetMode="External"/><Relationship Id="rId56" Type="http://schemas.openxmlformats.org/officeDocument/2006/relationships/hyperlink" Target="https://m.media-amazon.com/images/I/315GdnF+LcL._SY300_SX300_.jpg" TargetMode="External"/><Relationship Id="rId1308" Type="http://schemas.openxmlformats.org/officeDocument/2006/relationships/hyperlink" Target="https://m.media-amazon.com/images/W/WEBP_402378-T2/images/I/41emm+fTJmL._SX300_SY300_.jpg" TargetMode="External"/><Relationship Id="rId1309" Type="http://schemas.openxmlformats.org/officeDocument/2006/relationships/hyperlink" Target="https://m.media-amazon.com/images/I/41jJsvzPK0L._SY445_SX342_QL70_FMwebp_.jpg" TargetMode="External"/><Relationship Id="rId719" Type="http://schemas.openxmlformats.org/officeDocument/2006/relationships/hyperlink" Target="https://m.media-amazon.com/images/I/41sAt4BZydL._SX300_SY300_QL70_FMwebp_.jpg" TargetMode="External"/><Relationship Id="rId718" Type="http://schemas.openxmlformats.org/officeDocument/2006/relationships/hyperlink" Target="https://m.media-amazon.com/images/W/WEBP_402378-T2/images/I/51LuP5KXg5L._SX300_SY300_QL70_FMwebp_.jpg" TargetMode="External"/><Relationship Id="rId717" Type="http://schemas.openxmlformats.org/officeDocument/2006/relationships/hyperlink" Target="https://m.media-amazon.com/images/I/3118CXMdMUL._SX300_SY300_QL70_FMwebp_.jpg" TargetMode="External"/><Relationship Id="rId959" Type="http://schemas.openxmlformats.org/officeDocument/2006/relationships/hyperlink" Target="https://m.media-amazon.com/images/W/WEBP_402378-T2/images/I/31ulmi5lTYL._SX300_SY300_QL70_FMwebp_.jpg" TargetMode="External"/><Relationship Id="rId712" Type="http://schemas.openxmlformats.org/officeDocument/2006/relationships/hyperlink" Target="https://m.media-amazon.com/images/I/41fRp5O-PrL._SX300_SY300_QL70_FMwebp_.jpg" TargetMode="External"/><Relationship Id="rId954" Type="http://schemas.openxmlformats.org/officeDocument/2006/relationships/hyperlink" Target="https://m.media-amazon.com/images/I/41611VFTGwL._SY300_SX300_QL70_FMwebp_.jpg" TargetMode="External"/><Relationship Id="rId711" Type="http://schemas.openxmlformats.org/officeDocument/2006/relationships/hyperlink" Target="https://m.media-amazon.com/images/I/413phG1P5UL._SX300_SY300_QL70_FMwebp_.jpg" TargetMode="External"/><Relationship Id="rId953" Type="http://schemas.openxmlformats.org/officeDocument/2006/relationships/hyperlink" Target="https://m.media-amazon.com/images/I/51yFKniMhcL._SX300_SY300_QL70_FMwebp_.jpg" TargetMode="External"/><Relationship Id="rId710" Type="http://schemas.openxmlformats.org/officeDocument/2006/relationships/hyperlink" Target="https://m.media-amazon.com/images/W/WEBP_402378-T2/images/I/41m4oS2gbcL._SY300_SX300_QL70_FMwebp_.jpg" TargetMode="External"/><Relationship Id="rId952" Type="http://schemas.openxmlformats.org/officeDocument/2006/relationships/hyperlink" Target="https://m.media-amazon.com/images/I/31rWKVEYZOL._SX300_SY300_QL70_FMwebp_.jpg" TargetMode="External"/><Relationship Id="rId951" Type="http://schemas.openxmlformats.org/officeDocument/2006/relationships/hyperlink" Target="https://m.media-amazon.com/images/I/51h6eqwfePS._SX300_SY300_QL70_FMwebp_.jpg" TargetMode="External"/><Relationship Id="rId716" Type="http://schemas.openxmlformats.org/officeDocument/2006/relationships/hyperlink" Target="https://m.media-amazon.com/images/I/3164hjUSFdL._SX300_SY300_QL70_FMwebp_.jpg" TargetMode="External"/><Relationship Id="rId958" Type="http://schemas.openxmlformats.org/officeDocument/2006/relationships/hyperlink" Target="https://m.media-amazon.com/images/W/WEBP_402378-T1/images/I/41SNaWjuZWL._SX300_SY300_QL70_FMwebp_.jpg" TargetMode="External"/><Relationship Id="rId715" Type="http://schemas.openxmlformats.org/officeDocument/2006/relationships/hyperlink" Target="https://m.media-amazon.com/images/W/WEBP_402378-T2/images/I/51v-2Nzr+ML._SY300_SX300_.jpg" TargetMode="External"/><Relationship Id="rId957" Type="http://schemas.openxmlformats.org/officeDocument/2006/relationships/hyperlink" Target="https://m.media-amazon.com/images/I/41VDUqScJFL._SX300_SY300_QL70_FMwebp_.jpg" TargetMode="External"/><Relationship Id="rId714" Type="http://schemas.openxmlformats.org/officeDocument/2006/relationships/hyperlink" Target="https://m.media-amazon.com/images/I/31jgUvSar0L._SX300_SY300_QL70_FMwebp_.jpg" TargetMode="External"/><Relationship Id="rId956" Type="http://schemas.openxmlformats.org/officeDocument/2006/relationships/hyperlink" Target="https://m.media-amazon.com/images/W/WEBP_402378-T1/images/I/41Uk8sX-WkL._SX300_SY300_QL70_FMwebp_.jpg" TargetMode="External"/><Relationship Id="rId713" Type="http://schemas.openxmlformats.org/officeDocument/2006/relationships/hyperlink" Target="https://m.media-amazon.com/images/I/41goRo3UXhL._SX300_SY300_QL70_FMwebp_.jpg" TargetMode="External"/><Relationship Id="rId955" Type="http://schemas.openxmlformats.org/officeDocument/2006/relationships/hyperlink" Target="https://m.media-amazon.com/images/W/WEBP_402378-T2/images/I/51rzz4zoUBL._SX300_SY300_QL70_FMwebp_.jpg" TargetMode="External"/><Relationship Id="rId59" Type="http://schemas.openxmlformats.org/officeDocument/2006/relationships/hyperlink" Target="https://m.media-amazon.com/images/W/WEBP_402378-T2/images/I/313uqx3djjL._SX300_SY300_QL70_FMwebp_.jpg" TargetMode="External"/><Relationship Id="rId58" Type="http://schemas.openxmlformats.org/officeDocument/2006/relationships/hyperlink" Target="https://m.media-amazon.com/images/I/512YHGuR4RL._SX300_SY300_QL70_FMwebp_.jpg" TargetMode="External"/><Relationship Id="rId950" Type="http://schemas.openxmlformats.org/officeDocument/2006/relationships/hyperlink" Target="https://m.media-amazon.com/images/I/31ouSkwWDmL._SX300_SY300_QL70_FMwebp_.jpg" TargetMode="External"/><Relationship Id="rId1300" Type="http://schemas.openxmlformats.org/officeDocument/2006/relationships/hyperlink" Target="https://m.media-amazon.com/images/W/WEBP_402378-T1/images/I/313WfOy8VSL._SX300_SY300_QL70_FMwebp_.jpg" TargetMode="External"/><Relationship Id="rId590" Type="http://schemas.openxmlformats.org/officeDocument/2006/relationships/hyperlink" Target="https://m.media-amazon.com/images/W/WEBP_402378-T2/images/I/31y-oJ1XnqL._SX300_SY300_QL70_FMwebp_.jpg" TargetMode="External"/><Relationship Id="rId107" Type="http://schemas.openxmlformats.org/officeDocument/2006/relationships/hyperlink" Target="https://m.media-amazon.com/images/W/WEBP_402378-T1/images/I/51UsScvHQNL._SX300_SY300_QL70_FMwebp_.jpg" TargetMode="External"/><Relationship Id="rId349" Type="http://schemas.openxmlformats.org/officeDocument/2006/relationships/hyperlink" Target="https://m.media-amazon.com/images/I/41kg-+XWoxL._SY300_SX300_.jpg" TargetMode="External"/><Relationship Id="rId106" Type="http://schemas.openxmlformats.org/officeDocument/2006/relationships/hyperlink" Target="https://m.media-amazon.com/images/W/WEBP_402378-T1/images/I/41A4CcuIJuL._SY445_SX342_QL70_FMwebp_.jpg" TargetMode="External"/><Relationship Id="rId348" Type="http://schemas.openxmlformats.org/officeDocument/2006/relationships/hyperlink" Target="https://m.media-amazon.com/images/I/31NnmYempPL._SX300_SY300_QL70_ML2_.jpg" TargetMode="External"/><Relationship Id="rId105" Type="http://schemas.openxmlformats.org/officeDocument/2006/relationships/hyperlink" Target="https://m.media-amazon.com/images/W/WEBP_402378-T2/images/I/41c80KrMZgL._SY445_SX342_QL70_FMwebp_.jpg" TargetMode="External"/><Relationship Id="rId347" Type="http://schemas.openxmlformats.org/officeDocument/2006/relationships/hyperlink" Target="https://m.media-amazon.com/images/I/41rxRY5TDSL._SX300_SY300_QL70_ML2_.jpg" TargetMode="External"/><Relationship Id="rId589" Type="http://schemas.openxmlformats.org/officeDocument/2006/relationships/hyperlink" Target="https://m.media-amazon.com/images/I/310mw9KTJvL._SY300_SX300_QL70_FMwebp_.jpg" TargetMode="External"/><Relationship Id="rId104" Type="http://schemas.openxmlformats.org/officeDocument/2006/relationships/hyperlink" Target="https://m.media-amazon.com/images/W/WEBP_402378-T2/images/I/41GTMteNtdL._SX300_SY300_QL70_FMwebp_.jpg" TargetMode="External"/><Relationship Id="rId346" Type="http://schemas.openxmlformats.org/officeDocument/2006/relationships/hyperlink" Target="https://m.media-amazon.com/images/I/31-hWNXDxiL._SX300_SY300_QL70_ML2_.jpg" TargetMode="External"/><Relationship Id="rId588" Type="http://schemas.openxmlformats.org/officeDocument/2006/relationships/hyperlink" Target="https://m.media-amazon.com/images/I/41d69zua5LL._SX300_SY300_QL70_FMwebp_.jpg" TargetMode="External"/><Relationship Id="rId109" Type="http://schemas.openxmlformats.org/officeDocument/2006/relationships/hyperlink" Target="https://m.media-amazon.com/images/I/41pdZIhY+gL._SY300_SX300_.jpg" TargetMode="External"/><Relationship Id="rId1170" Type="http://schemas.openxmlformats.org/officeDocument/2006/relationships/hyperlink" Target="https://m.media-amazon.com/images/W/WEBP_402378-T1/images/I/41fyxXj8N5L._SX300_SY300_QL70_FMwebp_.jpg" TargetMode="External"/><Relationship Id="rId108" Type="http://schemas.openxmlformats.org/officeDocument/2006/relationships/hyperlink" Target="https://m.media-amazon.com/images/W/WEBP_402378-T2/images/I/41LXLeCw3VL._SX300_SY300_QL70_FMwebp_.jpg" TargetMode="External"/><Relationship Id="rId1171" Type="http://schemas.openxmlformats.org/officeDocument/2006/relationships/hyperlink" Target="https://m.media-amazon.com/images/I/41b8AhOiYBL._SX300_SY300_QL70_FMwebp_.jpg" TargetMode="External"/><Relationship Id="rId341" Type="http://schemas.openxmlformats.org/officeDocument/2006/relationships/hyperlink" Target="https://m.media-amazon.com/images/I/41qLZhKF5ZL._SX300_SY300_QL70_ML2_.jpg" TargetMode="External"/><Relationship Id="rId583" Type="http://schemas.openxmlformats.org/officeDocument/2006/relationships/hyperlink" Target="https://m.media-amazon.com/images/I/4111qlSCaKL._SY300_SX300_QL70_ML2_.jpg" TargetMode="External"/><Relationship Id="rId1172" Type="http://schemas.openxmlformats.org/officeDocument/2006/relationships/hyperlink" Target="https://m.media-amazon.com/images/W/WEBP_402378-T2/images/I/313V6v-Fj3S._SX300_SY300_QL70_FMwebp_.jpg" TargetMode="External"/><Relationship Id="rId340" Type="http://schemas.openxmlformats.org/officeDocument/2006/relationships/hyperlink" Target="https://m.media-amazon.com/images/I/41iEc0hf6TL._SX300_SY300_QL70_ML2_.jpg" TargetMode="External"/><Relationship Id="rId582" Type="http://schemas.openxmlformats.org/officeDocument/2006/relationships/hyperlink" Target="https://m.media-amazon.com/images/I/41Ims-JX0kL._SX300_SY300_QL70_ML2_.jpg" TargetMode="External"/><Relationship Id="rId1173" Type="http://schemas.openxmlformats.org/officeDocument/2006/relationships/hyperlink" Target="https://m.media-amazon.com/images/W/WEBP_402378-T1/images/I/31ixn2s6IbL._SX300_SY300_QL70_FMwebp_.jpg" TargetMode="External"/><Relationship Id="rId581" Type="http://schemas.openxmlformats.org/officeDocument/2006/relationships/hyperlink" Target="https://m.media-amazon.com/images/I/41pmcRIe45L._SX300_SY300_QL70_ML2_.jpg" TargetMode="External"/><Relationship Id="rId1174" Type="http://schemas.openxmlformats.org/officeDocument/2006/relationships/hyperlink" Target="https://m.media-amazon.com/images/W/WEBP_402378-T2/images/I/41Mktp5hVIL._SX300_SY300_QL70_FMwebp_.jpg" TargetMode="External"/><Relationship Id="rId580" Type="http://schemas.openxmlformats.org/officeDocument/2006/relationships/hyperlink" Target="https://m.media-amazon.com/images/I/41vQwUamFcL._SX300_SY300_QL70_ML2_.jpg" TargetMode="External"/><Relationship Id="rId1175" Type="http://schemas.openxmlformats.org/officeDocument/2006/relationships/hyperlink" Target="https://m.media-amazon.com/images/I/31N5vx+L1KL._SY300_SX300_.jpg" TargetMode="External"/><Relationship Id="rId103" Type="http://schemas.openxmlformats.org/officeDocument/2006/relationships/hyperlink" Target="https://m.media-amazon.com/images/W/WEBP_402378-T2/images/I/41UJEnTJpVL._SX300_SY300_QL70_FMwebp_.jpg" TargetMode="External"/><Relationship Id="rId345" Type="http://schemas.openxmlformats.org/officeDocument/2006/relationships/hyperlink" Target="https://m.media-amazon.com/images/I/41Peg4pz7fL._SX300_SY300_QL70_ML2_.jpg" TargetMode="External"/><Relationship Id="rId587" Type="http://schemas.openxmlformats.org/officeDocument/2006/relationships/hyperlink" Target="https://m.media-amazon.com/images/I/41sHRWXCfvL._SX300_SY300_QL70_FMwebp_.jpg" TargetMode="External"/><Relationship Id="rId1176" Type="http://schemas.openxmlformats.org/officeDocument/2006/relationships/hyperlink" Target="https://m.media-amazon.com/images/W/WEBP_402378-T2/images/I/31CM9HiuvRL._SX300_SY300_QL70_FMwebp_.jpg" TargetMode="External"/><Relationship Id="rId102" Type="http://schemas.openxmlformats.org/officeDocument/2006/relationships/hyperlink" Target="https://m.media-amazon.com/images/I/31kw1RgU5yL._SX300_SY300_QL70_FMwebp_.jpg" TargetMode="External"/><Relationship Id="rId344" Type="http://schemas.openxmlformats.org/officeDocument/2006/relationships/hyperlink" Target="https://m.media-amazon.com/images/I/41ML8ZbPiiL._SY300_SX300_QL70_ML2_.jpg" TargetMode="External"/><Relationship Id="rId586" Type="http://schemas.openxmlformats.org/officeDocument/2006/relationships/hyperlink" Target="https://m.media-amazon.com/images/I/31GUbeFG3FL._SX300_SY300_QL70_FMwebp_.jpg" TargetMode="External"/><Relationship Id="rId1177" Type="http://schemas.openxmlformats.org/officeDocument/2006/relationships/hyperlink" Target="https://m.media-amazon.com/images/I/51zhY6X2NqL._SX300_SY300_QL70_FMwebp_.jpg" TargetMode="External"/><Relationship Id="rId101" Type="http://schemas.openxmlformats.org/officeDocument/2006/relationships/hyperlink" Target="https://m.media-amazon.com/images/I/41pA1xo-mIL._SX300_SY300_QL70_FMwebp_.jpg" TargetMode="External"/><Relationship Id="rId343" Type="http://schemas.openxmlformats.org/officeDocument/2006/relationships/hyperlink" Target="https://m.media-amazon.com/images/I/41JM3Ra+tiL._SY300_SX300_.jpg" TargetMode="External"/><Relationship Id="rId585" Type="http://schemas.openxmlformats.org/officeDocument/2006/relationships/hyperlink" Target="https://m.media-amazon.com/images/I/31IdiM9ZM8L._SX300_SY300_QL70_FMwebp_.jpg" TargetMode="External"/><Relationship Id="rId1178" Type="http://schemas.openxmlformats.org/officeDocument/2006/relationships/hyperlink" Target="https://m.media-amazon.com/images/W/WEBP_402378-T2/images/I/31kDhgD+VYL._SX300_SY300_.jpg" TargetMode="External"/><Relationship Id="rId100" Type="http://schemas.openxmlformats.org/officeDocument/2006/relationships/hyperlink" Target="https://m.media-amazon.com/images/W/WEBP_402378-T1/images/I/41fRMsvSy8L._SY445_SX342_QL70_FMwebp_.jpg" TargetMode="External"/><Relationship Id="rId342" Type="http://schemas.openxmlformats.org/officeDocument/2006/relationships/hyperlink" Target="https://m.media-amazon.com/images/I/41CB1rnC5tL._SX300_SY300_QL70_ML2_.jpg" TargetMode="External"/><Relationship Id="rId584" Type="http://schemas.openxmlformats.org/officeDocument/2006/relationships/hyperlink" Target="https://m.media-amazon.com/images/I/217Lv1D3bHL._SX300_SY300_QL70_ML2_.jpg" TargetMode="External"/><Relationship Id="rId1179" Type="http://schemas.openxmlformats.org/officeDocument/2006/relationships/hyperlink" Target="https://m.media-amazon.com/images/W/WEBP_402378-T2/images/I/31SFYZqCSeL._SX300_SY300_QL70_FMwebp_.jpg" TargetMode="External"/><Relationship Id="rId1169" Type="http://schemas.openxmlformats.org/officeDocument/2006/relationships/hyperlink" Target="https://m.media-amazon.com/images/W/WEBP_402378-T2/images/I/415f3fULh8L._SX300_SY300_QL70_FMwebp_.jpg" TargetMode="External"/><Relationship Id="rId338" Type="http://schemas.openxmlformats.org/officeDocument/2006/relationships/hyperlink" Target="https://m.media-amazon.com/images/I/31grUs8OpvL._SX300_SY300_QL70_ML2_.jpg" TargetMode="External"/><Relationship Id="rId337" Type="http://schemas.openxmlformats.org/officeDocument/2006/relationships/hyperlink" Target="https://m.media-amazon.com/images/I/41d69zua5LL._SX300_SY300_QL70_ML2_.jpg" TargetMode="External"/><Relationship Id="rId579" Type="http://schemas.openxmlformats.org/officeDocument/2006/relationships/hyperlink" Target="https://m.media-amazon.com/images/I/31yQB88r8kL._SX300_SY300_QL70_ML2_.jpg" TargetMode="External"/><Relationship Id="rId336" Type="http://schemas.openxmlformats.org/officeDocument/2006/relationships/hyperlink" Target="https://m.media-amazon.com/images/I/41sHRWXCfvL._SX300_SY300_QL70_ML2_.jpg" TargetMode="External"/><Relationship Id="rId578" Type="http://schemas.openxmlformats.org/officeDocument/2006/relationships/hyperlink" Target="https://m.media-amazon.com/images/I/31zYqHExOPS._SX300_SY300_QL70_ML2_.jpg" TargetMode="External"/><Relationship Id="rId335" Type="http://schemas.openxmlformats.org/officeDocument/2006/relationships/hyperlink" Target="https://m.media-amazon.com/images/I/41WCgGbvwhL._SX300_SY300_QL70_ML2_.jpg" TargetMode="External"/><Relationship Id="rId577" Type="http://schemas.openxmlformats.org/officeDocument/2006/relationships/hyperlink" Target="https://m.media-amazon.com/images/I/41vCOAeGvSL._SX300_SY300_QL70_ML2_.jpg" TargetMode="External"/><Relationship Id="rId339" Type="http://schemas.openxmlformats.org/officeDocument/2006/relationships/hyperlink" Target="https://m.media-amazon.com/images/I/41Wd9J6nfpL._SX300_SY300_QL70_ML2_.jpg" TargetMode="External"/><Relationship Id="rId1160" Type="http://schemas.openxmlformats.org/officeDocument/2006/relationships/hyperlink" Target="https://m.media-amazon.com/images/W/WEBP_402378-T1/images/I/41jJqhC9nfL._SX300_SY300_QL70_FMwebp_.jpg" TargetMode="External"/><Relationship Id="rId330" Type="http://schemas.openxmlformats.org/officeDocument/2006/relationships/hyperlink" Target="https://m.media-amazon.com/images/W/WEBP_402378-T1/images/I/31Lfjbfc47L._SX300_SY300_QL70_FMwebp_.jpg" TargetMode="External"/><Relationship Id="rId572" Type="http://schemas.openxmlformats.org/officeDocument/2006/relationships/hyperlink" Target="https://m.media-amazon.com/images/I/41fDM4QUfvL._SX300_SY300_QL70_ML2_.jpg" TargetMode="External"/><Relationship Id="rId1161" Type="http://schemas.openxmlformats.org/officeDocument/2006/relationships/hyperlink" Target="https://m.media-amazon.com/images/W/WEBP_402378-T1/images/I/41s6tfIVmeL._SX300_SY300_QL70_FMwebp_.jpg" TargetMode="External"/><Relationship Id="rId571" Type="http://schemas.openxmlformats.org/officeDocument/2006/relationships/hyperlink" Target="https://m.media-amazon.com/images/I/31l-eZHBfKL._SX300_SY300_QL70_ML2_.jpg" TargetMode="External"/><Relationship Id="rId1162" Type="http://schemas.openxmlformats.org/officeDocument/2006/relationships/hyperlink" Target="https://m.media-amazon.com/images/W/WEBP_402378-T1/images/I/31MVkjIpLiL._SX300_SY300_QL70_FMwebp_.jpg" TargetMode="External"/><Relationship Id="rId570" Type="http://schemas.openxmlformats.org/officeDocument/2006/relationships/hyperlink" Target="https://m.media-amazon.com/images/I/31x3IUfMneL._SX300_SY300_QL70_ML2_.jpg" TargetMode="External"/><Relationship Id="rId1163" Type="http://schemas.openxmlformats.org/officeDocument/2006/relationships/hyperlink" Target="https://m.media-amazon.com/images/W/WEBP_402378-T2/images/I/41+82+4rUCL._SX300_SY300_.jpg" TargetMode="External"/><Relationship Id="rId1164" Type="http://schemas.openxmlformats.org/officeDocument/2006/relationships/hyperlink" Target="https://m.media-amazon.com/images/I/21ndIZtC7HL._SX300_SY300_QL70_FMwebp_.jpg" TargetMode="External"/><Relationship Id="rId334" Type="http://schemas.openxmlformats.org/officeDocument/2006/relationships/hyperlink" Target="https://m.media-amazon.com/images/W/WEBP_402378-T2/images/I/51R1cOolXRL._SX300_SY300_QL70_FMwebp_.jpg" TargetMode="External"/><Relationship Id="rId576" Type="http://schemas.openxmlformats.org/officeDocument/2006/relationships/hyperlink" Target="https://m.media-amazon.com/images/I/31poWDDorOL._SY300_SX300_QL70_ML2_.jpg" TargetMode="External"/><Relationship Id="rId1165" Type="http://schemas.openxmlformats.org/officeDocument/2006/relationships/hyperlink" Target="https://m.media-amazon.com/images/I/31dCji7nmsL._SX300_SY300_QL70_FMwebp_.jpg" TargetMode="External"/><Relationship Id="rId333" Type="http://schemas.openxmlformats.org/officeDocument/2006/relationships/hyperlink" Target="https://m.media-amazon.com/images/W/WEBP_402378-T2/images/I/41mW+TS5WKL._SY300_SX300_.jpg" TargetMode="External"/><Relationship Id="rId575" Type="http://schemas.openxmlformats.org/officeDocument/2006/relationships/hyperlink" Target="https://m.media-amazon.com/images/I/41dtbrNRHdL._SX300_SY300_QL70_ML2_.jpg" TargetMode="External"/><Relationship Id="rId1166" Type="http://schemas.openxmlformats.org/officeDocument/2006/relationships/hyperlink" Target="https://m.media-amazon.com/images/W/WEBP_402378-T2/images/I/41tVoAxz0QL._SX300_SY300_QL70_FMwebp_.jpg" TargetMode="External"/><Relationship Id="rId332" Type="http://schemas.openxmlformats.org/officeDocument/2006/relationships/hyperlink" Target="https://m.media-amazon.com/images/I/41I2mS67DyL._SY300_SX300_QL70_FMwebp_.jpg" TargetMode="External"/><Relationship Id="rId574" Type="http://schemas.openxmlformats.org/officeDocument/2006/relationships/hyperlink" Target="https://m.media-amazon.com/images/I/412dSHwBHGL._SX300_SY300_QL70_ML2_.jpg" TargetMode="External"/><Relationship Id="rId1167" Type="http://schemas.openxmlformats.org/officeDocument/2006/relationships/hyperlink" Target="https://m.media-amazon.com/images/I/31-XtyZy0IL._SX300_SY300_QL70_FMwebp_.jpg" TargetMode="External"/><Relationship Id="rId331" Type="http://schemas.openxmlformats.org/officeDocument/2006/relationships/hyperlink" Target="https://m.media-amazon.com/images/I/41Jy61seJKL._SX300_SY300_QL70_FMwebp_.jpg" TargetMode="External"/><Relationship Id="rId573" Type="http://schemas.openxmlformats.org/officeDocument/2006/relationships/hyperlink" Target="https://m.media-amazon.com/images/I/41hI-UvnhFL._SX300_SY300_QL70_ML2_.jpg" TargetMode="External"/><Relationship Id="rId1168" Type="http://schemas.openxmlformats.org/officeDocument/2006/relationships/hyperlink" Target="https://m.media-amazon.com/images/I/418WkmFOaTL._SX300_SY300_QL70_FMwebp_.jpg" TargetMode="External"/><Relationship Id="rId370" Type="http://schemas.openxmlformats.org/officeDocument/2006/relationships/hyperlink" Target="https://m.media-amazon.com/images/I/51UsScvHQNL._SX300_SY300_QL70_ML2_.jpg" TargetMode="External"/><Relationship Id="rId129" Type="http://schemas.openxmlformats.org/officeDocument/2006/relationships/hyperlink" Target="https://m.media-amazon.com/images/I/31Bfu6liMWL._SX300_SY300_QL70_FMwebp_.jpg" TargetMode="External"/><Relationship Id="rId128" Type="http://schemas.openxmlformats.org/officeDocument/2006/relationships/hyperlink" Target="https://m.media-amazon.com/images/I/51O93lUTxtL._SY300_SX300_QL70_FMwebp_.jpg" TargetMode="External"/><Relationship Id="rId127" Type="http://schemas.openxmlformats.org/officeDocument/2006/relationships/hyperlink" Target="https://m.media-amazon.com/images/I/41Rg-JkRGgL._SY300_SX300_QL70_FMwebp_.jpg" TargetMode="External"/><Relationship Id="rId369" Type="http://schemas.openxmlformats.org/officeDocument/2006/relationships/hyperlink" Target="https://m.media-amazon.com/images/I/41ivjqdXb0L._SX300_SY300_QL70_ML2_.jpg" TargetMode="External"/><Relationship Id="rId126" Type="http://schemas.openxmlformats.org/officeDocument/2006/relationships/hyperlink" Target="https://m.media-amazon.com/images/I/41F6ukNxcCL._SX300_SY300_QL70_FMwebp_.jpg" TargetMode="External"/><Relationship Id="rId368" Type="http://schemas.openxmlformats.org/officeDocument/2006/relationships/hyperlink" Target="https://m.media-amazon.com/images/I/41OaM+9ZHXL._SY300_SX300_.jpg" TargetMode="External"/><Relationship Id="rId1190" Type="http://schemas.openxmlformats.org/officeDocument/2006/relationships/hyperlink" Target="https://m.media-amazon.com/images/I/31PzyH4N9xL._SX300_SY300_QL70_FMwebp_.jpg" TargetMode="External"/><Relationship Id="rId1191" Type="http://schemas.openxmlformats.org/officeDocument/2006/relationships/hyperlink" Target="https://m.media-amazon.com/images/W/WEBP_402378-T1/images/I/31DXRMiRYLL._SX300_SY300_QL70_FMwebp_.jpg" TargetMode="External"/><Relationship Id="rId1192" Type="http://schemas.openxmlformats.org/officeDocument/2006/relationships/hyperlink" Target="https://m.media-amazon.com/images/W/WEBP_402378-T1/images/I/51oZKPP1qhL._SY300_SX300_QL70_FMwebp_.jpg" TargetMode="External"/><Relationship Id="rId1193" Type="http://schemas.openxmlformats.org/officeDocument/2006/relationships/hyperlink" Target="https://m.media-amazon.com/images/W/WEBP_402378-T1/images/I/41TMMpVWKqL._SY300_SX300_QL70_FMwebp_.jpg" TargetMode="External"/><Relationship Id="rId121" Type="http://schemas.openxmlformats.org/officeDocument/2006/relationships/hyperlink" Target="https://m.media-amazon.com/images/W/WEBP_402378-T2/images/I/31fQdrBOMvL._SY445_SX342_QL70_FMwebp_.jpg" TargetMode="External"/><Relationship Id="rId363" Type="http://schemas.openxmlformats.org/officeDocument/2006/relationships/hyperlink" Target="https://m.media-amazon.com/images/I/41aV2T7qLgL._SY300_SX300_QL70_ML2_.jpg" TargetMode="External"/><Relationship Id="rId1194" Type="http://schemas.openxmlformats.org/officeDocument/2006/relationships/hyperlink" Target="https://m.media-amazon.com/images/I/414eE-M+gfL._SY300_SX300_.jpg" TargetMode="External"/><Relationship Id="rId120" Type="http://schemas.openxmlformats.org/officeDocument/2006/relationships/hyperlink" Target="https://m.media-amazon.com/images/I/41LCWn4aUHL._SX300_SY300_QL70_FMwebp_.jpg" TargetMode="External"/><Relationship Id="rId362" Type="http://schemas.openxmlformats.org/officeDocument/2006/relationships/hyperlink" Target="https://m.media-amazon.com/images/I/41t61osAZHL._SX300_SY300_QL70_ML2_.jpg" TargetMode="External"/><Relationship Id="rId1195" Type="http://schemas.openxmlformats.org/officeDocument/2006/relationships/hyperlink" Target="https://m.media-amazon.com/images/I/41sJ4KQa5xL._SX300_SY300_QL70_FMwebp_.jpg" TargetMode="External"/><Relationship Id="rId361" Type="http://schemas.openxmlformats.org/officeDocument/2006/relationships/hyperlink" Target="https://m.media-amazon.com/images/I/41ApzUQQFVL._SX300_SY300_QL70_ML2_.jpg" TargetMode="External"/><Relationship Id="rId1196" Type="http://schemas.openxmlformats.org/officeDocument/2006/relationships/hyperlink" Target="https://m.media-amazon.com/images/I/417XNLkkFRL._SX300_SY300_QL70_FMwebp_.jpg" TargetMode="External"/><Relationship Id="rId360" Type="http://schemas.openxmlformats.org/officeDocument/2006/relationships/hyperlink" Target="https://m.media-amazon.com/images/I/41qqmdUWnhL._SX300_SY300_QL70_ML2_.jpg" TargetMode="External"/><Relationship Id="rId1197" Type="http://schemas.openxmlformats.org/officeDocument/2006/relationships/hyperlink" Target="https://m.media-amazon.com/images/I/31JaiYt3IRL._SX300_SY300_QL70_FMwebp_.jpg" TargetMode="External"/><Relationship Id="rId125" Type="http://schemas.openxmlformats.org/officeDocument/2006/relationships/hyperlink" Target="https://m.media-amazon.com/images/I/41Om+JyC4iL._SX300_SY300_.jpg" TargetMode="External"/><Relationship Id="rId367" Type="http://schemas.openxmlformats.org/officeDocument/2006/relationships/hyperlink" Target="https://m.media-amazon.com/images/I/419KF2t1nML._SX300_SY300_QL70_ML2_.jpg" TargetMode="External"/><Relationship Id="rId1198" Type="http://schemas.openxmlformats.org/officeDocument/2006/relationships/hyperlink" Target="https://m.media-amazon.com/images/W/WEBP_402378-T2/images/I/41cAIdLrGPL._SX300_SY300_QL70_FMwebp_.jpg" TargetMode="External"/><Relationship Id="rId124" Type="http://schemas.openxmlformats.org/officeDocument/2006/relationships/hyperlink" Target="https://m.media-amazon.com/images/I/51Pu9zNUbtL._SY300_SX300_QL70_FMwebp_.jpg" TargetMode="External"/><Relationship Id="rId366" Type="http://schemas.openxmlformats.org/officeDocument/2006/relationships/hyperlink" Target="https://m.media-amazon.com/images/I/41Mce3f9faL._SX300_SY300_QL70_ML2_.jpg" TargetMode="External"/><Relationship Id="rId1199" Type="http://schemas.openxmlformats.org/officeDocument/2006/relationships/hyperlink" Target="https://m.media-amazon.com/images/W/WEBP_402378-T1/images/I/31pRaPCFqVL._SX300_SY300_QL70_FMwebp_.jpg" TargetMode="External"/><Relationship Id="rId123" Type="http://schemas.openxmlformats.org/officeDocument/2006/relationships/hyperlink" Target="https://m.media-amazon.com/images/I/41P2TNMG-hL._SY300_SX300_QL70_FMwebp_.jpg" TargetMode="External"/><Relationship Id="rId365" Type="http://schemas.openxmlformats.org/officeDocument/2006/relationships/hyperlink" Target="https://m.media-amazon.com/images/I/41mzbWC6AkL._SX300_SY300_QL70_ML2_.jpg" TargetMode="External"/><Relationship Id="rId122" Type="http://schemas.openxmlformats.org/officeDocument/2006/relationships/hyperlink" Target="https://m.media-amazon.com/images/I/31-J+oOnb8L._SY300_SX300_.jpg" TargetMode="External"/><Relationship Id="rId364" Type="http://schemas.openxmlformats.org/officeDocument/2006/relationships/hyperlink" Target="https://m.media-amazon.com/images/I/41op1vdp-UL._SX300_SY300_QL70_ML2_.jpg" TargetMode="External"/><Relationship Id="rId95" Type="http://schemas.openxmlformats.org/officeDocument/2006/relationships/hyperlink" Target="https://m.media-amazon.com/images/W/WEBP_402378-T1/images/I/41mMrtrwgyL._SY300_SX300_QL70_FMwebp_.jpg" TargetMode="External"/><Relationship Id="rId94" Type="http://schemas.openxmlformats.org/officeDocument/2006/relationships/hyperlink" Target="https://m.media-amazon.com/images/W/WEBP_402378-T1/images/I/31Uqr+A2THL._SY300_SX300_.jpg" TargetMode="External"/><Relationship Id="rId97" Type="http://schemas.openxmlformats.org/officeDocument/2006/relationships/hyperlink" Target="https://m.media-amazon.com/images/I/21PB1kWQWdL._SX300_SY300_QL70_FMwebp_.jpg" TargetMode="External"/><Relationship Id="rId96" Type="http://schemas.openxmlformats.org/officeDocument/2006/relationships/hyperlink" Target="https://m.media-amazon.com/images/W/WEBP_402378-T2/images/I/317-HiMYIgS._SY300_SX300_QL70_FMwebp_.jpg" TargetMode="External"/><Relationship Id="rId99" Type="http://schemas.openxmlformats.org/officeDocument/2006/relationships/hyperlink" Target="https://m.media-amazon.com/images/W/WEBP_402378-T1/images/I/219039qa+PL._SY300_SX300_.jpg" TargetMode="External"/><Relationship Id="rId98" Type="http://schemas.openxmlformats.org/officeDocument/2006/relationships/hyperlink" Target="https://m.media-amazon.com/images/W/WEBP_402378-T1/images/I/41nGfip4QuS._SX300_SY300_QL70_FMwebp_.jpg" TargetMode="External"/><Relationship Id="rId91" Type="http://schemas.openxmlformats.org/officeDocument/2006/relationships/hyperlink" Target="https://m.media-amazon.com/images/I/31mgo4D-kPL._SX300_SY300_QL70_FMwebp_.jpg" TargetMode="External"/><Relationship Id="rId90" Type="http://schemas.openxmlformats.org/officeDocument/2006/relationships/hyperlink" Target="https://m.media-amazon.com/images/I/412fvb7k2FL._SX300_SY300_QL70_FMwebp_.jpg" TargetMode="External"/><Relationship Id="rId93" Type="http://schemas.openxmlformats.org/officeDocument/2006/relationships/hyperlink" Target="https://m.media-amazon.com/images/W/WEBP_402378-T1/images/I/4112nea7JlL._SX300_SY300_QL70_FMwebp_.jpg" TargetMode="External"/><Relationship Id="rId92" Type="http://schemas.openxmlformats.org/officeDocument/2006/relationships/hyperlink" Target="https://m.media-amazon.com/images/I/51F6FClq10L._SX300_SY300_QL70_FMwebp_.jpg" TargetMode="External"/><Relationship Id="rId118" Type="http://schemas.openxmlformats.org/officeDocument/2006/relationships/hyperlink" Target="https://m.media-amazon.com/images/W/WEBP_402378-T1/images/I/416GZEi9SuL._SX300_SY300_QL70_FMwebp_.jpg" TargetMode="External"/><Relationship Id="rId117" Type="http://schemas.openxmlformats.org/officeDocument/2006/relationships/hyperlink" Target="https://m.media-amazon.com/images/I/31sBb-2L8KL._SX300_SY300_QL70_FMwebp_.jpg" TargetMode="External"/><Relationship Id="rId359" Type="http://schemas.openxmlformats.org/officeDocument/2006/relationships/hyperlink" Target="https://m.media-amazon.com/images/I/21uXmiH98wL._SX300_SY300_QL70_ML2_.jpg" TargetMode="External"/><Relationship Id="rId116" Type="http://schemas.openxmlformats.org/officeDocument/2006/relationships/hyperlink" Target="https://m.media-amazon.com/images/I/21rxGo3S7FL._SY445_SX342_QL70_FMwebp_.jpg" TargetMode="External"/><Relationship Id="rId358" Type="http://schemas.openxmlformats.org/officeDocument/2006/relationships/hyperlink" Target="https://m.media-amazon.com/images/I/41ZK4aM4zgL._SX300_SY300_QL70_ML2_.jpg" TargetMode="External"/><Relationship Id="rId115" Type="http://schemas.openxmlformats.org/officeDocument/2006/relationships/hyperlink" Target="https://m.media-amazon.com/images/W/WEBP_402378-T2/images/I/41dNwzNOc3L._SX300_SY300_QL70_FMwebp_.jpg" TargetMode="External"/><Relationship Id="rId357" Type="http://schemas.openxmlformats.org/officeDocument/2006/relationships/hyperlink" Target="https://m.media-amazon.com/images/I/21luyw7JrrL._SX300_SY300_QL70_ML2_.jpg" TargetMode="External"/><Relationship Id="rId599" Type="http://schemas.openxmlformats.org/officeDocument/2006/relationships/hyperlink" Target="https://m.media-amazon.com/images/W/WEBP_402378-T2/images/I/31NnmYempPL._SX300_SY300_QL70_FMwebp_.jpg" TargetMode="External"/><Relationship Id="rId1180" Type="http://schemas.openxmlformats.org/officeDocument/2006/relationships/hyperlink" Target="https://m.media-amazon.com/images/I/21qojQDoKWL._SX300_SY300_QL70_FMwebp_.jpg" TargetMode="External"/><Relationship Id="rId1181" Type="http://schemas.openxmlformats.org/officeDocument/2006/relationships/hyperlink" Target="https://m.media-amazon.com/images/W/WEBP_402378-T1/images/I/31hgpO4BxQL._SY445_SX342_QL70_FMwebp_.jpg" TargetMode="External"/><Relationship Id="rId119" Type="http://schemas.openxmlformats.org/officeDocument/2006/relationships/hyperlink" Target="https://m.media-amazon.com/images/W/WEBP_402378-T1/images/I/41ipWb8mrKL._SX300_SY300_QL70_FMwebp_.jpg" TargetMode="External"/><Relationship Id="rId1182" Type="http://schemas.openxmlformats.org/officeDocument/2006/relationships/hyperlink" Target="https://m.media-amazon.com/images/W/WEBP_402378-T2/images/I/313jBpnrJVL._SX300_SY300_QL70_FMwebp_.jpg" TargetMode="External"/><Relationship Id="rId110" Type="http://schemas.openxmlformats.org/officeDocument/2006/relationships/hyperlink" Target="https://m.media-amazon.com/images/W/WEBP_402378-T2/images/I/41CB7sKZvCL._SX300_SY300_QL70_FMwebp_.jpg" TargetMode="External"/><Relationship Id="rId352" Type="http://schemas.openxmlformats.org/officeDocument/2006/relationships/hyperlink" Target="https://m.media-amazon.com/images/I/41LZP1CmYRL._SX300_SY300_QL70_ML2_.jpg" TargetMode="External"/><Relationship Id="rId594" Type="http://schemas.openxmlformats.org/officeDocument/2006/relationships/hyperlink" Target="https://m.media-amazon.com/images/I/41ML8ZbPiiL._SY300_SX300_QL70_FMwebp_.jpg" TargetMode="External"/><Relationship Id="rId1183" Type="http://schemas.openxmlformats.org/officeDocument/2006/relationships/hyperlink" Target="https://m.media-amazon.com/images/I/51b5sh94f7L._SX300_SY300_QL70_FMwebp_.jpg" TargetMode="External"/><Relationship Id="rId351" Type="http://schemas.openxmlformats.org/officeDocument/2006/relationships/hyperlink" Target="https://m.media-amazon.com/images/I/41WpD4fqT4L._SX300_SY300_QL70_ML2_.jpg" TargetMode="External"/><Relationship Id="rId593" Type="http://schemas.openxmlformats.org/officeDocument/2006/relationships/hyperlink" Target="https://m.media-amazon.com/images/I/41EbxurQIDL._SX300_SY300_QL70_FMwebp_.jpg" TargetMode="External"/><Relationship Id="rId1184" Type="http://schemas.openxmlformats.org/officeDocument/2006/relationships/hyperlink" Target="https://m.media-amazon.com/images/W/WEBP_402378-T1/images/I/31A-v4dVHmL._SX300_SY300_QL70_FMwebp_.jpg" TargetMode="External"/><Relationship Id="rId350" Type="http://schemas.openxmlformats.org/officeDocument/2006/relationships/hyperlink" Target="https://m.media-amazon.com/images/I/41KBaLUTYHL._SX300_SY300_QL70_ML2_.jpg" TargetMode="External"/><Relationship Id="rId592" Type="http://schemas.openxmlformats.org/officeDocument/2006/relationships/hyperlink" Target="https://m.media-amazon.com/images/I/31KjuRb9oNL._SX300_SY300_QL70_FMwebp_.jpg" TargetMode="External"/><Relationship Id="rId1185" Type="http://schemas.openxmlformats.org/officeDocument/2006/relationships/hyperlink" Target="https://m.media-amazon.com/images/I/41WPlte6OmL._SY300_SX300_QL70_FMwebp_.jpg" TargetMode="External"/><Relationship Id="rId591" Type="http://schemas.openxmlformats.org/officeDocument/2006/relationships/hyperlink" Target="https://m.media-amazon.com/images/I/51YTmlApiXL._SX300_SY300_QL70_FMwebp_.jpg" TargetMode="External"/><Relationship Id="rId1186" Type="http://schemas.openxmlformats.org/officeDocument/2006/relationships/hyperlink" Target="https://m.media-amazon.com/images/W/WEBP_402378-T2/images/I/316VkpDJItL._SX300_SY300_QL70_FMwebp_.jpg" TargetMode="External"/><Relationship Id="rId114" Type="http://schemas.openxmlformats.org/officeDocument/2006/relationships/hyperlink" Target="https://m.media-amazon.com/images/W/WEBP_402378-T1/images/I/41+3EsgcpzL._SY300_SX300_.jpg" TargetMode="External"/><Relationship Id="rId356" Type="http://schemas.openxmlformats.org/officeDocument/2006/relationships/hyperlink" Target="https://m.media-amazon.com/images/I/41J2W8DASzS._SX300_SY300_QL70_ML2_.jpg" TargetMode="External"/><Relationship Id="rId598" Type="http://schemas.openxmlformats.org/officeDocument/2006/relationships/hyperlink" Target="https://m.media-amazon.com/images/W/WEBP_402378-T2/images/I/31DYx7AhW6L._SX300_SY300_QL70_FMwebp_.jpg" TargetMode="External"/><Relationship Id="rId1187" Type="http://schemas.openxmlformats.org/officeDocument/2006/relationships/hyperlink" Target="https://m.media-amazon.com/images/I/41VQTjrYaCL._SX300_SY300_QL70_FMwebp_.jpg" TargetMode="External"/><Relationship Id="rId113" Type="http://schemas.openxmlformats.org/officeDocument/2006/relationships/hyperlink" Target="https://m.media-amazon.com/images/W/WEBP_402378-T1/images/I/41WD+zBGibL._SY300_SX300_.jpg" TargetMode="External"/><Relationship Id="rId355" Type="http://schemas.openxmlformats.org/officeDocument/2006/relationships/hyperlink" Target="https://m.media-amazon.com/images/I/41IcuNkyrdL._SX300_SY300_QL70_ML2_.jpg" TargetMode="External"/><Relationship Id="rId597" Type="http://schemas.openxmlformats.org/officeDocument/2006/relationships/hyperlink" Target="https://m.media-amazon.com/images/I/51aYKwgu-GL._SX300_SY300_QL70_FMwebp_.jpg" TargetMode="External"/><Relationship Id="rId1188" Type="http://schemas.openxmlformats.org/officeDocument/2006/relationships/hyperlink" Target="https://m.media-amazon.com/images/I/41yrqUum9EL._SY300_SX300_QL70_FMwebp_.jpg" TargetMode="External"/><Relationship Id="rId112" Type="http://schemas.openxmlformats.org/officeDocument/2006/relationships/hyperlink" Target="https://m.media-amazon.com/images/W/WEBP_402378-T2/images/I/41jk4zYjTsL._SX300_SY300_QL70_FMwebp_.jpg" TargetMode="External"/><Relationship Id="rId354" Type="http://schemas.openxmlformats.org/officeDocument/2006/relationships/hyperlink" Target="https://m.media-amazon.com/images/I/413qMt0RdpL._SY300_SX300_QL70_ML2_.jpg" TargetMode="External"/><Relationship Id="rId596" Type="http://schemas.openxmlformats.org/officeDocument/2006/relationships/hyperlink" Target="https://m.media-amazon.com/images/W/WEBP_402378-T1/images/I/31HCup1pqFL._SX300_SY300_QL70_FMwebp_.jpg" TargetMode="External"/><Relationship Id="rId1189" Type="http://schemas.openxmlformats.org/officeDocument/2006/relationships/hyperlink" Target="https://m.media-amazon.com/images/W/WEBP_402378-T1/images/I/415pqPUbDVL._SX300_SY300_QL70_FMwebp_.jpg" TargetMode="External"/><Relationship Id="rId111" Type="http://schemas.openxmlformats.org/officeDocument/2006/relationships/hyperlink" Target="https://m.media-amazon.com/images/I/41fruBt99gL._SX300_SY300_QL70_FMwebp_.jpg" TargetMode="External"/><Relationship Id="rId353" Type="http://schemas.openxmlformats.org/officeDocument/2006/relationships/hyperlink" Target="https://m.media-amazon.com/images/I/31J6I7SrLXL._SX300_SY300_QL70_ML2_.jpg" TargetMode="External"/><Relationship Id="rId595" Type="http://schemas.openxmlformats.org/officeDocument/2006/relationships/hyperlink" Target="https://m.media-amazon.com/images/W/WEBP_402378-T2/images/I/41Peg4pz7fL._SX300_SY300_QL70_FMwebp_.jpg" TargetMode="External"/><Relationship Id="rId1136" Type="http://schemas.openxmlformats.org/officeDocument/2006/relationships/hyperlink" Target="https://m.media-amazon.com/images/W/WEBP_402378-T2/images/I/312FrvLA2RL._SX300_SY300_QL70_FMwebp_.jpg" TargetMode="External"/><Relationship Id="rId1378" Type="http://schemas.openxmlformats.org/officeDocument/2006/relationships/hyperlink" Target="https://m.media-amazon.com/images/W/WEBP_402378-T2/images/I/41lYqkaeadL._SX300_SY300_QL70_FMwebp_.jpg" TargetMode="External"/><Relationship Id="rId1137" Type="http://schemas.openxmlformats.org/officeDocument/2006/relationships/hyperlink" Target="https://m.media-amazon.com/images/W/WEBP_402378-T2/images/I/31R2gaVLwYL._SX300_SY300_QL70_FMwebp_.jpg" TargetMode="External"/><Relationship Id="rId1379" Type="http://schemas.openxmlformats.org/officeDocument/2006/relationships/hyperlink" Target="https://m.media-amazon.com/images/W/WEBP_402378-T2/images/I/51fYpZRmZ2L._SX300_SY300_QL70_FMwebp_.jpg" TargetMode="External"/><Relationship Id="rId1138" Type="http://schemas.openxmlformats.org/officeDocument/2006/relationships/hyperlink" Target="https://m.media-amazon.com/images/W/WEBP_402378-T1/images/I/21-SFWqfgyS._SX300_SY300_QL70_FMwebp_.jpg" TargetMode="External"/><Relationship Id="rId1139" Type="http://schemas.openxmlformats.org/officeDocument/2006/relationships/hyperlink" Target="https://m.media-amazon.com/images/I/31O1Y16P8xL._SY300_SX300_QL70_FMwebp_.jpg" TargetMode="External"/><Relationship Id="rId305" Type="http://schemas.openxmlformats.org/officeDocument/2006/relationships/hyperlink" Target="https://m.media-amazon.com/images/I/31JbtMrUYpL._SX300_SY300_QL70_FMwebp_.jpg" TargetMode="External"/><Relationship Id="rId547" Type="http://schemas.openxmlformats.org/officeDocument/2006/relationships/hyperlink" Target="https://m.media-amazon.com/images/I/41UhF7l9I4L._SX300_SY300_QL70_ML2_.jpg" TargetMode="External"/><Relationship Id="rId789" Type="http://schemas.openxmlformats.org/officeDocument/2006/relationships/hyperlink" Target="https://m.media-amazon.com/images/W/WEBP_402378-T1/images/I/41nmeIgWsZL._SX300_SY300_QL70_FMwebp_.jpg" TargetMode="External"/><Relationship Id="rId304" Type="http://schemas.openxmlformats.org/officeDocument/2006/relationships/hyperlink" Target="https://m.media-amazon.com/images/I/31+EyQ3FtIL._SY300_SX300_.jpg" TargetMode="External"/><Relationship Id="rId546" Type="http://schemas.openxmlformats.org/officeDocument/2006/relationships/hyperlink" Target="https://m.media-amazon.com/images/I/41lnTFZGz9L._SX300_SY300_QL70_ML2_.jpg" TargetMode="External"/><Relationship Id="rId788" Type="http://schemas.openxmlformats.org/officeDocument/2006/relationships/hyperlink" Target="https://m.media-amazon.com/images/I/41+d7HRWPwL._SY300_SX300_.jpg" TargetMode="External"/><Relationship Id="rId303" Type="http://schemas.openxmlformats.org/officeDocument/2006/relationships/hyperlink" Target="https://m.media-amazon.com/images/I/51UUmio53PL._SX300_SY300_QL70_FMwebp_.jpg" TargetMode="External"/><Relationship Id="rId545" Type="http://schemas.openxmlformats.org/officeDocument/2006/relationships/hyperlink" Target="https://m.media-amazon.com/images/I/41UwKwpK40L._SX300_SY300_QL70_ML2_.jpg" TargetMode="External"/><Relationship Id="rId787" Type="http://schemas.openxmlformats.org/officeDocument/2006/relationships/hyperlink" Target="https://m.media-amazon.com/images/W/WEBP_402378-T1/images/I/31tk9yOK-qL._SX300_SY300_QL70_FMwebp_.jpg" TargetMode="External"/><Relationship Id="rId302" Type="http://schemas.openxmlformats.org/officeDocument/2006/relationships/hyperlink" Target="https://m.media-amazon.com/images/I/51aZN040THL._SX300_SY300_QL70_FMwebp_.jpg" TargetMode="External"/><Relationship Id="rId544" Type="http://schemas.openxmlformats.org/officeDocument/2006/relationships/hyperlink" Target="https://m.media-amazon.com/images/I/418vxJS4AML._SX300_SY300_QL70_ML2_.jpg" TargetMode="External"/><Relationship Id="rId786" Type="http://schemas.openxmlformats.org/officeDocument/2006/relationships/hyperlink" Target="https://m.media-amazon.com/images/I/31oumlyiGiL._SX300_SY300_QL70_FMwebp_.jpg" TargetMode="External"/><Relationship Id="rId309" Type="http://schemas.openxmlformats.org/officeDocument/2006/relationships/hyperlink" Target="https://m.media-amazon.com/images/W/WEBP_402378-T2/images/I/41eThX4gyWL._SY300_SX300_QL70_FMwebp_.jpg" TargetMode="External"/><Relationship Id="rId308" Type="http://schemas.openxmlformats.org/officeDocument/2006/relationships/hyperlink" Target="https://m.media-amazon.com/images/W/WEBP_402378-T1/images/I/41J0RvJFffL._SX300_SY300_QL70_FMwebp_.jpg" TargetMode="External"/><Relationship Id="rId307" Type="http://schemas.openxmlformats.org/officeDocument/2006/relationships/hyperlink" Target="https://m.media-amazon.com/images/I/41s2f-e1d3L._SY300_SX300_QL70_FMwebp_.jpg" TargetMode="External"/><Relationship Id="rId549" Type="http://schemas.openxmlformats.org/officeDocument/2006/relationships/hyperlink" Target="https://m.media-amazon.com/images/I/411fc62wnpL._SX300_SY300_QL70_ML2_.jpg" TargetMode="External"/><Relationship Id="rId306" Type="http://schemas.openxmlformats.org/officeDocument/2006/relationships/hyperlink" Target="https://m.media-amazon.com/images/W/WEBP_402378-T2/images/I/41m1oMmTMCL._SX300_SY300_QL70_FMwebp_.jpg" TargetMode="External"/><Relationship Id="rId548" Type="http://schemas.openxmlformats.org/officeDocument/2006/relationships/hyperlink" Target="https://m.media-amazon.com/images/I/21yMfxVmNuL._SX300_SY300_QL70_ML2_.jpg" TargetMode="External"/><Relationship Id="rId781" Type="http://schemas.openxmlformats.org/officeDocument/2006/relationships/hyperlink" Target="https://m.media-amazon.com/images/W/WEBP_402378-T1/images/I/31bUanm+oRL._SY300_SX300_.jpg" TargetMode="External"/><Relationship Id="rId1370" Type="http://schemas.openxmlformats.org/officeDocument/2006/relationships/hyperlink" Target="https://m.media-amazon.com/images/I/414gUKUBHML._SX300_SY300_QL70_FMwebp_.jpg" TargetMode="External"/><Relationship Id="rId780" Type="http://schemas.openxmlformats.org/officeDocument/2006/relationships/hyperlink" Target="https://m.media-amazon.com/images/I/31BXpfrkEWL._SX300_SY300_QL70_FMwebp_.jpg" TargetMode="External"/><Relationship Id="rId1371" Type="http://schemas.openxmlformats.org/officeDocument/2006/relationships/hyperlink" Target="https://m.media-amazon.com/images/W/WEBP_402378-T2/images/I/410GwzE+TrL._SX342_SY445_.jpg" TargetMode="External"/><Relationship Id="rId1130" Type="http://schemas.openxmlformats.org/officeDocument/2006/relationships/hyperlink" Target="https://m.media-amazon.com/images/I/41rkDPlAt+L._SY300_SX300_.jpg" TargetMode="External"/><Relationship Id="rId1372" Type="http://schemas.openxmlformats.org/officeDocument/2006/relationships/hyperlink" Target="https://m.media-amazon.com/images/W/WEBP_402378-T1/images/I/41JWKjRa+PL._SX300_SY300_.jpg" TargetMode="External"/><Relationship Id="rId1131" Type="http://schemas.openxmlformats.org/officeDocument/2006/relationships/hyperlink" Target="https://m.media-amazon.com/images/W/WEBP_402378-T1/images/I/41v0JSmcIuL._SY300_SX300_QL70_FMwebp_.jpg" TargetMode="External"/><Relationship Id="rId1373" Type="http://schemas.openxmlformats.org/officeDocument/2006/relationships/hyperlink" Target="https://m.media-amazon.com/images/I/41UGgTLOD4L._SX300_SY300_QL70_FMwebp_.jpg" TargetMode="External"/><Relationship Id="rId301" Type="http://schemas.openxmlformats.org/officeDocument/2006/relationships/hyperlink" Target="https://m.media-amazon.com/images/I/31VRCXh9kQS._SX300_SY300_QL70_FMwebp_.jpg" TargetMode="External"/><Relationship Id="rId543" Type="http://schemas.openxmlformats.org/officeDocument/2006/relationships/hyperlink" Target="https://m.media-amazon.com/images/I/4155YhLwDiL._SX300_SY300_QL70_ML2_.jpg" TargetMode="External"/><Relationship Id="rId785" Type="http://schemas.openxmlformats.org/officeDocument/2006/relationships/hyperlink" Target="https://m.media-amazon.com/images/I/4177nw8okbL._SX300_SY300_QL70_FMwebp_.jpg" TargetMode="External"/><Relationship Id="rId1132" Type="http://schemas.openxmlformats.org/officeDocument/2006/relationships/hyperlink" Target="https://m.media-amazon.com/images/W/WEBP_402378-T1/images/I/41JrUgIbYOL._SX300_SY300_QL70_FMwebp_.jpg" TargetMode="External"/><Relationship Id="rId1374" Type="http://schemas.openxmlformats.org/officeDocument/2006/relationships/hyperlink" Target="https://m.media-amazon.com/images/I/41asnfU59KL._SY445_SX342_QL70_FMwebp_.jpg" TargetMode="External"/><Relationship Id="rId300" Type="http://schemas.openxmlformats.org/officeDocument/2006/relationships/hyperlink" Target="https://m.media-amazon.com/images/I/41hCikFvL7L._SY300_SX300_QL70_FMwebp_.jpg" TargetMode="External"/><Relationship Id="rId542" Type="http://schemas.openxmlformats.org/officeDocument/2006/relationships/hyperlink" Target="https://m.media-amazon.com/images/I/41tRgeQp9-L._SX300_SY300_QL70_ML2_.jpg" TargetMode="External"/><Relationship Id="rId784" Type="http://schemas.openxmlformats.org/officeDocument/2006/relationships/hyperlink" Target="https://m.media-amazon.com/images/I/318Gp3pIqXL._SX300_SY300_QL70_FMwebp_.jpg" TargetMode="External"/><Relationship Id="rId1133" Type="http://schemas.openxmlformats.org/officeDocument/2006/relationships/hyperlink" Target="https://m.media-amazon.com/images/W/WEBP_402378-T2/images/I/315o5vpD66L._SX300_SY300_QL70_FMwebp_.jpg" TargetMode="External"/><Relationship Id="rId1375" Type="http://schemas.openxmlformats.org/officeDocument/2006/relationships/hyperlink" Target="https://m.media-amazon.com/images/I/41EFR4bxzeL._SX300_SY300_QL70_FMwebp_.jpg" TargetMode="External"/><Relationship Id="rId541" Type="http://schemas.openxmlformats.org/officeDocument/2006/relationships/hyperlink" Target="https://m.media-amazon.com/images/I/31kw1RgU5yL._SX300_SY300_QL70_ML2_.jpg" TargetMode="External"/><Relationship Id="rId783" Type="http://schemas.openxmlformats.org/officeDocument/2006/relationships/hyperlink" Target="https://m.media-amazon.com/images/W/WEBP_402378-T1/images/I/51X5mRykgbL._SX300_SY300_QL70_FMwebp_.jpg" TargetMode="External"/><Relationship Id="rId1134" Type="http://schemas.openxmlformats.org/officeDocument/2006/relationships/hyperlink" Target="https://m.media-amazon.com/images/W/WEBP_402378-T1/images/I/41opVWa6H1L._SX300_SY300_QL70_FMwebp_.jpg" TargetMode="External"/><Relationship Id="rId1376" Type="http://schemas.openxmlformats.org/officeDocument/2006/relationships/hyperlink" Target="https://m.media-amazon.com/images/W/WEBP_402378-T1/images/I/41kr7l+z1FL._SY300_SX300_.jpg" TargetMode="External"/><Relationship Id="rId540" Type="http://schemas.openxmlformats.org/officeDocument/2006/relationships/hyperlink" Target="https://m.media-amazon.com/images/I/41PeQz-jDSL._SX300_SY300_QL70_ML2_.jpg" TargetMode="External"/><Relationship Id="rId782" Type="http://schemas.openxmlformats.org/officeDocument/2006/relationships/hyperlink" Target="https://m.media-amazon.com/images/I/411H6yi-tGL._SX300_SY300_QL70_FMwebp_.jpg" TargetMode="External"/><Relationship Id="rId1135" Type="http://schemas.openxmlformats.org/officeDocument/2006/relationships/hyperlink" Target="https://m.media-amazon.com/images/W/WEBP_402378-T2/images/I/31tiptnSbZL._SX300_SY300_QL70_FMwebp_.jpg" TargetMode="External"/><Relationship Id="rId1377" Type="http://schemas.openxmlformats.org/officeDocument/2006/relationships/hyperlink" Target="https://m.media-amazon.com/images/W/WEBP_402378-T2/images/I/41UoZi45q9L._SX300_SY300_QL70_FMwebp_.jpg" TargetMode="External"/><Relationship Id="rId1125" Type="http://schemas.openxmlformats.org/officeDocument/2006/relationships/hyperlink" Target="https://m.media-amazon.com/images/W/WEBP_402378-T2/images/I/21c-ZYPFJ5L._SX300_SY300_QL70_FMwebp_.jpg" TargetMode="External"/><Relationship Id="rId1367" Type="http://schemas.openxmlformats.org/officeDocument/2006/relationships/hyperlink" Target="https://m.media-amazon.com/images/W/WEBP_402378-T1/images/I/314qO8dyvRL._SX300_SY300_QL70_FMwebp_.jpg" TargetMode="External"/><Relationship Id="rId1126" Type="http://schemas.openxmlformats.org/officeDocument/2006/relationships/hyperlink" Target="https://m.media-amazon.com/images/I/31iKMkOV-DL._SX300_SY300_QL70_FMwebp_.jpg" TargetMode="External"/><Relationship Id="rId1368" Type="http://schemas.openxmlformats.org/officeDocument/2006/relationships/hyperlink" Target="https://m.media-amazon.com/images/W/WEBP_402378-T1/images/I/41d2SJq5sxL._SX300_SY300_QL70_FMwebp_.jpg" TargetMode="External"/><Relationship Id="rId1127" Type="http://schemas.openxmlformats.org/officeDocument/2006/relationships/hyperlink" Target="https://m.media-amazon.com/images/W/WEBP_402378-T1/images/I/31hwosM2Q1L._SX300_SY300_QL70_FMwebp_.jpg" TargetMode="External"/><Relationship Id="rId1369" Type="http://schemas.openxmlformats.org/officeDocument/2006/relationships/hyperlink" Target="https://m.media-amazon.com/images/W/WEBP_402378-T1/images/I/31+EgPqYa6L._SX300_SY300_.jpg" TargetMode="External"/><Relationship Id="rId1128" Type="http://schemas.openxmlformats.org/officeDocument/2006/relationships/hyperlink" Target="https://m.media-amazon.com/images/I/41k+HQz9JbL._SX300_SY300_.jpg" TargetMode="External"/><Relationship Id="rId1129" Type="http://schemas.openxmlformats.org/officeDocument/2006/relationships/hyperlink" Target="https://m.media-amazon.com/images/I/41OxPvBpwYL._SX300_SY300_QL70_FMwebp_.jpg" TargetMode="External"/><Relationship Id="rId536" Type="http://schemas.openxmlformats.org/officeDocument/2006/relationships/hyperlink" Target="https://m.media-amazon.com/images/I/41AGCk95dpL._SX300_SY300_QL70_ML2_.jpg" TargetMode="External"/><Relationship Id="rId778" Type="http://schemas.openxmlformats.org/officeDocument/2006/relationships/hyperlink" Target="https://m.media-amazon.com/images/W/WEBP_402378-T1/images/I/31sSNZUSkfL._SX300_SY300_QL70_FMwebp_.jpg" TargetMode="External"/><Relationship Id="rId535" Type="http://schemas.openxmlformats.org/officeDocument/2006/relationships/hyperlink" Target="https://m.media-amazon.com/images/I/41fMEQ-GoHL._SX300_SY300_QL70_ML2_.jpg" TargetMode="External"/><Relationship Id="rId777" Type="http://schemas.openxmlformats.org/officeDocument/2006/relationships/hyperlink" Target="https://m.media-amazon.com/images/W/WEBP_402378-T2/images/I/51esjcOy79L._SY300_SX300_QL70_FMwebp_.jpg" TargetMode="External"/><Relationship Id="rId534" Type="http://schemas.openxmlformats.org/officeDocument/2006/relationships/hyperlink" Target="https://m.media-amazon.com/images/I/413c3ZnFLxL._SX300_SY300_QL70_ML2_.jpg" TargetMode="External"/><Relationship Id="rId776" Type="http://schemas.openxmlformats.org/officeDocument/2006/relationships/hyperlink" Target="https://m.media-amazon.com/images/I/31+Rg6Z46dL._SX300_SY300_.jpg" TargetMode="External"/><Relationship Id="rId533" Type="http://schemas.openxmlformats.org/officeDocument/2006/relationships/hyperlink" Target="https://m.media-amazon.com/images/I/41sJ50FH9OL._SX300_SY300_QL70_ML2_.jpg" TargetMode="External"/><Relationship Id="rId775" Type="http://schemas.openxmlformats.org/officeDocument/2006/relationships/hyperlink" Target="https://m.media-amazon.com/images/I/21VBjRnsH6L._SX300_SY300_QL70_FMwebp_.jpg" TargetMode="External"/><Relationship Id="rId539" Type="http://schemas.openxmlformats.org/officeDocument/2006/relationships/hyperlink" Target="https://m.media-amazon.com/images/I/21rFBH5Lf2L._SX300_SY300_QL70_ML2_.jpg" TargetMode="External"/><Relationship Id="rId538" Type="http://schemas.openxmlformats.org/officeDocument/2006/relationships/hyperlink" Target="https://m.media-amazon.com/images/I/41ML8ZbPiiL._SY300_SX300_QL70_ML2_.jpg" TargetMode="External"/><Relationship Id="rId537" Type="http://schemas.openxmlformats.org/officeDocument/2006/relationships/hyperlink" Target="https://m.media-amazon.com/images/I/41zejggGzLL._SX300_SY300_QL70_ML2_.jpg" TargetMode="External"/><Relationship Id="rId779" Type="http://schemas.openxmlformats.org/officeDocument/2006/relationships/hyperlink" Target="https://m.media-amazon.com/images/I/41hF4CFTsGL._SX300_SY300_QL70_FMwebp_.jpg" TargetMode="External"/><Relationship Id="rId770" Type="http://schemas.openxmlformats.org/officeDocument/2006/relationships/hyperlink" Target="https://m.media-amazon.com/images/W/WEBP_402378-T2/images/I/31AQqe9fbJL._SX300_SY300_QL70_FMwebp_.jpg" TargetMode="External"/><Relationship Id="rId1360" Type="http://schemas.openxmlformats.org/officeDocument/2006/relationships/hyperlink" Target="https://m.media-amazon.com/images/W/WEBP_402378-T2/images/I/41UBtJFuwEL._SX300_SY300_QL70_FMwebp_.jpg" TargetMode="External"/><Relationship Id="rId1361" Type="http://schemas.openxmlformats.org/officeDocument/2006/relationships/hyperlink" Target="https://m.media-amazon.com/images/W/WEBP_402378-T2/images/I/41g0U0-t1RL._SX300_SY300_QL70_FMwebp_.jpg" TargetMode="External"/><Relationship Id="rId1120" Type="http://schemas.openxmlformats.org/officeDocument/2006/relationships/hyperlink" Target="https://m.media-amazon.com/images/W/WEBP_402378-T1/images/I/31g2BiAmVjL._SY300_SX300_QL70_FMwebp_.jpg" TargetMode="External"/><Relationship Id="rId1362" Type="http://schemas.openxmlformats.org/officeDocument/2006/relationships/hyperlink" Target="https://m.media-amazon.com/images/W/WEBP_402378-T1/images/I/41A6EmdtN8L._SY300_SX300_QL70_FMwebp_.jpg" TargetMode="External"/><Relationship Id="rId532" Type="http://schemas.openxmlformats.org/officeDocument/2006/relationships/hyperlink" Target="https://m.media-amazon.com/images/I/312X0wyfvmL._SX300_SY300_QL70_ML2_.jpg" TargetMode="External"/><Relationship Id="rId774" Type="http://schemas.openxmlformats.org/officeDocument/2006/relationships/hyperlink" Target="https://m.media-amazon.com/images/I/41sEmULXfAL._SX300_SY300_QL70_FMwebp_.jpg" TargetMode="External"/><Relationship Id="rId1121" Type="http://schemas.openxmlformats.org/officeDocument/2006/relationships/hyperlink" Target="https://m.media-amazon.com/images/I/41orhoQwtGL._SX300_SY300_QL70_FMwebp_.jpg" TargetMode="External"/><Relationship Id="rId1363" Type="http://schemas.openxmlformats.org/officeDocument/2006/relationships/hyperlink" Target="https://m.media-amazon.com/images/W/WEBP_402378-T2/images/I/41Ps3i9b4HL._SY300_SX300_QL70_FMwebp_.jpg" TargetMode="External"/><Relationship Id="rId531" Type="http://schemas.openxmlformats.org/officeDocument/2006/relationships/hyperlink" Target="https://m.media-amazon.com/images/I/41KVdXIcg0L._SX300_SY300_QL70_ML2_.jpg" TargetMode="External"/><Relationship Id="rId773" Type="http://schemas.openxmlformats.org/officeDocument/2006/relationships/hyperlink" Target="https://m.media-amazon.com/images/I/41T3Z43M4yL._SX300_SY300_QL70_FMwebp_.jpg" TargetMode="External"/><Relationship Id="rId1122" Type="http://schemas.openxmlformats.org/officeDocument/2006/relationships/hyperlink" Target="https://m.media-amazon.com/images/W/WEBP_402378-T1/images/I/416wtLbGHvL._SX300_SY300_QL70_FMwebp_.jpg" TargetMode="External"/><Relationship Id="rId1364" Type="http://schemas.openxmlformats.org/officeDocument/2006/relationships/hyperlink" Target="https://m.media-amazon.com/images/W/WEBP_402378-T1/images/I/41C90o+3GOL._SX300_SY300_.jpg" TargetMode="External"/><Relationship Id="rId530" Type="http://schemas.openxmlformats.org/officeDocument/2006/relationships/hyperlink" Target="https://m.media-amazon.com/images/I/416n3nd4MhL._SY300_SX300_QL70_ML2_.jpg" TargetMode="External"/><Relationship Id="rId772" Type="http://schemas.openxmlformats.org/officeDocument/2006/relationships/hyperlink" Target="https://m.media-amazon.com/images/I/41jk4zYjTsL._SX300_SY300_QL70_FMwebp_.jpg" TargetMode="External"/><Relationship Id="rId1123" Type="http://schemas.openxmlformats.org/officeDocument/2006/relationships/hyperlink" Target="https://m.media-amazon.com/images/W/WEBP_402378-T1/images/I/31Sgt4ZRNXL._SX300_SY300_QL70_FMwebp_.jpg" TargetMode="External"/><Relationship Id="rId1365" Type="http://schemas.openxmlformats.org/officeDocument/2006/relationships/hyperlink" Target="https://m.media-amazon.com/images/W/WEBP_402378-T2/images/I/41iZgQu0WLL._SY300_SX300_QL70_FMwebp_.jpg" TargetMode="External"/><Relationship Id="rId771" Type="http://schemas.openxmlformats.org/officeDocument/2006/relationships/hyperlink" Target="https://m.media-amazon.com/images/I/31BWFhkXiPL._SX300_SY300_QL70_FMwebp_.jpg" TargetMode="External"/><Relationship Id="rId1124" Type="http://schemas.openxmlformats.org/officeDocument/2006/relationships/hyperlink" Target="https://m.media-amazon.com/images/I/41PhEVR4X4L._SX300_SY300_QL70_FMwebp_.jpg" TargetMode="External"/><Relationship Id="rId1366" Type="http://schemas.openxmlformats.org/officeDocument/2006/relationships/hyperlink" Target="https://m.media-amazon.com/images/I/31B-f4QcESS._SX300_SY300_QL70_FMwebp_.jpg" TargetMode="External"/><Relationship Id="rId1158" Type="http://schemas.openxmlformats.org/officeDocument/2006/relationships/hyperlink" Target="https://m.media-amazon.com/images/W/WEBP_402378-T2/images/I/31y+z3bqZcL._SY300_SX300_.jpg" TargetMode="External"/><Relationship Id="rId1159" Type="http://schemas.openxmlformats.org/officeDocument/2006/relationships/hyperlink" Target="https://m.media-amazon.com/images/W/WEBP_402378-T1/images/I/314HwKNEFEL._SX300_SY300_QL70_FMwebp_.jpg" TargetMode="External"/><Relationship Id="rId327" Type="http://schemas.openxmlformats.org/officeDocument/2006/relationships/hyperlink" Target="https://m.media-amazon.com/images/W/WEBP_402378-T1/images/I/51z60rNcKSL._SY300_SX300_QL70_FMwebp_.jpg" TargetMode="External"/><Relationship Id="rId569" Type="http://schemas.openxmlformats.org/officeDocument/2006/relationships/hyperlink" Target="https://m.media-amazon.com/images/I/41ezRvTwcaL._SX300_SY300_QL70_ML2_.jpg" TargetMode="External"/><Relationship Id="rId326" Type="http://schemas.openxmlformats.org/officeDocument/2006/relationships/hyperlink" Target="https://m.media-amazon.com/images/I/41sSPp4pkYL._SY300_SX300_QL70_FMwebp_.jpg" TargetMode="External"/><Relationship Id="rId568" Type="http://schemas.openxmlformats.org/officeDocument/2006/relationships/hyperlink" Target="https://m.media-amazon.com/images/I/516BHYFQ3JL._SX300_SY300_QL70_ML2_.jpg" TargetMode="External"/><Relationship Id="rId325" Type="http://schemas.openxmlformats.org/officeDocument/2006/relationships/hyperlink" Target="https://m.media-amazon.com/images/I/31-q0xhaTAL._SY445_SX342_QL70_FMwebp_.jpg" TargetMode="External"/><Relationship Id="rId567" Type="http://schemas.openxmlformats.org/officeDocument/2006/relationships/hyperlink" Target="https://m.media-amazon.com/images/I/41i7LM0pGwL._SX300_SY300_QL70_ML2_.jpg" TargetMode="External"/><Relationship Id="rId324" Type="http://schemas.openxmlformats.org/officeDocument/2006/relationships/hyperlink" Target="https://m.media-amazon.com/images/I/51UuhCYmBnL._SY300_SX300_QL70_FMwebp_.jpg" TargetMode="External"/><Relationship Id="rId566" Type="http://schemas.openxmlformats.org/officeDocument/2006/relationships/hyperlink" Target="https://m.media-amazon.com/images/I/31Iuz7jlfqL._SX300_SY300_QL70_ML2_.jpg" TargetMode="External"/><Relationship Id="rId329" Type="http://schemas.openxmlformats.org/officeDocument/2006/relationships/hyperlink" Target="https://m.media-amazon.com/images/I/31FmMK7a9PL._SY445_SX342_QL70_FMwebp_.jpg" TargetMode="External"/><Relationship Id="rId1390" Type="http://schemas.openxmlformats.org/officeDocument/2006/relationships/hyperlink" Target="https://m.media-amazon.com/images/W/WEBP_402378-T2/images/I/41HoeX-PcDL._SY445_SX342_QL70_FMwebp_.jpg" TargetMode="External"/><Relationship Id="rId328" Type="http://schemas.openxmlformats.org/officeDocument/2006/relationships/hyperlink" Target="https://m.media-amazon.com/images/W/WEBP_402378-T2/images/I/41xL87ElgjL._SY300_SX300_QL70_FMwebp_.jpg" TargetMode="External"/><Relationship Id="rId1391" Type="http://schemas.openxmlformats.org/officeDocument/2006/relationships/hyperlink" Target="https://m.media-amazon.com/images/I/41R4IgGsMaL._SX300_SY300_QL70_FMwebp_.jpg" TargetMode="External"/><Relationship Id="rId561" Type="http://schemas.openxmlformats.org/officeDocument/2006/relationships/hyperlink" Target="https://m.media-amazon.com/images/I/41ynwpRq+kL._SY300_SX300_.jpg" TargetMode="External"/><Relationship Id="rId1150" Type="http://schemas.openxmlformats.org/officeDocument/2006/relationships/hyperlink" Target="https://m.media-amazon.com/images/W/WEBP_402378-T2/images/I/41Oo66iQH7L._SY445_SX342_QL70_FMwebp_.jpg" TargetMode="External"/><Relationship Id="rId1392" Type="http://schemas.openxmlformats.org/officeDocument/2006/relationships/hyperlink" Target="https://m.media-amazon.com/images/W/WEBP_402378-T2/images/I/41mcGL9ei0L._SX300_SY300_QL70_FMwebp_.jpg" TargetMode="External"/><Relationship Id="rId560" Type="http://schemas.openxmlformats.org/officeDocument/2006/relationships/hyperlink" Target="https://m.media-amazon.com/images/I/41GwFR981CL._SX300_SY300_QL70_ML2_.jpg" TargetMode="External"/><Relationship Id="rId1151" Type="http://schemas.openxmlformats.org/officeDocument/2006/relationships/hyperlink" Target="https://m.media-amazon.com/images/I/31yPDf0htkL._SX300_SY300_QL70_FMwebp_.jpg" TargetMode="External"/><Relationship Id="rId1393" Type="http://schemas.openxmlformats.org/officeDocument/2006/relationships/hyperlink" Target="https://m.media-amazon.com/images/W/WEBP_402378-T1/images/I/51Ule90yh0L._SX300_SY300_QL70_FMwebp_.jpg" TargetMode="External"/><Relationship Id="rId1152" Type="http://schemas.openxmlformats.org/officeDocument/2006/relationships/hyperlink" Target="https://m.media-amazon.com/images/I/31k9FfzMGzL._SX300_SY300_QL70_FMwebp_.jpg" TargetMode="External"/><Relationship Id="rId1394" Type="http://schemas.openxmlformats.org/officeDocument/2006/relationships/hyperlink" Target="https://m.media-amazon.com/images/I/41Fo2P8-4ZL._SY300_SX300_QL70_FMwebp_.jpg" TargetMode="External"/><Relationship Id="rId1153" Type="http://schemas.openxmlformats.org/officeDocument/2006/relationships/hyperlink" Target="https://m.media-amazon.com/images/W/WEBP_402378-T2/images/I/31MNWLE6vuL._SY300_SX300_QL70_FMwebp_.jpg" TargetMode="External"/><Relationship Id="rId1395" Type="http://schemas.openxmlformats.org/officeDocument/2006/relationships/hyperlink" Target="https://m.media-amazon.com/images/W/WEBP_402378-T2/images/I/41F-EWC+v+L._SY300_SX300_.jpg" TargetMode="External"/><Relationship Id="rId323" Type="http://schemas.openxmlformats.org/officeDocument/2006/relationships/hyperlink" Target="https://m.media-amazon.com/images/W/WEBP_402378-T1/images/I/41Wb7LHAeLL._SY300_SX300_QL70_FMwebp_.jpg" TargetMode="External"/><Relationship Id="rId565" Type="http://schemas.openxmlformats.org/officeDocument/2006/relationships/hyperlink" Target="https://m.media-amazon.com/images/I/41gFqSHngyL._SX300_SY300_QL70_ML2_.jpg" TargetMode="External"/><Relationship Id="rId1154" Type="http://schemas.openxmlformats.org/officeDocument/2006/relationships/hyperlink" Target="https://m.media-amazon.com/images/I/51d1BSuCGfL._SY300_SX300_QL70_FMwebp_.jpg" TargetMode="External"/><Relationship Id="rId1396" Type="http://schemas.openxmlformats.org/officeDocument/2006/relationships/hyperlink" Target="https://m.media-amazon.com/images/W/WEBP_402378-T1/images/I/41Qu+vkjbcL._SY300_SX300_.jpg" TargetMode="External"/><Relationship Id="rId322" Type="http://schemas.openxmlformats.org/officeDocument/2006/relationships/hyperlink" Target="https://m.media-amazon.com/images/W/WEBP_402378-T1/images/I/51xmNdrIlcS._SY300_SX300_QL70_FMwebp_.jpg" TargetMode="External"/><Relationship Id="rId564" Type="http://schemas.openxmlformats.org/officeDocument/2006/relationships/hyperlink" Target="https://m.media-amazon.com/images/I/51xaoGdw9EL._SX300_SY300_QL70_ML2_.jpg" TargetMode="External"/><Relationship Id="rId1155" Type="http://schemas.openxmlformats.org/officeDocument/2006/relationships/hyperlink" Target="https://m.media-amazon.com/images/W/WEBP_402378-T1/images/I/31NRaw6L7KL._SX300_SY300_QL70_FMwebp_.jpg" TargetMode="External"/><Relationship Id="rId1397" Type="http://schemas.openxmlformats.org/officeDocument/2006/relationships/hyperlink" Target="https://m.media-amazon.com/images/I/51V0CstI47L._SX300_SY300_QL70_FMwebp_.jpg" TargetMode="External"/><Relationship Id="rId321" Type="http://schemas.openxmlformats.org/officeDocument/2006/relationships/hyperlink" Target="https://m.media-amazon.com/images/I/41dwFttHxpL._SX300_SY300_QL70_FMwebp_.jpg" TargetMode="External"/><Relationship Id="rId563" Type="http://schemas.openxmlformats.org/officeDocument/2006/relationships/hyperlink" Target="https://m.media-amazon.com/images/I/31-BRsjrvDL._SY300_SX300_QL70_ML2_.jpg" TargetMode="External"/><Relationship Id="rId1156" Type="http://schemas.openxmlformats.org/officeDocument/2006/relationships/hyperlink" Target="https://m.media-amazon.com/images/W/WEBP_402378-T2/images/I/31na34LxwmL._SX300_SY300_QL70_FMwebp_.jpg" TargetMode="External"/><Relationship Id="rId1398" Type="http://schemas.openxmlformats.org/officeDocument/2006/relationships/hyperlink" Target="https://m.media-amazon.com/images/W/WEBP_402378-T1/images/I/41pb+fODkVL._SX300_SY300_.jpg" TargetMode="External"/><Relationship Id="rId320" Type="http://schemas.openxmlformats.org/officeDocument/2006/relationships/hyperlink" Target="https://m.media-amazon.com/images/W/WEBP_402378-T2/images/I/41Bi9ZwBQ7L._SX300_SY300_QL70_FMwebp_.jpg" TargetMode="External"/><Relationship Id="rId562" Type="http://schemas.openxmlformats.org/officeDocument/2006/relationships/hyperlink" Target="https://m.media-amazon.com/images/I/41XaIckgKIL._SX300_SY300_QL70_ML2_.jpg" TargetMode="External"/><Relationship Id="rId1157" Type="http://schemas.openxmlformats.org/officeDocument/2006/relationships/hyperlink" Target="https://m.media-amazon.com/images/W/WEBP_402378-T1/images/I/41-kc5sVOQL._SX300_SY300_QL70_FMwebp_.jpg" TargetMode="External"/><Relationship Id="rId1399" Type="http://schemas.openxmlformats.org/officeDocument/2006/relationships/hyperlink" Target="https://m.media-amazon.com/images/I/310R9iLp3mL._SX300_SY300_QL70_FMwebp_.jpg" TargetMode="External"/><Relationship Id="rId1147" Type="http://schemas.openxmlformats.org/officeDocument/2006/relationships/hyperlink" Target="https://m.media-amazon.com/images/I/31ZbGgybh0L._SX300_SY300_QL70_FMwebp_.jpg" TargetMode="External"/><Relationship Id="rId1389" Type="http://schemas.openxmlformats.org/officeDocument/2006/relationships/hyperlink" Target="https://m.media-amazon.com/images/W/WEBP_402378-T1/images/I/41hoHTbN5rL._SX300_SY300_QL70_FMwebp_.jpg" TargetMode="External"/><Relationship Id="rId1148" Type="http://schemas.openxmlformats.org/officeDocument/2006/relationships/hyperlink" Target="https://m.media-amazon.com/images/W/WEBP_402378-T2/images/I/31TKp-ARDUL._SX300_SY300_QL70_FMwebp_.jpg" TargetMode="External"/><Relationship Id="rId1149" Type="http://schemas.openxmlformats.org/officeDocument/2006/relationships/hyperlink" Target="https://m.media-amazon.com/images/I/21nPIBIwF0L._SX300_SY300_QL70_FMwebp_.jpg" TargetMode="External"/><Relationship Id="rId316" Type="http://schemas.openxmlformats.org/officeDocument/2006/relationships/hyperlink" Target="https://m.media-amazon.com/images/W/WEBP_402378-T1/images/I/213GZPC7uwL._SX300_SY300_QL70_FMwebp_.jpg" TargetMode="External"/><Relationship Id="rId558" Type="http://schemas.openxmlformats.org/officeDocument/2006/relationships/hyperlink" Target="https://m.media-amazon.com/images/I/41WYWN1pdvL._SX300_SY300_QL70_ML2_.jpg" TargetMode="External"/><Relationship Id="rId315" Type="http://schemas.openxmlformats.org/officeDocument/2006/relationships/hyperlink" Target="https://m.media-amazon.com/images/W/WEBP_402378-T1/images/I/41TBdmDqSjL._SY445_SX342_QL70_FMwebp_.jpg" TargetMode="External"/><Relationship Id="rId557" Type="http://schemas.openxmlformats.org/officeDocument/2006/relationships/hyperlink" Target="https://m.media-amazon.com/images/I/31gNcDrEskL._SX300_SY300_QL70_ML2_.jpg" TargetMode="External"/><Relationship Id="rId799" Type="http://schemas.openxmlformats.org/officeDocument/2006/relationships/hyperlink" Target="https://m.media-amazon.com/images/I/31ZJqJC4frL._SX300_SY300_QL70_FMwebp_.jpg" TargetMode="External"/><Relationship Id="rId314" Type="http://schemas.openxmlformats.org/officeDocument/2006/relationships/hyperlink" Target="https://m.media-amazon.com/images/W/WEBP_402378-T2/images/I/311Rq7jXvgL._SY445_SX342_QL70_FMwebp_.jpg" TargetMode="External"/><Relationship Id="rId556" Type="http://schemas.openxmlformats.org/officeDocument/2006/relationships/hyperlink" Target="https://m.media-amazon.com/images/I/51JrMWMAmnL._SX300_SY300_QL70_ML2_.jpg" TargetMode="External"/><Relationship Id="rId798" Type="http://schemas.openxmlformats.org/officeDocument/2006/relationships/hyperlink" Target="https://m.media-amazon.com/images/W/WEBP_402378-T1/images/I/516xGB5Bt+L._SY300_SX300_.jpg" TargetMode="External"/><Relationship Id="rId313" Type="http://schemas.openxmlformats.org/officeDocument/2006/relationships/hyperlink" Target="https://m.media-amazon.com/images/W/WEBP_402378-T1/images/I/31z9cuviPzL._SX300_SY300_QL70_FMwebp_.jpg" TargetMode="External"/><Relationship Id="rId555" Type="http://schemas.openxmlformats.org/officeDocument/2006/relationships/hyperlink" Target="https://m.media-amazon.com/images/I/4121yWSVFmL._SX300_SY300_QL70_ML2_.jpg" TargetMode="External"/><Relationship Id="rId797" Type="http://schemas.openxmlformats.org/officeDocument/2006/relationships/hyperlink" Target="https://m.media-amazon.com/images/I/41GogihEYeL._SX300_SY300_QL70_FMwebp_.jpg" TargetMode="External"/><Relationship Id="rId319" Type="http://schemas.openxmlformats.org/officeDocument/2006/relationships/hyperlink" Target="https://m.media-amazon.com/images/W/WEBP_402378-T2/images/I/31w1SSKA-tL._SX300_SY300_QL70_FMwebp_.jpg" TargetMode="External"/><Relationship Id="rId318" Type="http://schemas.openxmlformats.org/officeDocument/2006/relationships/hyperlink" Target="https://m.media-amazon.com/images/W/WEBP_402378-T1/images/I/41sA8PA31pL._SY300_SX300_QL70_FMwebp_.jpg" TargetMode="External"/><Relationship Id="rId317" Type="http://schemas.openxmlformats.org/officeDocument/2006/relationships/hyperlink" Target="https://m.media-amazon.com/images/W/WEBP_402378-T2/images/I/31WPRa-K7GL._SY445_SX342_QL70_FMwebp_.jpg" TargetMode="External"/><Relationship Id="rId559" Type="http://schemas.openxmlformats.org/officeDocument/2006/relationships/hyperlink" Target="https://m.media-amazon.com/images/I/31Hb9RGI+jL._SY300_SX300_.jpg" TargetMode="External"/><Relationship Id="rId1380" Type="http://schemas.openxmlformats.org/officeDocument/2006/relationships/hyperlink" Target="https://m.media-amazon.com/images/W/WEBP_402378-T2/images/I/31C71rcp+1L._SY300_SX300_.jpg" TargetMode="External"/><Relationship Id="rId550" Type="http://schemas.openxmlformats.org/officeDocument/2006/relationships/hyperlink" Target="https://m.media-amazon.com/images/I/41YwW+O-SKL._SY300_SX300_.jpg" TargetMode="External"/><Relationship Id="rId792" Type="http://schemas.openxmlformats.org/officeDocument/2006/relationships/hyperlink" Target="https://m.media-amazon.com/images/W/WEBP_402378-T1/images/I/41NF7VStoSL._SX300_SY300_QL70_FMwebp_.jpg" TargetMode="External"/><Relationship Id="rId1381" Type="http://schemas.openxmlformats.org/officeDocument/2006/relationships/hyperlink" Target="https://m.media-amazon.com/images/I/41EI+3OYGaL._SY300_SX300_.jpg" TargetMode="External"/><Relationship Id="rId791" Type="http://schemas.openxmlformats.org/officeDocument/2006/relationships/hyperlink" Target="https://m.media-amazon.com/images/I/41+vZl3dF7L._SY300_SX300_.jpg" TargetMode="External"/><Relationship Id="rId1140" Type="http://schemas.openxmlformats.org/officeDocument/2006/relationships/hyperlink" Target="https://m.media-amazon.com/images/W/WEBP_402378-T1/images/I/41ORNeJrRxL._SX300_SY300_QL70_FMwebp_.jpg" TargetMode="External"/><Relationship Id="rId1382" Type="http://schemas.openxmlformats.org/officeDocument/2006/relationships/hyperlink" Target="https://m.media-amazon.com/images/I/41cZE9HcRUL._SX300_SY300_QL70_FMwebp_.jpg" TargetMode="External"/><Relationship Id="rId790" Type="http://schemas.openxmlformats.org/officeDocument/2006/relationships/hyperlink" Target="https://m.media-amazon.com/images/I/31RlOXIcTYL._SX300_SY300_QL70_FMwebp_.jpg" TargetMode="External"/><Relationship Id="rId1141" Type="http://schemas.openxmlformats.org/officeDocument/2006/relationships/hyperlink" Target="https://m.media-amazon.com/images/I/411ipFfM1vL._SX300_SY300_QL70_FMwebp_.jpg" TargetMode="External"/><Relationship Id="rId1383" Type="http://schemas.openxmlformats.org/officeDocument/2006/relationships/hyperlink" Target="https://m.media-amazon.com/images/I/31Sh9NZmX-L._SX300_SY300_QL70_FMwebp_.jpg" TargetMode="External"/><Relationship Id="rId1142" Type="http://schemas.openxmlformats.org/officeDocument/2006/relationships/hyperlink" Target="https://m.media-amazon.com/images/I/41xQDop2T5L._SX300_SY300_QL70_FMwebp_.jpg" TargetMode="External"/><Relationship Id="rId1384" Type="http://schemas.openxmlformats.org/officeDocument/2006/relationships/hyperlink" Target="https://m.media-amazon.com/images/I/41+oy999w7L._SY300_SX300_.jpg" TargetMode="External"/><Relationship Id="rId312" Type="http://schemas.openxmlformats.org/officeDocument/2006/relationships/hyperlink" Target="https://m.media-amazon.com/images/I/4175g2Idd9L._SY445_SX342_QL70_FMwebp_.jpg" TargetMode="External"/><Relationship Id="rId554" Type="http://schemas.openxmlformats.org/officeDocument/2006/relationships/hyperlink" Target="https://m.media-amazon.com/images/I/41wlZ0cZChL._SX300_SY300_QL70_ML2_.jpg" TargetMode="External"/><Relationship Id="rId796" Type="http://schemas.openxmlformats.org/officeDocument/2006/relationships/hyperlink" Target="https://m.media-amazon.com/images/W/WEBP_402378-T2/images/I/21UKIwf0IVL._SX300_SY300_QL70_FMwebp_.jpg" TargetMode="External"/><Relationship Id="rId1143" Type="http://schemas.openxmlformats.org/officeDocument/2006/relationships/hyperlink" Target="https://m.media-amazon.com/images/I/41J7JQ+P7WL._SX300_SY300_.jpg" TargetMode="External"/><Relationship Id="rId1385" Type="http://schemas.openxmlformats.org/officeDocument/2006/relationships/hyperlink" Target="https://m.media-amazon.com/images/W/WEBP_402378-T2/images/I/417Fqdo6KJL._SX300_SY300_QL70_FMwebp_.jpg" TargetMode="External"/><Relationship Id="rId311" Type="http://schemas.openxmlformats.org/officeDocument/2006/relationships/hyperlink" Target="https://m.media-amazon.com/images/I/41bO-mGKk+L._SY300_SX300_.jpg" TargetMode="External"/><Relationship Id="rId553" Type="http://schemas.openxmlformats.org/officeDocument/2006/relationships/hyperlink" Target="https://m.media-amazon.com/images/I/41jmiwgyu8L._SX300_SY300_QL70_ML2_.jpg" TargetMode="External"/><Relationship Id="rId795" Type="http://schemas.openxmlformats.org/officeDocument/2006/relationships/hyperlink" Target="https://m.media-amazon.com/images/W/WEBP_402378-T1/images/I/316Q0fvU+2L._SY300_SX300_.jpg" TargetMode="External"/><Relationship Id="rId1144" Type="http://schemas.openxmlformats.org/officeDocument/2006/relationships/hyperlink" Target="https://m.media-amazon.com/images/I/41nBjnlp-ML._SY300_SX300_QL70_FMwebp_.jpg" TargetMode="External"/><Relationship Id="rId1386" Type="http://schemas.openxmlformats.org/officeDocument/2006/relationships/hyperlink" Target="https://m.media-amazon.com/images/W/WEBP_402378-T1/images/I/411S8WHOsXL._SX300_SY300_QL70_FMwebp_.jpg" TargetMode="External"/><Relationship Id="rId310" Type="http://schemas.openxmlformats.org/officeDocument/2006/relationships/hyperlink" Target="https://m.media-amazon.com/images/W/WEBP_402378-T2/images/I/51L+sZTCgzL._SY300_SX300_.jpg" TargetMode="External"/><Relationship Id="rId552" Type="http://schemas.openxmlformats.org/officeDocument/2006/relationships/hyperlink" Target="https://m.media-amazon.com/images/I/31S1zpNb8bL._SX300_SY300_QL70_ML2_.jpg" TargetMode="External"/><Relationship Id="rId794" Type="http://schemas.openxmlformats.org/officeDocument/2006/relationships/hyperlink" Target="https://m.media-amazon.com/images/W/WEBP_402378-T1/images/I/31iDEczWTWL._SX300_SY300_QL70_FMwebp_.jpg" TargetMode="External"/><Relationship Id="rId1145" Type="http://schemas.openxmlformats.org/officeDocument/2006/relationships/hyperlink" Target="https://m.media-amazon.com/images/I/41f4XKOolpL._SX300_SY300_QL70_FMwebp_.jpg" TargetMode="External"/><Relationship Id="rId1387" Type="http://schemas.openxmlformats.org/officeDocument/2006/relationships/hyperlink" Target="https://m.media-amazon.com/images/I/417VKyMXuYL._SX300_SY300_QL70_FMwebp_.jpg" TargetMode="External"/><Relationship Id="rId551" Type="http://schemas.openxmlformats.org/officeDocument/2006/relationships/hyperlink" Target="https://m.media-amazon.com/images/I/31M4nb0+JKL._SY300_SX300_.jpg" TargetMode="External"/><Relationship Id="rId793" Type="http://schemas.openxmlformats.org/officeDocument/2006/relationships/hyperlink" Target="https://m.media-amazon.com/images/W/WEBP_402378-T1/images/I/41bvBlmqDdL._SX300_SY300_QL70_FMwebp_.jpg" TargetMode="External"/><Relationship Id="rId1146" Type="http://schemas.openxmlformats.org/officeDocument/2006/relationships/hyperlink" Target="https://m.media-amazon.com/images/I/41+t2HWvwFL._SY300_SX300_.jpg" TargetMode="External"/><Relationship Id="rId1388" Type="http://schemas.openxmlformats.org/officeDocument/2006/relationships/hyperlink" Target="https://m.media-amazon.com/images/W/WEBP_402378-T1/images/I/31gRT7Gvw7L._SY300_SX300_QL70_FMwebp_.jpg" TargetMode="External"/><Relationship Id="rId297" Type="http://schemas.openxmlformats.org/officeDocument/2006/relationships/hyperlink" Target="https://m.media-amazon.com/images/W/WEBP_402378-T2/images/I/31dENZ1gQVL._SX300_SY300_QL70_FMwebp_.jpg" TargetMode="External"/><Relationship Id="rId296" Type="http://schemas.openxmlformats.org/officeDocument/2006/relationships/hyperlink" Target="https://m.media-amazon.com/images/I/512qfz0MI0L._SX300_SY300_QL70_FMwebp_.jpg" TargetMode="External"/><Relationship Id="rId295" Type="http://schemas.openxmlformats.org/officeDocument/2006/relationships/hyperlink" Target="https://m.media-amazon.com/images/W/WEBP_402378-T1/images/I/31bCliyezAL._SX300_SY300_QL70_FMwebp_.jpg" TargetMode="External"/><Relationship Id="rId294" Type="http://schemas.openxmlformats.org/officeDocument/2006/relationships/hyperlink" Target="https://m.media-amazon.com/images/I/41+BBk2fGcL._SX342_SY445_.jpg" TargetMode="External"/><Relationship Id="rId299" Type="http://schemas.openxmlformats.org/officeDocument/2006/relationships/hyperlink" Target="https://m.media-amazon.com/images/I/21rEkD8xxpL._SX300_SY300_QL70_FMwebp_.jpg" TargetMode="External"/><Relationship Id="rId298" Type="http://schemas.openxmlformats.org/officeDocument/2006/relationships/hyperlink" Target="https://m.media-amazon.com/images/I/31NDmmkm19L._SX300_SY300_QL70_FMwebp_.jpg" TargetMode="External"/><Relationship Id="rId271" Type="http://schemas.openxmlformats.org/officeDocument/2006/relationships/hyperlink" Target="https://m.media-amazon.com/images/I/51aFoI9nNZL._SY300_SX300_QL70_FMwebp_.jpg" TargetMode="External"/><Relationship Id="rId270" Type="http://schemas.openxmlformats.org/officeDocument/2006/relationships/hyperlink" Target="https://m.media-amazon.com/images/W/WEBP_402378-T1/images/I/41zEHNLyhKL._SX300_SY300_QL70_FMwebp_.jpg" TargetMode="External"/><Relationship Id="rId269" Type="http://schemas.openxmlformats.org/officeDocument/2006/relationships/hyperlink" Target="https://m.media-amazon.com/images/W/WEBP_402378-T2/images/I/315GvM3Qq6S._SX300_SY300_QL70_FMwebp_.jpg" TargetMode="External"/><Relationship Id="rId264" Type="http://schemas.openxmlformats.org/officeDocument/2006/relationships/hyperlink" Target="https://m.media-amazon.com/images/W/WEBP_402378-T2/images/I/315sEpeo50L._SX300_SY300_QL70_FMwebp_.jpg" TargetMode="External"/><Relationship Id="rId263" Type="http://schemas.openxmlformats.org/officeDocument/2006/relationships/hyperlink" Target="https://m.media-amazon.com/images/W/WEBP_402378-T2/images/I/31vIaLbBXmL._SY445_SX342_QL70_FMwebp_.jpg" TargetMode="External"/><Relationship Id="rId262" Type="http://schemas.openxmlformats.org/officeDocument/2006/relationships/hyperlink" Target="https://m.media-amazon.com/images/W/WEBP_402378-T1/images/I/41DXzzwydTL._SX300_SY300_QL70_FMwebp_.jpg" TargetMode="External"/><Relationship Id="rId261" Type="http://schemas.openxmlformats.org/officeDocument/2006/relationships/hyperlink" Target="https://m.media-amazon.com/images/I/41BIgj-8fML._SY300_SX300_QL70_FMwebp_.jpg" TargetMode="External"/><Relationship Id="rId268" Type="http://schemas.openxmlformats.org/officeDocument/2006/relationships/hyperlink" Target="https://m.media-amazon.com/images/I/41SxrTzMivL._SX300_SY300_QL70_FMwebp_.jpg" TargetMode="External"/><Relationship Id="rId267" Type="http://schemas.openxmlformats.org/officeDocument/2006/relationships/hyperlink" Target="https://m.media-amazon.com/images/W/WEBP_402378-T2/images/I/41wgqEfJy3L._SX300_SY300_QL70_FMwebp_.jpg" TargetMode="External"/><Relationship Id="rId266" Type="http://schemas.openxmlformats.org/officeDocument/2006/relationships/hyperlink" Target="https://m.media-amazon.com/images/W/WEBP_402378-T1/images/I/515t5K7hdqL._SY300_SX300_QL70_FMwebp_.jpg" TargetMode="External"/><Relationship Id="rId265" Type="http://schemas.openxmlformats.org/officeDocument/2006/relationships/hyperlink" Target="https://m.media-amazon.com/images/W/WEBP_402378-T2/images/I/31M+JM+KZIL._SY300_SX300_.jpg" TargetMode="External"/><Relationship Id="rId260" Type="http://schemas.openxmlformats.org/officeDocument/2006/relationships/hyperlink" Target="https://m.media-amazon.com/images/I/41jTlkBBf4L._SX300_SY300_QL70_FMwebp_.jpg" TargetMode="External"/><Relationship Id="rId259" Type="http://schemas.openxmlformats.org/officeDocument/2006/relationships/hyperlink" Target="https://m.media-amazon.com/images/W/WEBP_402378-T1/images/I/31mfWNStU9L._SX300_SY300_QL70_FMwebp_.jpg" TargetMode="External"/><Relationship Id="rId258" Type="http://schemas.openxmlformats.org/officeDocument/2006/relationships/hyperlink" Target="https://m.media-amazon.com/images/I/416qO6VZHgL._SX300_SY300_QL70_FMwebp_.jpg" TargetMode="External"/><Relationship Id="rId253" Type="http://schemas.openxmlformats.org/officeDocument/2006/relationships/hyperlink" Target="https://m.media-amazon.com/images/I/41Ft9wrU55L._SX300_SY300_QL70_FMwebp_.jpg" TargetMode="External"/><Relationship Id="rId495" Type="http://schemas.openxmlformats.org/officeDocument/2006/relationships/hyperlink" Target="https://m.media-amazon.com/images/I/31UUEYNOmCL._SX300_SY300_QL70_ML2_.jpg" TargetMode="External"/><Relationship Id="rId252" Type="http://schemas.openxmlformats.org/officeDocument/2006/relationships/hyperlink" Target="https://m.media-amazon.com/images/I/31c+W3iUSxL._SY300_SX300_.jpg" TargetMode="External"/><Relationship Id="rId494" Type="http://schemas.openxmlformats.org/officeDocument/2006/relationships/hyperlink" Target="https://m.media-amazon.com/images/I/31zFmy89TOL._SX300_SY300_QL70_ML2_.jpg" TargetMode="External"/><Relationship Id="rId251" Type="http://schemas.openxmlformats.org/officeDocument/2006/relationships/hyperlink" Target="https://m.media-amazon.com/images/I/31x9nSr-rqL._SY300_SX300_QL70_FMwebp_.jpg" TargetMode="External"/><Relationship Id="rId493" Type="http://schemas.openxmlformats.org/officeDocument/2006/relationships/hyperlink" Target="https://m.media-amazon.com/images/I/41BDYVKRmWL._SX300_SY300_QL70_ML2_.jpg" TargetMode="External"/><Relationship Id="rId250" Type="http://schemas.openxmlformats.org/officeDocument/2006/relationships/hyperlink" Target="https://m.media-amazon.com/images/I/51uVckL1jRL._SY300_SX300_QL70_FMwebp_.jpg" TargetMode="External"/><Relationship Id="rId492" Type="http://schemas.openxmlformats.org/officeDocument/2006/relationships/hyperlink" Target="https://m.media-amazon.com/images/I/41lf0N5STAL._SX300_SY300_QL70_ML2_.jpg" TargetMode="External"/><Relationship Id="rId257" Type="http://schemas.openxmlformats.org/officeDocument/2006/relationships/hyperlink" Target="https://m.media-amazon.com/images/I/41Bh7qwDUmL._SY445_SX342_QL70_FMwebp_.jpg" TargetMode="External"/><Relationship Id="rId499" Type="http://schemas.openxmlformats.org/officeDocument/2006/relationships/hyperlink" Target="https://m.media-amazon.com/images/I/41jna+YGP+L._SY300_SX300_.jpg" TargetMode="External"/><Relationship Id="rId256" Type="http://schemas.openxmlformats.org/officeDocument/2006/relationships/hyperlink" Target="https://m.media-amazon.com/images/W/WEBP_402378-T2/images/I/41pdZIhY+gL._SY300_SX300_.jpg" TargetMode="External"/><Relationship Id="rId498" Type="http://schemas.openxmlformats.org/officeDocument/2006/relationships/hyperlink" Target="https://m.media-amazon.com/images/I/41XUW74HLlL._SX300_SY300_QL70_ML2_.jpg" TargetMode="External"/><Relationship Id="rId255" Type="http://schemas.openxmlformats.org/officeDocument/2006/relationships/hyperlink" Target="https://m.media-amazon.com/images/I/41QvckgGiCL._SY300_SX300_QL70_FMwebp_.jpg" TargetMode="External"/><Relationship Id="rId497" Type="http://schemas.openxmlformats.org/officeDocument/2006/relationships/hyperlink" Target="https://m.media-amazon.com/images/I/41Bj3iYflTL._SX300_SY300_QL70_ML2_.jpg" TargetMode="External"/><Relationship Id="rId254" Type="http://schemas.openxmlformats.org/officeDocument/2006/relationships/hyperlink" Target="https://m.media-amazon.com/images/W/WEBP_402378-T1/images/I/31-ACQj+oDL._SY445_SX342_.jpg" TargetMode="External"/><Relationship Id="rId496" Type="http://schemas.openxmlformats.org/officeDocument/2006/relationships/hyperlink" Target="https://m.media-amazon.com/images/I/416+IXsM9lL._SY300_SX300_.jpg" TargetMode="External"/><Relationship Id="rId293" Type="http://schemas.openxmlformats.org/officeDocument/2006/relationships/hyperlink" Target="https://m.media-amazon.com/images/I/41uqZs26+oL._SY300_SX300_.jpg" TargetMode="External"/><Relationship Id="rId292" Type="http://schemas.openxmlformats.org/officeDocument/2006/relationships/hyperlink" Target="https://m.media-amazon.com/images/W/WEBP_402378-T2/images/I/41m1oMmTMCL._SX300_SY300_QL70_FMwebp_.jpg" TargetMode="External"/><Relationship Id="rId291" Type="http://schemas.openxmlformats.org/officeDocument/2006/relationships/hyperlink" Target="https://m.media-amazon.com/images/I/31jcyZIAWWL._SX300_SY300_QL70_FMwebp_.jpg" TargetMode="External"/><Relationship Id="rId290" Type="http://schemas.openxmlformats.org/officeDocument/2006/relationships/hyperlink" Target="https://m.media-amazon.com/images/W/WEBP_402378-T1/images/I/41AUgZQAs5L._SX300_SY300_QL70_FMwebp_.jpg" TargetMode="External"/><Relationship Id="rId286" Type="http://schemas.openxmlformats.org/officeDocument/2006/relationships/hyperlink" Target="https://m.media-amazon.com/images/W/WEBP_402378-T2/images/I/31XFe74gRjL._SX300_SY300_QL70_FMwebp_.jpg" TargetMode="External"/><Relationship Id="rId285" Type="http://schemas.openxmlformats.org/officeDocument/2006/relationships/hyperlink" Target="https://m.media-amazon.com/images/W/WEBP_402378-T1/images/I/41o4qDiFFwL._SX300_SY300_QL70_FMwebp_.jpg" TargetMode="External"/><Relationship Id="rId284" Type="http://schemas.openxmlformats.org/officeDocument/2006/relationships/hyperlink" Target="https://m.media-amazon.com/images/W/WEBP_402378-T2/images/I/51dOjIreG4L._SX300_SY300_QL70_FMwebp_.jpg" TargetMode="External"/><Relationship Id="rId283" Type="http://schemas.openxmlformats.org/officeDocument/2006/relationships/hyperlink" Target="https://m.media-amazon.com/images/W/WEBP_402378-T2/images/I/41Vpx5MVtaL._SY300_SX300_QL70_FMwebp_.jpg" TargetMode="External"/><Relationship Id="rId289" Type="http://schemas.openxmlformats.org/officeDocument/2006/relationships/hyperlink" Target="https://m.media-amazon.com/images/I/51xYKHUpdHL._SY300_SX300_QL70_FMwebp_.jpg" TargetMode="External"/><Relationship Id="rId288" Type="http://schemas.openxmlformats.org/officeDocument/2006/relationships/hyperlink" Target="https://m.media-amazon.com/images/I/41XgWuRRNFL._SX300_SY300_QL70_FMwebp_.jpg" TargetMode="External"/><Relationship Id="rId287" Type="http://schemas.openxmlformats.org/officeDocument/2006/relationships/hyperlink" Target="https://m.media-amazon.com/images/I/51eyIMn02bL._SX300_SY300_QL70_FMwebp_.jpg" TargetMode="External"/><Relationship Id="rId282" Type="http://schemas.openxmlformats.org/officeDocument/2006/relationships/hyperlink" Target="https://m.media-amazon.com/images/I/317Bv9KEltL._SX300_SY300_QL70_FMwebp_.jpg" TargetMode="External"/><Relationship Id="rId281" Type="http://schemas.openxmlformats.org/officeDocument/2006/relationships/hyperlink" Target="https://m.media-amazon.com/images/W/WEBP_402378-T2/images/I/51iQQPQSiGL._SX300_SY300_QL70_FMwebp_.jpg" TargetMode="External"/><Relationship Id="rId280" Type="http://schemas.openxmlformats.org/officeDocument/2006/relationships/hyperlink" Target="https://m.media-amazon.com/images/W/WEBP_402378-T2/images/I/31yPzs3mAlL._SX300_SY300_QL70_FMwebp_.jpg" TargetMode="External"/><Relationship Id="rId275" Type="http://schemas.openxmlformats.org/officeDocument/2006/relationships/hyperlink" Target="https://m.media-amazon.com/images/I/31x1oQ78mDL._SY300_SX300_QL70_FMwebp_.jpg" TargetMode="External"/><Relationship Id="rId274" Type="http://schemas.openxmlformats.org/officeDocument/2006/relationships/hyperlink" Target="https://m.media-amazon.com/images/W/WEBP_402378-T2/images/I/51HNUsgY29L._SY300_SX300_QL70_FMwebp_.jpg" TargetMode="External"/><Relationship Id="rId273" Type="http://schemas.openxmlformats.org/officeDocument/2006/relationships/hyperlink" Target="https://m.media-amazon.com/images/W/WEBP_402378-T1/images/I/41+tGYXUN8L._SX342_SY445_.jpg" TargetMode="External"/><Relationship Id="rId272" Type="http://schemas.openxmlformats.org/officeDocument/2006/relationships/hyperlink" Target="https://m.media-amazon.com/images/W/WEBP_402378-T1/images/I/41Zc-phmoEL._SX300_SY300_QL70_FMwebp_.jpg" TargetMode="External"/><Relationship Id="rId279" Type="http://schemas.openxmlformats.org/officeDocument/2006/relationships/hyperlink" Target="https://m.media-amazon.com/images/W/WEBP_402378-T2/images/I/41giUEJJGDL._SY300_SX300_QL70_FMwebp_.jpg" TargetMode="External"/><Relationship Id="rId278" Type="http://schemas.openxmlformats.org/officeDocument/2006/relationships/hyperlink" Target="https://m.media-amazon.com/images/I/21pqzUPpJNL._SY300_SX300_QL70_FMwebp_.jpg" TargetMode="External"/><Relationship Id="rId277" Type="http://schemas.openxmlformats.org/officeDocument/2006/relationships/hyperlink" Target="https://m.media-amazon.com/images/W/WEBP_402378-T1/images/I/41Y9XnzBHTL._SY300_SX300_QL70_FMwebp_.jpg" TargetMode="External"/><Relationship Id="rId276" Type="http://schemas.openxmlformats.org/officeDocument/2006/relationships/hyperlink" Target="https://m.media-amazon.com/images/W/WEBP_402378-T1/images/I/31GCzAA+FyL._SY300_SX300_.jpg" TargetMode="External"/><Relationship Id="rId907" Type="http://schemas.openxmlformats.org/officeDocument/2006/relationships/hyperlink" Target="https://m.media-amazon.com/images/I/31eE6slx4EL._SX300_SY300_QL70_FMwebp_.jpg" TargetMode="External"/><Relationship Id="rId906" Type="http://schemas.openxmlformats.org/officeDocument/2006/relationships/hyperlink" Target="https://m.media-amazon.com/images/W/WEBP_402378-T2/images/I/312ne4gFX+L._SY300_SX300_.jpg" TargetMode="External"/><Relationship Id="rId905" Type="http://schemas.openxmlformats.org/officeDocument/2006/relationships/hyperlink" Target="https://m.media-amazon.com/images/I/31TDc727hUL._SX300_SY300_QL70_FMwebp_.jpg" TargetMode="External"/><Relationship Id="rId904" Type="http://schemas.openxmlformats.org/officeDocument/2006/relationships/hyperlink" Target="https://m.media-amazon.com/images/I/419w6FnCr2L._SX300_SY300_QL70_FMwebp_.jpg" TargetMode="External"/><Relationship Id="rId909" Type="http://schemas.openxmlformats.org/officeDocument/2006/relationships/hyperlink" Target="https://m.media-amazon.com/images/I/41rbKciLrcL._SX300_SY300_QL70_FMwebp_.jpg" TargetMode="External"/><Relationship Id="rId908" Type="http://schemas.openxmlformats.org/officeDocument/2006/relationships/hyperlink" Target="https://m.media-amazon.com/images/I/41nRBNNDnNL._SX300_SY300_QL70_FMwebp_.jpg" TargetMode="External"/><Relationship Id="rId903" Type="http://schemas.openxmlformats.org/officeDocument/2006/relationships/hyperlink" Target="https://m.media-amazon.com/images/I/31R3Qf2nO0L._SX300_SY300_QL70_FMwebp_.jpg" TargetMode="External"/><Relationship Id="rId902" Type="http://schemas.openxmlformats.org/officeDocument/2006/relationships/hyperlink" Target="https://m.media-amazon.com/images/I/31Oj5BsHwdL._SX300_SY300_QL70_FMwebp_.jpg" TargetMode="External"/><Relationship Id="rId901" Type="http://schemas.openxmlformats.org/officeDocument/2006/relationships/hyperlink" Target="https://m.media-amazon.com/images/W/WEBP_402378-T2/images/I/41FrpTwOndL._SX300_SY300_QL70_FMwebp_.jpg" TargetMode="External"/><Relationship Id="rId900" Type="http://schemas.openxmlformats.org/officeDocument/2006/relationships/hyperlink" Target="https://m.media-amazon.com/images/I/31c2Mxy32-L._SX300_SY300_QL70_FMwebp_.jpg" TargetMode="External"/><Relationship Id="rId929" Type="http://schemas.openxmlformats.org/officeDocument/2006/relationships/hyperlink" Target="https://m.media-amazon.com/images/I/31pQZsxPR4L._SX300_SY300_QL70_FMwebp_.jpg" TargetMode="External"/><Relationship Id="rId928" Type="http://schemas.openxmlformats.org/officeDocument/2006/relationships/hyperlink" Target="https://m.media-amazon.com/images/W/WEBP_402378-T2/images/I/51cqrmW48+L._SY300_SX300_.jpg" TargetMode="External"/><Relationship Id="rId927" Type="http://schemas.openxmlformats.org/officeDocument/2006/relationships/hyperlink" Target="https://m.media-amazon.com/images/I/4148+QSBxXL._SY300_SX300_.jpg" TargetMode="External"/><Relationship Id="rId926" Type="http://schemas.openxmlformats.org/officeDocument/2006/relationships/hyperlink" Target="https://m.media-amazon.com/images/W/WEBP_402378-T2/images/I/313uqx3djjL._SX300_SY300_QL70_FMwebp_.jpg" TargetMode="External"/><Relationship Id="rId921" Type="http://schemas.openxmlformats.org/officeDocument/2006/relationships/hyperlink" Target="https://m.media-amazon.com/images/W/WEBP_402378-T1/images/I/41ltzaHXvRL._SY300_SX300_QL70_FMwebp_.jpg" TargetMode="External"/><Relationship Id="rId920" Type="http://schemas.openxmlformats.org/officeDocument/2006/relationships/hyperlink" Target="https://m.media-amazon.com/images/W/WEBP_402378-T2/images/I/41zNLdERuiL._SX300_SY300_QL70_FMwebp_.jpg" TargetMode="External"/><Relationship Id="rId925" Type="http://schemas.openxmlformats.org/officeDocument/2006/relationships/hyperlink" Target="https://m.media-amazon.com/images/I/41rJGx-w9iL._SX300_SY300_QL70_FMwebp_.jpg" TargetMode="External"/><Relationship Id="rId924" Type="http://schemas.openxmlformats.org/officeDocument/2006/relationships/hyperlink" Target="https://m.media-amazon.com/images/W/WEBP_402378-T1/images/I/31A6Arm+F7L._SY300_SX300_.jpg" TargetMode="External"/><Relationship Id="rId923" Type="http://schemas.openxmlformats.org/officeDocument/2006/relationships/hyperlink" Target="https://m.media-amazon.com/images/I/417vDmMtbpL._SY300_SX300_QL70_FMwebp_.jpg" TargetMode="External"/><Relationship Id="rId922" Type="http://schemas.openxmlformats.org/officeDocument/2006/relationships/hyperlink" Target="https://m.media-amazon.com/images/W/WEBP_402378-T1/images/I/31Z02dwnKfL._SY300_SX300_QL70_FMwebp_.jpg" TargetMode="External"/><Relationship Id="rId918" Type="http://schemas.openxmlformats.org/officeDocument/2006/relationships/hyperlink" Target="https://m.media-amazon.com/images/I/51VIQVc-6XL._SX300_SY300_QL70_FMwebp_.jpg" TargetMode="External"/><Relationship Id="rId917" Type="http://schemas.openxmlformats.org/officeDocument/2006/relationships/hyperlink" Target="https://m.media-amazon.com/images/I/31IO--RzGbL._SX300_SY300_QL70_FMwebp_.jpg" TargetMode="External"/><Relationship Id="rId916" Type="http://schemas.openxmlformats.org/officeDocument/2006/relationships/hyperlink" Target="https://m.media-amazon.com/images/W/WEBP_402378-T1/images/I/413ZmbHlAKL._SX300_SY300_QL70_FMwebp_.jpg" TargetMode="External"/><Relationship Id="rId915" Type="http://schemas.openxmlformats.org/officeDocument/2006/relationships/hyperlink" Target="https://m.media-amazon.com/images/I/317cwpkk1-L._SX300_SY300_QL70_FMwebp_.jpg" TargetMode="External"/><Relationship Id="rId919" Type="http://schemas.openxmlformats.org/officeDocument/2006/relationships/hyperlink" Target="https://m.media-amazon.com/images/W/WEBP_402378-T2/images/I/41zejggGzLL._SX300_SY300_QL70_FMwebp_.jpg" TargetMode="External"/><Relationship Id="rId910" Type="http://schemas.openxmlformats.org/officeDocument/2006/relationships/hyperlink" Target="https://m.media-amazon.com/images/I/41fuAckaI7L._SX300_SY300_QL70_FMwebp_.jpg" TargetMode="External"/><Relationship Id="rId914" Type="http://schemas.openxmlformats.org/officeDocument/2006/relationships/hyperlink" Target="https://m.media-amazon.com/images/W/WEBP_402378-T1/images/I/41SqfLI2FuL._SX300_SY300_QL70_FMwebp_.jpg" TargetMode="External"/><Relationship Id="rId913" Type="http://schemas.openxmlformats.org/officeDocument/2006/relationships/hyperlink" Target="https://m.media-amazon.com/images/W/WEBP_402378-T2/images/I/317pd1KDJpL._SX300_SY300_QL70_FMwebp_.jpg" TargetMode="External"/><Relationship Id="rId912" Type="http://schemas.openxmlformats.org/officeDocument/2006/relationships/hyperlink" Target="https://m.media-amazon.com/images/I/31flGUWUY9L._SX300_SY300_QL70_FMwebp_.jpg" TargetMode="External"/><Relationship Id="rId911" Type="http://schemas.openxmlformats.org/officeDocument/2006/relationships/hyperlink" Target="https://m.media-amazon.com/images/I/41YBVJ+UTxL._SY300_SX300_.jpg" TargetMode="External"/><Relationship Id="rId1213" Type="http://schemas.openxmlformats.org/officeDocument/2006/relationships/hyperlink" Target="https://m.media-amazon.com/images/I/31B24fjfiTL._SX300_SY300_QL70_FMwebp_.jpg" TargetMode="External"/><Relationship Id="rId1455" Type="http://schemas.openxmlformats.org/officeDocument/2006/relationships/hyperlink" Target="https://m.media-amazon.com/images/W/WEBP_402378-T2/images/I/51WNhYBloRL._SY300_SX300_QL70_FMwebp_.jpg" TargetMode="External"/><Relationship Id="rId1214" Type="http://schemas.openxmlformats.org/officeDocument/2006/relationships/hyperlink" Target="https://m.media-amazon.com/images/W/WEBP_402378-T2/images/I/418ML1Yn1cL._SX300_SY300_QL70_FMwebp_.jpg" TargetMode="External"/><Relationship Id="rId1456" Type="http://schemas.openxmlformats.org/officeDocument/2006/relationships/hyperlink" Target="https://m.media-amazon.com/images/W/WEBP_402378-T1/images/I/41lsUHKNfSL._SY300_SX300_QL70_FMwebp_.jpg" TargetMode="External"/><Relationship Id="rId1215" Type="http://schemas.openxmlformats.org/officeDocument/2006/relationships/hyperlink" Target="https://m.media-amazon.com/images/I/41+HYuF5ToL._SY300_SX300_.jpg" TargetMode="External"/><Relationship Id="rId1457" Type="http://schemas.openxmlformats.org/officeDocument/2006/relationships/hyperlink" Target="https://m.media-amazon.com/images/W/WEBP_402378-T1/images/I/41KMMCNMM1L._SX300_SY300_QL70_FMwebp_.jpg" TargetMode="External"/><Relationship Id="rId1216" Type="http://schemas.openxmlformats.org/officeDocument/2006/relationships/hyperlink" Target="https://m.media-amazon.com/images/I/41FTyQVamFL._SX300_SY300_QL70_FMwebp_.jpg" TargetMode="External"/><Relationship Id="rId1458" Type="http://schemas.openxmlformats.org/officeDocument/2006/relationships/hyperlink" Target="https://m.media-amazon.com/images/I/41JyZuDzDgL._SX300_SY300_QL70_FMwebp_.jpg" TargetMode="External"/><Relationship Id="rId1217" Type="http://schemas.openxmlformats.org/officeDocument/2006/relationships/hyperlink" Target="https://m.media-amazon.com/images/W/WEBP_402378-T2/images/I/51qZekzGLxL._SX300_SY300_QL70_FMwebp_.jpg" TargetMode="External"/><Relationship Id="rId1459" Type="http://schemas.openxmlformats.org/officeDocument/2006/relationships/hyperlink" Target="https://m.media-amazon.com/images/I/51GEjZAmNRL._SX300_SY300_QL70_FMwebp_.jpg" TargetMode="External"/><Relationship Id="rId1218" Type="http://schemas.openxmlformats.org/officeDocument/2006/relationships/hyperlink" Target="https://m.media-amazon.com/images/W/WEBP_402378-T1/images/I/41YlkgRwHVL._SX300_SY300_QL70_FMwebp_.jpg" TargetMode="External"/><Relationship Id="rId1219" Type="http://schemas.openxmlformats.org/officeDocument/2006/relationships/hyperlink" Target="https://m.media-amazon.com/images/I/41C6ocE26pL._SX300_SY300_QL70_FMwebp_.jpg" TargetMode="External"/><Relationship Id="rId629" Type="http://schemas.openxmlformats.org/officeDocument/2006/relationships/hyperlink" Target="https://m.media-amazon.com/images/W/WEBP_402378-T1/images/I/41V5FtEWPkL._SX300_SY300_QL70_FMwebp_.jpg" TargetMode="External"/><Relationship Id="rId624" Type="http://schemas.openxmlformats.org/officeDocument/2006/relationships/hyperlink" Target="https://m.media-amazon.com/images/W/WEBP_402378-T1/images/I/31IvNJZnmdL._SY445_SX342_QL70_FMwebp_.jpg" TargetMode="External"/><Relationship Id="rId866" Type="http://schemas.openxmlformats.org/officeDocument/2006/relationships/hyperlink" Target="https://m.media-amazon.com/images/W/WEBP_402378-T2/images/I/415mk3uip9L._SX300_SY300_QL70_FMwebp_.jpg" TargetMode="External"/><Relationship Id="rId623" Type="http://schemas.openxmlformats.org/officeDocument/2006/relationships/hyperlink" Target="https://m.media-amazon.com/images/W/WEBP_402378-T2/images/I/31zOsqQOAOL._SY445_SX342_QL70_FMwebp_.jpg" TargetMode="External"/><Relationship Id="rId865" Type="http://schemas.openxmlformats.org/officeDocument/2006/relationships/hyperlink" Target="https://m.media-amazon.com/images/W/WEBP_402378-T1/images/I/41x8yDAjWJL._SX300_SY300_QL70_FMwebp_.jpg" TargetMode="External"/><Relationship Id="rId622" Type="http://schemas.openxmlformats.org/officeDocument/2006/relationships/hyperlink" Target="https://m.media-amazon.com/images/W/WEBP_402378-T1/images/I/415yl0HeDQL._SY300_SX300_QL70_FMwebp_.jpg" TargetMode="External"/><Relationship Id="rId864" Type="http://schemas.openxmlformats.org/officeDocument/2006/relationships/hyperlink" Target="https://m.media-amazon.com/images/W/WEBP_402378-T1/images/I/41xQ7QVZMSL._SY300_SX300_QL70_FMwebp_.jpg" TargetMode="External"/><Relationship Id="rId621" Type="http://schemas.openxmlformats.org/officeDocument/2006/relationships/hyperlink" Target="https://m.media-amazon.com/images/I/41dNRo8Hu8L._SX300_SY300_QL70_FMwebp_.jpg" TargetMode="External"/><Relationship Id="rId863" Type="http://schemas.openxmlformats.org/officeDocument/2006/relationships/hyperlink" Target="https://m.media-amazon.com/images/W/WEBP_402378-T1/images/I/410jqIm0YoL._SX300_SY300_QL70_FMwebp_.jpg" TargetMode="External"/><Relationship Id="rId628" Type="http://schemas.openxmlformats.org/officeDocument/2006/relationships/hyperlink" Target="https://m.media-amazon.com/images/I/31HWJqJdtjL._SX300_SY300_QL70_FMwebp_.jpg" TargetMode="External"/><Relationship Id="rId627" Type="http://schemas.openxmlformats.org/officeDocument/2006/relationships/hyperlink" Target="https://m.media-amazon.com/images/W/WEBP_402378-T1/images/I/31XFxTn1DCL._SX300_SY300_QL70_FMwebp_.jpg" TargetMode="External"/><Relationship Id="rId869" Type="http://schemas.openxmlformats.org/officeDocument/2006/relationships/hyperlink" Target="https://m.media-amazon.com/images/W/WEBP_402378-T2/images/I/51fhn5ex+GL._SY300_SX300_.jpg" TargetMode="External"/><Relationship Id="rId626" Type="http://schemas.openxmlformats.org/officeDocument/2006/relationships/hyperlink" Target="https://m.media-amazon.com/images/I/41igriVLabS._SX300_SY300_QL70_FMwebp_.jpg" TargetMode="External"/><Relationship Id="rId868" Type="http://schemas.openxmlformats.org/officeDocument/2006/relationships/hyperlink" Target="https://m.media-amazon.com/images/W/WEBP_402378-T1/images/I/31nIcqmP0zL._SX300_SY300_QL70_FMwebp_.jpg" TargetMode="External"/><Relationship Id="rId625" Type="http://schemas.openxmlformats.org/officeDocument/2006/relationships/hyperlink" Target="https://m.media-amazon.com/images/I/413x7j3Z30L._SX300_SY300_QL70_FMwebp_.jpg" TargetMode="External"/><Relationship Id="rId867" Type="http://schemas.openxmlformats.org/officeDocument/2006/relationships/hyperlink" Target="https://m.media-amazon.com/images/I/31fORCrbSJL._SX300_SY300_QL70_FMwebp_.jpg" TargetMode="External"/><Relationship Id="rId1450" Type="http://schemas.openxmlformats.org/officeDocument/2006/relationships/hyperlink" Target="https://m.media-amazon.com/images/I/41n90w1dlJL._SY445_SX342_QL70_FMwebp_.jpg" TargetMode="External"/><Relationship Id="rId620" Type="http://schemas.openxmlformats.org/officeDocument/2006/relationships/hyperlink" Target="https://m.media-amazon.com/images/I/41r1d8a2WGL._SX300_SY300_QL70_FMwebp_.jpg" TargetMode="External"/><Relationship Id="rId862" Type="http://schemas.openxmlformats.org/officeDocument/2006/relationships/hyperlink" Target="https://m.media-amazon.com/images/W/WEBP_402378-T1/images/I/31I1oK5hM1L._SY300_SX300_QL70_FMwebp_.jpg" TargetMode="External"/><Relationship Id="rId1451" Type="http://schemas.openxmlformats.org/officeDocument/2006/relationships/hyperlink" Target="https://m.media-amazon.com/images/I/41wOaCtfCZL._SY300_SX300_QL70_FMwebp_.jpg" TargetMode="External"/><Relationship Id="rId861" Type="http://schemas.openxmlformats.org/officeDocument/2006/relationships/hyperlink" Target="https://m.media-amazon.com/images/W/WEBP_402378-T1/images/I/411dgEJpANL._SX300_SY300_QL70_FMwebp_.jpg" TargetMode="External"/><Relationship Id="rId1210" Type="http://schemas.openxmlformats.org/officeDocument/2006/relationships/hyperlink" Target="https://m.media-amazon.com/images/W/WEBP_402378-T2/images/I/411ZPXAMTlL._SY300_SX300_QL70_FMwebp_.jpg" TargetMode="External"/><Relationship Id="rId1452" Type="http://schemas.openxmlformats.org/officeDocument/2006/relationships/hyperlink" Target="https://m.media-amazon.com/images/W/WEBP_402378-T1/images/I/31gr8xzOhEL._SX300_SY300_QL70_FMwebp_.jpg" TargetMode="External"/><Relationship Id="rId860" Type="http://schemas.openxmlformats.org/officeDocument/2006/relationships/hyperlink" Target="https://m.media-amazon.com/images/W/WEBP_402378-T1/images/I/41akwKtryWL._SX300_SY300_QL70_FMwebp_.jpg" TargetMode="External"/><Relationship Id="rId1211" Type="http://schemas.openxmlformats.org/officeDocument/2006/relationships/hyperlink" Target="https://m.media-amazon.com/images/I/31Gulp0B-0L._SX300_SY300_QL70_FMwebp_.jpg" TargetMode="External"/><Relationship Id="rId1453" Type="http://schemas.openxmlformats.org/officeDocument/2006/relationships/hyperlink" Target="https://m.media-amazon.com/images/I/51HzkPoNUzL._SX300_SY300_QL70_FMwebp_.jpg" TargetMode="External"/><Relationship Id="rId1212" Type="http://schemas.openxmlformats.org/officeDocument/2006/relationships/hyperlink" Target="https://m.media-amazon.com/images/I/519LLyO+jtL._SY300_SX300_.jpg" TargetMode="External"/><Relationship Id="rId1454" Type="http://schemas.openxmlformats.org/officeDocument/2006/relationships/hyperlink" Target="https://m.media-amazon.com/images/W/WEBP_402378-T1/images/I/41UHdKluMBL._SY300_SX300_QL70_FMwebp_.jpg" TargetMode="External"/><Relationship Id="rId1202" Type="http://schemas.openxmlformats.org/officeDocument/2006/relationships/hyperlink" Target="https://m.media-amazon.com/images/W/WEBP_402378-T2/images/I/41t3WVUlRmL._SX300_SY300_QL70_FMwebp_.jpg" TargetMode="External"/><Relationship Id="rId1444" Type="http://schemas.openxmlformats.org/officeDocument/2006/relationships/hyperlink" Target="https://m.media-amazon.com/images/I/41d7YWtyLCL._SX300_SY300_QL70_FMwebp_.jpg" TargetMode="External"/><Relationship Id="rId1203" Type="http://schemas.openxmlformats.org/officeDocument/2006/relationships/hyperlink" Target="https://m.media-amazon.com/images/W/WEBP_402378-T2/images/I/21SHZOWOynL._SX300_SY300_QL70_FMwebp_.jpg" TargetMode="External"/><Relationship Id="rId1445" Type="http://schemas.openxmlformats.org/officeDocument/2006/relationships/hyperlink" Target="https://m.media-amazon.com/images/W/WEBP_402378-T2/images/I/51M0UevRosL._SY300_SX300_QL70_FMwebp_.jpg" TargetMode="External"/><Relationship Id="rId1204" Type="http://schemas.openxmlformats.org/officeDocument/2006/relationships/hyperlink" Target="https://m.media-amazon.com/images/I/419vF7uEFEL._SX300_SY300_QL70_FMwebp_.jpg" TargetMode="External"/><Relationship Id="rId1446" Type="http://schemas.openxmlformats.org/officeDocument/2006/relationships/hyperlink" Target="https://m.media-amazon.com/images/I/41zyYoNFiGL._SX300_SY300_QL70_FMwebp_.jpg" TargetMode="External"/><Relationship Id="rId1205" Type="http://schemas.openxmlformats.org/officeDocument/2006/relationships/hyperlink" Target="https://m.media-amazon.com/images/W/WEBP_402378-T1/images/I/41JnGOKI2dL._SX300_SY300_QL70_FMwebp_.jpg" TargetMode="External"/><Relationship Id="rId1447" Type="http://schemas.openxmlformats.org/officeDocument/2006/relationships/hyperlink" Target="https://m.media-amazon.com/images/W/WEBP_402378-T1/images/I/51eq6GwXn-L._SX300_SY300_QL70_FMwebp_.jpg" TargetMode="External"/><Relationship Id="rId1206" Type="http://schemas.openxmlformats.org/officeDocument/2006/relationships/hyperlink" Target="https://m.media-amazon.com/images/I/414JLnTlLnL._SY300_SX300_QL70_FMwebp_.jpg" TargetMode="External"/><Relationship Id="rId1448" Type="http://schemas.openxmlformats.org/officeDocument/2006/relationships/hyperlink" Target="https://m.media-amazon.com/images/W/WEBP_402378-T2/images/I/310sR2giQrL._SX300_SY300_QL70_FMwebp_.jpg" TargetMode="External"/><Relationship Id="rId1207" Type="http://schemas.openxmlformats.org/officeDocument/2006/relationships/hyperlink" Target="https://m.media-amazon.com/images/W/WEBP_402378-T1/images/I/41LKiR8QpwL._SX300_SY300_QL70_FMwebp_.jpg" TargetMode="External"/><Relationship Id="rId1449" Type="http://schemas.openxmlformats.org/officeDocument/2006/relationships/hyperlink" Target="https://m.media-amazon.com/images/W/WEBP_402378-T2/images/I/21JwUdnWL4L._SX300_SY300_QL70_FMwebp_.jpg" TargetMode="External"/><Relationship Id="rId1208" Type="http://schemas.openxmlformats.org/officeDocument/2006/relationships/hyperlink" Target="https://m.media-amazon.com/images/W/WEBP_402378-T1/images/I/41sKyiPWzAL._SX300_SY300_QL70_FMwebp_.jpg" TargetMode="External"/><Relationship Id="rId1209" Type="http://schemas.openxmlformats.org/officeDocument/2006/relationships/hyperlink" Target="https://m.media-amazon.com/images/I/41Dp3g8y8sL._SX300_SY300_QL70_FMwebp_.jpg" TargetMode="External"/><Relationship Id="rId619" Type="http://schemas.openxmlformats.org/officeDocument/2006/relationships/hyperlink" Target="https://m.media-amazon.com/images/I/31RiDkNjpjS._SX300_SY300_QL70_FMwebp_.jpg" TargetMode="External"/><Relationship Id="rId618" Type="http://schemas.openxmlformats.org/officeDocument/2006/relationships/hyperlink" Target="https://m.media-amazon.com/images/W/WEBP_402378-T2/images/I/41BeawIQB5L._SX300_SY300_QL70_FMwebp_.jpg" TargetMode="External"/><Relationship Id="rId613" Type="http://schemas.openxmlformats.org/officeDocument/2006/relationships/hyperlink" Target="https://m.media-amazon.com/images/I/31z5b7RYc2L._SX300_SY300_QL70_FMwebp_.jpg" TargetMode="External"/><Relationship Id="rId855" Type="http://schemas.openxmlformats.org/officeDocument/2006/relationships/hyperlink" Target="https://m.media-amazon.com/images/I/41q7jfLMl3L._SY300_SX300_QL70_FMwebp_.jpg" TargetMode="External"/><Relationship Id="rId612" Type="http://schemas.openxmlformats.org/officeDocument/2006/relationships/hyperlink" Target="https://m.media-amazon.com/images/I/41Mce3f9faL._SX300_SY300_QL70_FMwebp_.jpg" TargetMode="External"/><Relationship Id="rId854" Type="http://schemas.openxmlformats.org/officeDocument/2006/relationships/hyperlink" Target="https://m.media-amazon.com/images/I/31DstM4dQ8L._SX300_SY300_QL70_FMwebp_.jpg" TargetMode="External"/><Relationship Id="rId611" Type="http://schemas.openxmlformats.org/officeDocument/2006/relationships/hyperlink" Target="https://m.media-amazon.com/images/W/WEBP_402378-T1/images/I/4178Hx01kZL._SY300_SX300_QL70_FMwebp_.jpg" TargetMode="External"/><Relationship Id="rId853" Type="http://schemas.openxmlformats.org/officeDocument/2006/relationships/hyperlink" Target="https://m.media-amazon.com/images/I/4101vlzySzL._SY300_SX300_QL70_FMwebp_.jpg" TargetMode="External"/><Relationship Id="rId610" Type="http://schemas.openxmlformats.org/officeDocument/2006/relationships/hyperlink" Target="https://m.media-amazon.com/images/I/31DbAD6EoCL._SX300_SY300_QL70_FMwebp_.jpg" TargetMode="External"/><Relationship Id="rId852" Type="http://schemas.openxmlformats.org/officeDocument/2006/relationships/hyperlink" Target="https://m.media-amazon.com/images/I/41v5BQZzfAL._SX300_SY300_QL70_FMwebp_.jpg" TargetMode="External"/><Relationship Id="rId617" Type="http://schemas.openxmlformats.org/officeDocument/2006/relationships/hyperlink" Target="https://m.media-amazon.com/images/W/WEBP_402378-T2/images/I/414BHyTttvL._SX300_SY300_QL70_FMwebp_.jpg" TargetMode="External"/><Relationship Id="rId859" Type="http://schemas.openxmlformats.org/officeDocument/2006/relationships/hyperlink" Target="https://m.media-amazon.com/images/I/31pJvN8OkSL._SX300_SY300_QL70_FMwebp_.jpg" TargetMode="External"/><Relationship Id="rId616" Type="http://schemas.openxmlformats.org/officeDocument/2006/relationships/hyperlink" Target="https://m.media-amazon.com/images/W/WEBP_402378-T2/images/I/415nVOD7bWL._SX300_SY300_QL70_FMwebp_.jpg" TargetMode="External"/><Relationship Id="rId858" Type="http://schemas.openxmlformats.org/officeDocument/2006/relationships/hyperlink" Target="https://m.media-amazon.com/images/W/WEBP_402378-T2/images/I/41CnR1WhD3L._SX300_SY300_QL70_FMwebp_.jpg" TargetMode="External"/><Relationship Id="rId615" Type="http://schemas.openxmlformats.org/officeDocument/2006/relationships/hyperlink" Target="https://m.media-amazon.com/images/W/WEBP_402378-T2/images/I/51UsScvHQNL._SX300_SY300_QL70_FMwebp_.jpg" TargetMode="External"/><Relationship Id="rId857" Type="http://schemas.openxmlformats.org/officeDocument/2006/relationships/hyperlink" Target="https://m.media-amazon.com/images/W/WEBP_402378-T2/images/I/31MDFikz-wL._SX300_SY300_QL70_FMwebp_.jpg" TargetMode="External"/><Relationship Id="rId614" Type="http://schemas.openxmlformats.org/officeDocument/2006/relationships/hyperlink" Target="https://m.media-amazon.com/images/I/41UYenF+lnL._SX300_SY300_.jpg" TargetMode="External"/><Relationship Id="rId856" Type="http://schemas.openxmlformats.org/officeDocument/2006/relationships/hyperlink" Target="https://m.media-amazon.com/images/I/31aJNyKmGHL._SX300_SY300_QL70_FMwebp_.jpg" TargetMode="External"/><Relationship Id="rId851" Type="http://schemas.openxmlformats.org/officeDocument/2006/relationships/hyperlink" Target="https://m.media-amazon.com/images/I/410DCX0vt4L._SX300_SY300_QL70_FMwebp_.jpg" TargetMode="External"/><Relationship Id="rId1440" Type="http://schemas.openxmlformats.org/officeDocument/2006/relationships/hyperlink" Target="https://m.media-amazon.com/images/I/418vOzm6DZL._SX300_SY300_QL70_FMwebp_.jpg" TargetMode="External"/><Relationship Id="rId850" Type="http://schemas.openxmlformats.org/officeDocument/2006/relationships/hyperlink" Target="https://m.media-amazon.com/images/I/51LTAUNKg9L._SX300_SY300_QL70_FMwebp_.jpg" TargetMode="External"/><Relationship Id="rId1441" Type="http://schemas.openxmlformats.org/officeDocument/2006/relationships/hyperlink" Target="https://m.media-amazon.com/images/I/310wgAGevYL._SY445_SX342_QL70_FMwebp_.jpg" TargetMode="External"/><Relationship Id="rId1200" Type="http://schemas.openxmlformats.org/officeDocument/2006/relationships/hyperlink" Target="https://m.media-amazon.com/images/I/51YNXPOgNML._SX300_SY300_QL70_FMwebp_.jpg" TargetMode="External"/><Relationship Id="rId1442" Type="http://schemas.openxmlformats.org/officeDocument/2006/relationships/hyperlink" Target="https://m.media-amazon.com/images/W/WEBP_402378-T2/images/I/414WPLTqm0L._SX300_SY300_QL70_FMwebp_.jpg" TargetMode="External"/><Relationship Id="rId1201" Type="http://schemas.openxmlformats.org/officeDocument/2006/relationships/hyperlink" Target="https://m.media-amazon.com/images/W/WEBP_402378-T1/images/I/41V4DpKc7sL._SX300_SY300_QL70_FMwebp_.jpg" TargetMode="External"/><Relationship Id="rId1443" Type="http://schemas.openxmlformats.org/officeDocument/2006/relationships/hyperlink" Target="https://m.media-amazon.com/images/W/WEBP_402378-T2/images/I/31RpzeqSq3L._SX300_SY300_QL70_FMwebp_.jpg" TargetMode="External"/><Relationship Id="rId1235" Type="http://schemas.openxmlformats.org/officeDocument/2006/relationships/hyperlink" Target="https://m.media-amazon.com/images/W/WEBP_402378-T2/images/I/317ja9m3iHL._SX300_SY300_QL70_FMwebp_.jpg" TargetMode="External"/><Relationship Id="rId1236" Type="http://schemas.openxmlformats.org/officeDocument/2006/relationships/hyperlink" Target="https://m.media-amazon.com/images/W/WEBP_402378-T2/images/I/41svI04SS1L._SX300_SY300_QL70_FMwebp_.jpg" TargetMode="External"/><Relationship Id="rId1237" Type="http://schemas.openxmlformats.org/officeDocument/2006/relationships/hyperlink" Target="https://m.media-amazon.com/images/I/31rniMTmdkL._SX300_SY300_QL70_FMwebp_.jpg" TargetMode="External"/><Relationship Id="rId1238" Type="http://schemas.openxmlformats.org/officeDocument/2006/relationships/hyperlink" Target="https://m.media-amazon.com/images/I/41EQwIB-rKL._SX300_SY300_QL70_FMwebp_.jpg" TargetMode="External"/><Relationship Id="rId1239" Type="http://schemas.openxmlformats.org/officeDocument/2006/relationships/hyperlink" Target="https://m.media-amazon.com/images/I/318JzFxYqtL._SX300_SY300_QL70_FMwebp_.jpg" TargetMode="External"/><Relationship Id="rId409" Type="http://schemas.openxmlformats.org/officeDocument/2006/relationships/hyperlink" Target="https://m.media-amazon.com/images/I/41EnFjIAoaL._SX300_SY300_QL70_ML2_.jpg" TargetMode="External"/><Relationship Id="rId404" Type="http://schemas.openxmlformats.org/officeDocument/2006/relationships/hyperlink" Target="https://m.media-amazon.com/images/I/31wOPjcSxlL._SX300_SY300_QL70_ML2_.jpg" TargetMode="External"/><Relationship Id="rId646" Type="http://schemas.openxmlformats.org/officeDocument/2006/relationships/hyperlink" Target="https://m.media-amazon.com/images/I/51YPXDh78VL._SX300_SY300_QL70_FMwebp_.jpg" TargetMode="External"/><Relationship Id="rId888" Type="http://schemas.openxmlformats.org/officeDocument/2006/relationships/hyperlink" Target="https://m.media-amazon.com/images/I/51UTH-oHa9L._SY300_SX300_QL70_FMwebp_.jpg" TargetMode="External"/><Relationship Id="rId403" Type="http://schemas.openxmlformats.org/officeDocument/2006/relationships/hyperlink" Target="https://m.media-amazon.com/images/I/51vHAEYKeWL._SX300_SY300_QL70_ML2_.jpg" TargetMode="External"/><Relationship Id="rId645" Type="http://schemas.openxmlformats.org/officeDocument/2006/relationships/hyperlink" Target="https://m.media-amazon.com/images/I/41nf9n-v3pL._SX300_SY300_QL70_FMwebp_.jpg" TargetMode="External"/><Relationship Id="rId887" Type="http://schemas.openxmlformats.org/officeDocument/2006/relationships/hyperlink" Target="https://m.media-amazon.com/images/W/WEBP_402378-T2/images/I/31+Svp6IjpL._SY300_SX300_.jpg" TargetMode="External"/><Relationship Id="rId402" Type="http://schemas.openxmlformats.org/officeDocument/2006/relationships/hyperlink" Target="https://m.media-amazon.com/images/I/41iVkyHeTUL._SX300_SY300_QL70_ML2_.jpg" TargetMode="External"/><Relationship Id="rId644" Type="http://schemas.openxmlformats.org/officeDocument/2006/relationships/hyperlink" Target="https://m.media-amazon.com/images/W/WEBP_402378-T1/images/I/41ZraPJKHYL._SY300_SX300_QL70_FMwebp_.jpg" TargetMode="External"/><Relationship Id="rId886" Type="http://schemas.openxmlformats.org/officeDocument/2006/relationships/hyperlink" Target="https://m.media-amazon.com/images/W/WEBP_402378-T1/images/I/31nrDWDT8+L._SX300_SY300_.jpg" TargetMode="External"/><Relationship Id="rId401" Type="http://schemas.openxmlformats.org/officeDocument/2006/relationships/hyperlink" Target="https://m.media-amazon.com/images/I/31qVddHyy5L._SX300_SY300_QL70_ML2_.jpg" TargetMode="External"/><Relationship Id="rId643" Type="http://schemas.openxmlformats.org/officeDocument/2006/relationships/hyperlink" Target="https://m.media-amazon.com/images/I/31wOPjcSxlL._SX300_SY300_QL70_FMwebp_.jpg" TargetMode="External"/><Relationship Id="rId885" Type="http://schemas.openxmlformats.org/officeDocument/2006/relationships/hyperlink" Target="https://m.media-amazon.com/images/W/WEBP_402378-T2/images/I/31tpRKyv0yL._SY300_SX300_QL70_FMwebp_.jpg" TargetMode="External"/><Relationship Id="rId408" Type="http://schemas.openxmlformats.org/officeDocument/2006/relationships/hyperlink" Target="https://m.media-amazon.com/images/I/41nf9n-v3pL._SX300_SY300_QL70_ML2_.jpg" TargetMode="External"/><Relationship Id="rId407" Type="http://schemas.openxmlformats.org/officeDocument/2006/relationships/hyperlink" Target="https://m.media-amazon.com/images/I/41iEc0hf6TL._SX300_SY300_QL70_ML2_.jpg" TargetMode="External"/><Relationship Id="rId649" Type="http://schemas.openxmlformats.org/officeDocument/2006/relationships/hyperlink" Target="https://m.media-amazon.com/images/I/31959YGwwiL._SX300_SY300_QL70_FMwebp_.jpg" TargetMode="External"/><Relationship Id="rId406" Type="http://schemas.openxmlformats.org/officeDocument/2006/relationships/hyperlink" Target="https://m.media-amazon.com/images/I/31Sx7+mu+vL._SY300_SX300_.jpg" TargetMode="External"/><Relationship Id="rId648" Type="http://schemas.openxmlformats.org/officeDocument/2006/relationships/hyperlink" Target="https://m.media-amazon.com/images/I/31-1GGUrjUL._SX300_SY300_QL70_FMwebp_.jpg" TargetMode="External"/><Relationship Id="rId405" Type="http://schemas.openxmlformats.org/officeDocument/2006/relationships/hyperlink" Target="https://m.media-amazon.com/images/I/31iE517+NFL._SY300_SX300_.jpg" TargetMode="External"/><Relationship Id="rId647" Type="http://schemas.openxmlformats.org/officeDocument/2006/relationships/hyperlink" Target="https://m.media-amazon.com/images/I/31YFd-LQ8rL._SY300_SX300_QL70_FMwebp_.jpg" TargetMode="External"/><Relationship Id="rId889" Type="http://schemas.openxmlformats.org/officeDocument/2006/relationships/hyperlink" Target="https://m.media-amazon.com/images/W/WEBP_402378-T1/images/I/41PeQz-jDSL._SX300_SY300_QL70_FMwebp_.jpg" TargetMode="External"/><Relationship Id="rId880" Type="http://schemas.openxmlformats.org/officeDocument/2006/relationships/hyperlink" Target="https://m.media-amazon.com/images/I/31lF-FdlrHL._SX300_SY300_QL70_FMwebp_.jpg" TargetMode="External"/><Relationship Id="rId1230" Type="http://schemas.openxmlformats.org/officeDocument/2006/relationships/hyperlink" Target="https://m.media-amazon.com/images/W/WEBP_402378-T1/images/I/31991seDfcL._SY300_SX300_QL70_FMwebp_.jpg" TargetMode="External"/><Relationship Id="rId400" Type="http://schemas.openxmlformats.org/officeDocument/2006/relationships/hyperlink" Target="https://m.media-amazon.com/images/I/413sCRKobNL._SX300_SY300_QL70_ML2_.jpg" TargetMode="External"/><Relationship Id="rId642" Type="http://schemas.openxmlformats.org/officeDocument/2006/relationships/hyperlink" Target="https://m.media-amazon.com/images/I/31R6RP26dzL._SY300_SX300_QL70_FMwebp_.jpg" TargetMode="External"/><Relationship Id="rId884" Type="http://schemas.openxmlformats.org/officeDocument/2006/relationships/hyperlink" Target="https://m.media-amazon.com/images/I/41-U6BdQrcL._SX300_SY300_QL70_FMwebp_.jpg" TargetMode="External"/><Relationship Id="rId1231" Type="http://schemas.openxmlformats.org/officeDocument/2006/relationships/hyperlink" Target="https://m.media-amazon.com/images/W/WEBP_402378-T2/images/I/41LLX-A7eTL._SX300_SY300_QL70_FMwebp_.jpg" TargetMode="External"/><Relationship Id="rId641" Type="http://schemas.openxmlformats.org/officeDocument/2006/relationships/hyperlink" Target="https://m.media-amazon.com/images/W/WEBP_402378-T1/images/I/41jOKzw6-EL._SX300_SY300_QL70_FMwebp_.jpg" TargetMode="External"/><Relationship Id="rId883" Type="http://schemas.openxmlformats.org/officeDocument/2006/relationships/hyperlink" Target="https://m.media-amazon.com/images/I/41i35PCzzaL._SX300_SY300_QL70_FMwebp_.jpg" TargetMode="External"/><Relationship Id="rId1232" Type="http://schemas.openxmlformats.org/officeDocument/2006/relationships/hyperlink" Target="https://m.media-amazon.com/images/I/41OXzplcjtL._SX300_SY300_QL70_FMwebp_.jpg" TargetMode="External"/><Relationship Id="rId640" Type="http://schemas.openxmlformats.org/officeDocument/2006/relationships/hyperlink" Target="https://m.media-amazon.com/images/W/WEBP_402378-T1/images/I/41nGG6kJr9L._SX300_SY300_QL70_FMwebp_.jpg" TargetMode="External"/><Relationship Id="rId882" Type="http://schemas.openxmlformats.org/officeDocument/2006/relationships/hyperlink" Target="https://m.media-amazon.com/images/W/WEBP_402378-T2/images/I/31+NwZ8gb1L._SX300_SY300_.jpg" TargetMode="External"/><Relationship Id="rId1233" Type="http://schemas.openxmlformats.org/officeDocument/2006/relationships/hyperlink" Target="https://m.media-amazon.com/images/I/4153SQc2VYL._SX300_SY300_QL70_FMwebp_.jpg" TargetMode="External"/><Relationship Id="rId881" Type="http://schemas.openxmlformats.org/officeDocument/2006/relationships/hyperlink" Target="https://m.media-amazon.com/images/I/31yI+SWuRzL._SY300_SX300_.jpg" TargetMode="External"/><Relationship Id="rId1234" Type="http://schemas.openxmlformats.org/officeDocument/2006/relationships/hyperlink" Target="https://m.media-amazon.com/images/W/WEBP_402378-T1/images/I/21UJ6oKwnoL._SY300_SX300_QL70_FMwebp_.jpg" TargetMode="External"/><Relationship Id="rId1224" Type="http://schemas.openxmlformats.org/officeDocument/2006/relationships/hyperlink" Target="https://m.media-amazon.com/images/I/51oN+8Zs5YL._SY300_SX300_.jpg" TargetMode="External"/><Relationship Id="rId1466" Type="http://schemas.openxmlformats.org/officeDocument/2006/relationships/drawing" Target="../drawings/drawing2.xml"/><Relationship Id="rId1225" Type="http://schemas.openxmlformats.org/officeDocument/2006/relationships/hyperlink" Target="https://m.media-amazon.com/images/W/WEBP_402378-T2/images/I/41+pYgFJpBL._SY300_SX300_.jpg" TargetMode="External"/><Relationship Id="rId1226" Type="http://schemas.openxmlformats.org/officeDocument/2006/relationships/hyperlink" Target="https://m.media-amazon.com/images/W/WEBP_402378-T2/images/I/418x3St8EAL._SX300_SY300_QL70_FMwebp_.jpg" TargetMode="External"/><Relationship Id="rId1227" Type="http://schemas.openxmlformats.org/officeDocument/2006/relationships/hyperlink" Target="https://m.media-amazon.com/images/I/41714O1hnmS._SY300_SX300_QL70_FMwebp_.jpg" TargetMode="External"/><Relationship Id="rId1228" Type="http://schemas.openxmlformats.org/officeDocument/2006/relationships/hyperlink" Target="https://m.media-amazon.com/images/I/41a-huLVEIL._SX300_SY300_QL70_FMwebp_.jpg" TargetMode="External"/><Relationship Id="rId1229" Type="http://schemas.openxmlformats.org/officeDocument/2006/relationships/hyperlink" Target="https://m.media-amazon.com/images/W/WEBP_402378-T1/images/I/31RwSnyZZ+L._SY300_SX300_.jpg" TargetMode="External"/><Relationship Id="rId635" Type="http://schemas.openxmlformats.org/officeDocument/2006/relationships/hyperlink" Target="https://m.media-amazon.com/images/W/WEBP_402378-T1/images/I/41lQan54SPL._SX300_SY300_QL70_FMwebp_.jpg" TargetMode="External"/><Relationship Id="rId877" Type="http://schemas.openxmlformats.org/officeDocument/2006/relationships/hyperlink" Target="https://m.media-amazon.com/images/W/WEBP_402378-T2/images/I/411UTnBl2TL._SX300_SY300_QL70_FMwebp_.jpg" TargetMode="External"/><Relationship Id="rId634" Type="http://schemas.openxmlformats.org/officeDocument/2006/relationships/hyperlink" Target="https://m.media-amazon.com/images/I/317KlchuxeL._SY300_SX300_QL70_FMwebp_.jpg" TargetMode="External"/><Relationship Id="rId876" Type="http://schemas.openxmlformats.org/officeDocument/2006/relationships/hyperlink" Target="https://m.media-amazon.com/images/W/WEBP_402378-T2/images/I/41J8nz5uEUL._SX300_SY300_QL70_FMwebp_.jpg" TargetMode="External"/><Relationship Id="rId633" Type="http://schemas.openxmlformats.org/officeDocument/2006/relationships/hyperlink" Target="https://m.media-amazon.com/images/I/31VzNhhqifL._SX300_SY300_QL70_FMwebp_.jpg" TargetMode="External"/><Relationship Id="rId875" Type="http://schemas.openxmlformats.org/officeDocument/2006/relationships/hyperlink" Target="https://m.media-amazon.com/images/W/WEBP_402378-T1/images/I/31c6zDmtEnL._SY300_SX300_QL70_FMwebp_.jpg" TargetMode="External"/><Relationship Id="rId632" Type="http://schemas.openxmlformats.org/officeDocument/2006/relationships/hyperlink" Target="https://m.media-amazon.com/images/I/31Hjf7KD75L._SY300_SX300_.jpg" TargetMode="External"/><Relationship Id="rId874" Type="http://schemas.openxmlformats.org/officeDocument/2006/relationships/hyperlink" Target="https://m.media-amazon.com/images/I/31df-HkJJ7L._SX300_SY300_QL70_FMwebp_.jpg" TargetMode="External"/><Relationship Id="rId639" Type="http://schemas.openxmlformats.org/officeDocument/2006/relationships/hyperlink" Target="https://m.media-amazon.com/images/I/312J9hg8ypL._SX300_SY300_QL70_FMwebp_.jpg" TargetMode="External"/><Relationship Id="rId638" Type="http://schemas.openxmlformats.org/officeDocument/2006/relationships/hyperlink" Target="https://m.media-amazon.com/images/W/WEBP_402378-T1/images/I/41PDEAuwT3L._SX300_SY300_QL70_FMwebp_.jpg" TargetMode="External"/><Relationship Id="rId637" Type="http://schemas.openxmlformats.org/officeDocument/2006/relationships/hyperlink" Target="https://m.media-amazon.com/images/I/31gzRr9mIaS._SX300_SY300_QL70_FMwebp_.jpg" TargetMode="External"/><Relationship Id="rId879" Type="http://schemas.openxmlformats.org/officeDocument/2006/relationships/hyperlink" Target="https://m.media-amazon.com/images/I/41ds2zVHE4L._SX300_SY300_QL70_FMwebp_.jpg" TargetMode="External"/><Relationship Id="rId636" Type="http://schemas.openxmlformats.org/officeDocument/2006/relationships/hyperlink" Target="https://m.media-amazon.com/images/I/41MmsYTi06L._SX300_SY300_QL70_FMwebp_.jpg" TargetMode="External"/><Relationship Id="rId878" Type="http://schemas.openxmlformats.org/officeDocument/2006/relationships/hyperlink" Target="https://m.media-amazon.com/images/W/WEBP_402378-T1/images/I/31psvbJkfOL._SY300_SX300_QL70_FMwebp_.jpg" TargetMode="External"/><Relationship Id="rId1460" Type="http://schemas.openxmlformats.org/officeDocument/2006/relationships/hyperlink" Target="https://m.media-amazon.com/images/W/WEBP_402378-T1/images/I/519f6z2dnPL._SY300_SX300_QL70_FMwebp_.jpg" TargetMode="External"/><Relationship Id="rId1461" Type="http://schemas.openxmlformats.org/officeDocument/2006/relationships/hyperlink" Target="https://m.media-amazon.com/images/I/41fDdRtjfxL._SY445_SX342_QL70_FMwebp_.jpg" TargetMode="External"/><Relationship Id="rId631" Type="http://schemas.openxmlformats.org/officeDocument/2006/relationships/hyperlink" Target="https://m.media-amazon.com/images/I/41Fm0YcrDqL._SX300_SY300_QL70_FMwebp_.jpg" TargetMode="External"/><Relationship Id="rId873" Type="http://schemas.openxmlformats.org/officeDocument/2006/relationships/hyperlink" Target="https://m.media-amazon.com/images/I/21o8KsIQqRL._SY300_SX300_QL70_FMwebp_.jpg" TargetMode="External"/><Relationship Id="rId1220" Type="http://schemas.openxmlformats.org/officeDocument/2006/relationships/hyperlink" Target="https://m.media-amazon.com/images/I/31XPVmD8gUL._SX300_SY300_QL70_FMwebp_.jpg" TargetMode="External"/><Relationship Id="rId1462" Type="http://schemas.openxmlformats.org/officeDocument/2006/relationships/hyperlink" Target="https://m.media-amazon.com/images/I/41gzDxk4+kL._SY300_SX300_.jpg" TargetMode="External"/><Relationship Id="rId630" Type="http://schemas.openxmlformats.org/officeDocument/2006/relationships/hyperlink" Target="https://m.media-amazon.com/images/I/41UUBwBt05S._SX300_SY300_QL70_FMwebp_.jpg" TargetMode="External"/><Relationship Id="rId872" Type="http://schemas.openxmlformats.org/officeDocument/2006/relationships/hyperlink" Target="https://m.media-amazon.com/images/W/WEBP_402378-T2/images/I/41KYzWomjVL._SX300_SY300_QL70_FMwebp_.jpg" TargetMode="External"/><Relationship Id="rId1221" Type="http://schemas.openxmlformats.org/officeDocument/2006/relationships/hyperlink" Target="https://m.media-amazon.com/images/W/WEBP_402378-T1/images/I/31qZm3DyDhL._SX300_SY300_QL70_FMwebp_.jpg" TargetMode="External"/><Relationship Id="rId1463" Type="http://schemas.openxmlformats.org/officeDocument/2006/relationships/hyperlink" Target="https://m.media-amazon.com/images/W/WEBP_402378-T1/images/I/41qmt2a159L._SX300_SY300_QL70_FMwebp_.jpg" TargetMode="External"/><Relationship Id="rId871" Type="http://schemas.openxmlformats.org/officeDocument/2006/relationships/hyperlink" Target="https://m.media-amazon.com/images/I/51tBwj7I8GL._SX300_SY300_QL70_FMwebp_.jpg" TargetMode="External"/><Relationship Id="rId1222" Type="http://schemas.openxmlformats.org/officeDocument/2006/relationships/hyperlink" Target="https://m.media-amazon.com/images/W/WEBP_402378-T2/images/I/31-jt474B1L._SX300_SY300_QL70_FMwebp_.jpg" TargetMode="External"/><Relationship Id="rId1464" Type="http://schemas.openxmlformats.org/officeDocument/2006/relationships/hyperlink" Target="https://m.media-amazon.com/images/W/WEBP_402378-T1/images/I/51pNg1Zy4+L._SX300_SY300_.jpg" TargetMode="External"/><Relationship Id="rId870" Type="http://schemas.openxmlformats.org/officeDocument/2006/relationships/hyperlink" Target="https://m.media-amazon.com/images/I/31EHCPHbSlL._SX300_SY300_QL70_FMwebp_.jpg" TargetMode="External"/><Relationship Id="rId1223" Type="http://schemas.openxmlformats.org/officeDocument/2006/relationships/hyperlink" Target="https://m.media-amazon.com/images/I/319gn5l2NSL._SX300_SY300_QL70_FMwebp_.jpg" TargetMode="External"/><Relationship Id="rId1465" Type="http://schemas.openxmlformats.org/officeDocument/2006/relationships/hyperlink" Target="https://m.media-amazon.com/images/W/WEBP_402378-T1/images/I/51J2Wk-+c+L._SY300_SX300_.jpg" TargetMode="External"/><Relationship Id="rId1411" Type="http://schemas.openxmlformats.org/officeDocument/2006/relationships/hyperlink" Target="https://m.media-amazon.com/images/I/41wCglxg9qL._SX300_SY300_QL70_FMwebp_.jpg" TargetMode="External"/><Relationship Id="rId1412" Type="http://schemas.openxmlformats.org/officeDocument/2006/relationships/hyperlink" Target="https://m.media-amazon.com/images/I/31HohsWo-+L._SY445_SX342_.jpg" TargetMode="External"/><Relationship Id="rId1413" Type="http://schemas.openxmlformats.org/officeDocument/2006/relationships/hyperlink" Target="https://m.media-amazon.com/images/W/WEBP_402378-T2/images/I/31B7DwG79FL._SY445_SX342_QL70_FMwebp_.jpg" TargetMode="External"/><Relationship Id="rId1414" Type="http://schemas.openxmlformats.org/officeDocument/2006/relationships/hyperlink" Target="https://m.media-amazon.com/images/W/WEBP_402378-T1/images/I/31uBcZhDMjL._SX300_SY300_QL70_FMwebp_.jpg" TargetMode="External"/><Relationship Id="rId1415" Type="http://schemas.openxmlformats.org/officeDocument/2006/relationships/hyperlink" Target="https://m.media-amazon.com/images/W/WEBP_402378-T1/images/I/41XtCfScreS._SX300_SY300_QL70_FMwebp_.jpg" TargetMode="External"/><Relationship Id="rId1416" Type="http://schemas.openxmlformats.org/officeDocument/2006/relationships/hyperlink" Target="https://m.media-amazon.com/images/I/41jv4fqU1EL._SY300_SX300_QL70_FMwebp_.jpg" TargetMode="External"/><Relationship Id="rId1417" Type="http://schemas.openxmlformats.org/officeDocument/2006/relationships/hyperlink" Target="https://m.media-amazon.com/images/W/WEBP_402378-T2/images/I/41NSz+RdSoL._SX342_SY445_.jpg" TargetMode="External"/><Relationship Id="rId1418" Type="http://schemas.openxmlformats.org/officeDocument/2006/relationships/hyperlink" Target="https://m.media-amazon.com/images/I/416VJv+z7CL._SY300_SX300_.jpg" TargetMode="External"/><Relationship Id="rId1419" Type="http://schemas.openxmlformats.org/officeDocument/2006/relationships/hyperlink" Target="https://m.media-amazon.com/images/I/41Mm2LXiZrL._SX300_SY300_QL70_FMwebp_.jpg" TargetMode="External"/><Relationship Id="rId829" Type="http://schemas.openxmlformats.org/officeDocument/2006/relationships/hyperlink" Target="https://m.media-amazon.com/images/W/WEBP_402378-T2/images/I/31pnooau8vS._SX300_SY300_QL70_FMwebp_.jpg" TargetMode="External"/><Relationship Id="rId828" Type="http://schemas.openxmlformats.org/officeDocument/2006/relationships/hyperlink" Target="https://m.media-amazon.com/images/W/WEBP_402378-T2/images/I/41W4O2H532L._SX300_SY300_QL70_FMwebp_.jpg" TargetMode="External"/><Relationship Id="rId827" Type="http://schemas.openxmlformats.org/officeDocument/2006/relationships/hyperlink" Target="https://m.media-amazon.com/images/W/WEBP_402378-T1/images/I/41tWgm56a0L._SX300_SY300_QL70_FMwebp_.jpg" TargetMode="External"/><Relationship Id="rId822" Type="http://schemas.openxmlformats.org/officeDocument/2006/relationships/hyperlink" Target="https://m.media-amazon.com/images/W/WEBP_402378-T2/images/I/31C+JNS-7PL._SY300_SX300_.jpg" TargetMode="External"/><Relationship Id="rId821" Type="http://schemas.openxmlformats.org/officeDocument/2006/relationships/hyperlink" Target="https://m.media-amazon.com/images/W/WEBP_402378-T1/images/I/41NYfAbBY2L._SX300_SY300_QL70_FMwebp_.jpg" TargetMode="External"/><Relationship Id="rId820" Type="http://schemas.openxmlformats.org/officeDocument/2006/relationships/hyperlink" Target="https://m.media-amazon.com/images/I/31YZ2ZYT66L._SX300_SY300_QL70_FMwebp_.jpg" TargetMode="External"/><Relationship Id="rId826" Type="http://schemas.openxmlformats.org/officeDocument/2006/relationships/hyperlink" Target="https://m.media-amazon.com/images/W/WEBP_402378-T2/images/I/41yNejBMf+L._SY300_SX300_.jpg" TargetMode="External"/><Relationship Id="rId825" Type="http://schemas.openxmlformats.org/officeDocument/2006/relationships/hyperlink" Target="https://m.media-amazon.com/images/W/WEBP_402378-T1/images/I/318egjvJ0mL._SX300_SY300_QL70_FMwebp_.jpg" TargetMode="External"/><Relationship Id="rId824" Type="http://schemas.openxmlformats.org/officeDocument/2006/relationships/hyperlink" Target="https://m.media-amazon.com/images/W/WEBP_402378-T2/images/I/419QKVTxaSL._SX300_SY300_QL70_FMwebp_.jpg" TargetMode="External"/><Relationship Id="rId823" Type="http://schemas.openxmlformats.org/officeDocument/2006/relationships/hyperlink" Target="https://m.media-amazon.com/images/I/41hzQslWQlL._SX300_SY300_QL70_FMwebp_.jpg" TargetMode="External"/><Relationship Id="rId1410" Type="http://schemas.openxmlformats.org/officeDocument/2006/relationships/hyperlink" Target="https://m.media-amazon.com/images/I/31Y+l9J1nYL._SY300_SX300_.jpg" TargetMode="External"/><Relationship Id="rId1400" Type="http://schemas.openxmlformats.org/officeDocument/2006/relationships/hyperlink" Target="https://m.media-amazon.com/images/W/WEBP_402378-T2/images/I/31YEW0-SNcL._SX300_SY300_QL70_FMwebp_.jpg" TargetMode="External"/><Relationship Id="rId1401" Type="http://schemas.openxmlformats.org/officeDocument/2006/relationships/hyperlink" Target="https://m.media-amazon.com/images/W/WEBP_402378-T1/images/I/51IMz58igdL._SX300_SY300_QL70_FMwebp_.jpg" TargetMode="External"/><Relationship Id="rId1402" Type="http://schemas.openxmlformats.org/officeDocument/2006/relationships/hyperlink" Target="https://m.media-amazon.com/images/I/21NKf-n3WdL._SX300_SY300_QL70_FMwebp_.jpg" TargetMode="External"/><Relationship Id="rId1403" Type="http://schemas.openxmlformats.org/officeDocument/2006/relationships/hyperlink" Target="https://m.media-amazon.com/images/I/4108k4zDdOL._SY300_SX300_QL70_FMwebp_.jpg" TargetMode="External"/><Relationship Id="rId1404" Type="http://schemas.openxmlformats.org/officeDocument/2006/relationships/hyperlink" Target="https://m.media-amazon.com/images/I/41hBHbn0KFL._SX300_SY300_QL70_FMwebp_.jpg" TargetMode="External"/><Relationship Id="rId1405" Type="http://schemas.openxmlformats.org/officeDocument/2006/relationships/hyperlink" Target="https://m.media-amazon.com/images/I/41QKvmjpVFL._SX300_SY300_QL70_FMwebp_.jpg" TargetMode="External"/><Relationship Id="rId1406" Type="http://schemas.openxmlformats.org/officeDocument/2006/relationships/hyperlink" Target="https://m.media-amazon.com/images/W/WEBP_402378-T1/images/I/413b+0JACfL._SX300_SY300_.jpg" TargetMode="External"/><Relationship Id="rId1407" Type="http://schemas.openxmlformats.org/officeDocument/2006/relationships/hyperlink" Target="https://m.media-amazon.com/images/I/41XXDlWCBDL._SX300_SY300_QL70_FMwebp_.jpg" TargetMode="External"/><Relationship Id="rId819" Type="http://schemas.openxmlformats.org/officeDocument/2006/relationships/hyperlink" Target="https://m.media-amazon.com/images/W/WEBP_402378-T1/images/I/41cCZ5EPnvL._SX300_SY300_QL70_FMwebp_.jpg" TargetMode="External"/><Relationship Id="rId1408" Type="http://schemas.openxmlformats.org/officeDocument/2006/relationships/hyperlink" Target="https://m.media-amazon.com/images/I/31hQyi26uAL._SX300_SY300_QL70_FMwebp_.jpg" TargetMode="External"/><Relationship Id="rId818" Type="http://schemas.openxmlformats.org/officeDocument/2006/relationships/hyperlink" Target="https://m.media-amazon.com/images/I/518mUXLlFZS._SX300_SY300_QL70_FMwebp_.jpg" TargetMode="External"/><Relationship Id="rId1409" Type="http://schemas.openxmlformats.org/officeDocument/2006/relationships/hyperlink" Target="https://m.media-amazon.com/images/W/WEBP_402378-T2/images/I/51wxUA6-CBL._SX300_SY300_QL70_FMwebp_.jpg" TargetMode="External"/><Relationship Id="rId817" Type="http://schemas.openxmlformats.org/officeDocument/2006/relationships/hyperlink" Target="https://m.media-amazon.com/images/W/WEBP_402378-T2/images/I/51X7oG9862L._SX300_SY300_QL70_FMwebp_.jpg" TargetMode="External"/><Relationship Id="rId816" Type="http://schemas.openxmlformats.org/officeDocument/2006/relationships/hyperlink" Target="https://m.media-amazon.com/images/I/41BWhztt6EL._SX300_SY300_QL70_FMwebp_.jpg" TargetMode="External"/><Relationship Id="rId811" Type="http://schemas.openxmlformats.org/officeDocument/2006/relationships/hyperlink" Target="https://m.media-amazon.com/images/I/31foPNxmwsL._SX300_SY300_QL70_FMwebp_.jpg" TargetMode="External"/><Relationship Id="rId810" Type="http://schemas.openxmlformats.org/officeDocument/2006/relationships/hyperlink" Target="https://m.media-amazon.com/images/W/WEBP_402378-T2/images/I/31VtFl2O33L._SX300_SY300_QL70_FMwebp_.jpg" TargetMode="External"/><Relationship Id="rId815" Type="http://schemas.openxmlformats.org/officeDocument/2006/relationships/hyperlink" Target="https://m.media-amazon.com/images/W/WEBP_402378-T2/images/I/41ep+i03RsL._SX300_SY300_.jpg" TargetMode="External"/><Relationship Id="rId814" Type="http://schemas.openxmlformats.org/officeDocument/2006/relationships/hyperlink" Target="https://m.media-amazon.com/images/I/31gZM-XkOtL._SX300_SY300_QL70_FMwebp_.jpg" TargetMode="External"/><Relationship Id="rId813" Type="http://schemas.openxmlformats.org/officeDocument/2006/relationships/hyperlink" Target="https://m.media-amazon.com/images/W/WEBP_402378-T1/images/I/41lS2bd15fL._SX300_SY300_QL70_FMwebp_.jpg" TargetMode="External"/><Relationship Id="rId812" Type="http://schemas.openxmlformats.org/officeDocument/2006/relationships/hyperlink" Target="https://m.media-amazon.com/images/W/WEBP_402378-T1/images/I/51o0rLZiIjL._SX300_SY300_QL70_FMwebp_.jpg" TargetMode="External"/><Relationship Id="rId1433" Type="http://schemas.openxmlformats.org/officeDocument/2006/relationships/hyperlink" Target="https://m.media-amazon.com/images/I/41hYZPZaWfS._SX300_SY300_QL70_FMwebp_.jpg" TargetMode="External"/><Relationship Id="rId1434" Type="http://schemas.openxmlformats.org/officeDocument/2006/relationships/hyperlink" Target="https://m.media-amazon.com/images/I/31rcvrnc1RL._SX300_SY300_QL70_FMwebp_.jpg" TargetMode="External"/><Relationship Id="rId1435" Type="http://schemas.openxmlformats.org/officeDocument/2006/relationships/hyperlink" Target="https://m.media-amazon.com/images/W/WEBP_402378-T1/images/I/414fV+i+rcL._SY300_SX300_.jpg" TargetMode="External"/><Relationship Id="rId1436" Type="http://schemas.openxmlformats.org/officeDocument/2006/relationships/hyperlink" Target="https://m.media-amazon.com/images/W/WEBP_402378-T1/images/I/51rf2161JNL._SX300_SY300_QL70_FMwebp_.jpg" TargetMode="External"/><Relationship Id="rId1437" Type="http://schemas.openxmlformats.org/officeDocument/2006/relationships/hyperlink" Target="https://m.media-amazon.com/images/W/WEBP_402378-T1/images/I/51ey0zzictL._SX300_SY300_QL70_FMwebp_.jpg" TargetMode="External"/><Relationship Id="rId1438" Type="http://schemas.openxmlformats.org/officeDocument/2006/relationships/hyperlink" Target="https://m.media-amazon.com/images/I/41CAIlYtE+L._SY300_SX300_.jpg" TargetMode="External"/><Relationship Id="rId1439" Type="http://schemas.openxmlformats.org/officeDocument/2006/relationships/hyperlink" Target="https://m.media-amazon.com/images/W/WEBP_402378-T2/images/I/41vooC+8vUL._SY300_SX300_.jpg" TargetMode="External"/><Relationship Id="rId609" Type="http://schemas.openxmlformats.org/officeDocument/2006/relationships/hyperlink" Target="https://m.media-amazon.com/images/W/WEBP_402378-T2/images/I/41ApzUQQFVL._SX300_SY300_QL70_FMwebp_.jpg" TargetMode="External"/><Relationship Id="rId608" Type="http://schemas.openxmlformats.org/officeDocument/2006/relationships/hyperlink" Target="https://m.media-amazon.com/images/W/WEBP_402378-T1/images/I/41qqmdUWnhL._SX300_SY300_QL70_FMwebp_.jpg" TargetMode="External"/><Relationship Id="rId607" Type="http://schemas.openxmlformats.org/officeDocument/2006/relationships/hyperlink" Target="https://m.media-amazon.com/images/W/WEBP_402378-T1/images/I/218fOqSir3L._SX300_SY300_QL70_FMwebp_.jpg" TargetMode="External"/><Relationship Id="rId849" Type="http://schemas.openxmlformats.org/officeDocument/2006/relationships/hyperlink" Target="https://m.media-amazon.com/images/W/WEBP_402378-T1/images/I/31bMTTJF1xL._SY300_SX300_QL70_FMwebp_.jpg" TargetMode="External"/><Relationship Id="rId602" Type="http://schemas.openxmlformats.org/officeDocument/2006/relationships/hyperlink" Target="https://m.media-amazon.com/images/I/31rmf+p45oL._SY300_SX300_.jpg" TargetMode="External"/><Relationship Id="rId844" Type="http://schemas.openxmlformats.org/officeDocument/2006/relationships/hyperlink" Target="https://m.media-amazon.com/images/W/WEBP_402378-T2/images/I/41qTZXl3KaL._SX300_SY300_QL70_FMwebp_.jpg" TargetMode="External"/><Relationship Id="rId601" Type="http://schemas.openxmlformats.org/officeDocument/2006/relationships/hyperlink" Target="https://m.media-amazon.com/images/W/WEBP_402378-T1/images/I/41rxRY5TDSL._SX300_SY300_QL70_FMwebp_.jpg" TargetMode="External"/><Relationship Id="rId843" Type="http://schemas.openxmlformats.org/officeDocument/2006/relationships/hyperlink" Target="https://m.media-amazon.com/images/W/WEBP_402378-T2/images/I/41t4-FpawsL._SX300_SY300_QL70_FMwebp_.jpg" TargetMode="External"/><Relationship Id="rId600" Type="http://schemas.openxmlformats.org/officeDocument/2006/relationships/hyperlink" Target="https://m.media-amazon.com/images/W/WEBP_402378-T2/images/I/315vj6oj-FL._SX300_SY300_QL70_FMwebp_.jpg" TargetMode="External"/><Relationship Id="rId842" Type="http://schemas.openxmlformats.org/officeDocument/2006/relationships/hyperlink" Target="https://m.media-amazon.com/images/I/41Cdc4mU7RL._SX300_SY300_QL70_FMwebp_.jpg" TargetMode="External"/><Relationship Id="rId841" Type="http://schemas.openxmlformats.org/officeDocument/2006/relationships/hyperlink" Target="https://m.media-amazon.com/images/I/41P2EdQI1ZL._SY445_SX342_QL70_FMwebp_.jpg" TargetMode="External"/><Relationship Id="rId606" Type="http://schemas.openxmlformats.org/officeDocument/2006/relationships/hyperlink" Target="https://m.media-amazon.com/images/I/31plkeAvAQL._SX300_SY300_QL70_FMwebp_.jpg" TargetMode="External"/><Relationship Id="rId848" Type="http://schemas.openxmlformats.org/officeDocument/2006/relationships/hyperlink" Target="https://m.media-amazon.com/images/W/WEBP_402378-T1/images/I/31Dj+5AQcJL._SY300_SX300_.jpg" TargetMode="External"/><Relationship Id="rId605" Type="http://schemas.openxmlformats.org/officeDocument/2006/relationships/hyperlink" Target="https://m.media-amazon.com/images/I/31febYa30qL._SX300_SY300_QL70_FMwebp_.jpg" TargetMode="External"/><Relationship Id="rId847" Type="http://schemas.openxmlformats.org/officeDocument/2006/relationships/hyperlink" Target="https://m.media-amazon.com/images/I/51ucu0nCeSL._SX300_SY300_QL70_FMwebp_.jpg" TargetMode="External"/><Relationship Id="rId604" Type="http://schemas.openxmlformats.org/officeDocument/2006/relationships/hyperlink" Target="https://m.media-amazon.com/images/W/WEBP_402378-T2/images/I/41LZP1CmYRL._SX300_SY300_QL70_FMwebp_.jpg" TargetMode="External"/><Relationship Id="rId846" Type="http://schemas.openxmlformats.org/officeDocument/2006/relationships/hyperlink" Target="https://m.media-amazon.com/images/I/214VmJYxx9L._SX300_SY300_QL70_FMwebp_.jpg" TargetMode="External"/><Relationship Id="rId603" Type="http://schemas.openxmlformats.org/officeDocument/2006/relationships/hyperlink" Target="https://m.media-amazon.com/images/W/WEBP_402378-T2/images/I/41oSVnJMFKL._SX300_SY300_QL70_FMwebp_.jpg" TargetMode="External"/><Relationship Id="rId845" Type="http://schemas.openxmlformats.org/officeDocument/2006/relationships/hyperlink" Target="https://m.media-amazon.com/images/W/WEBP_402378-T1/images/I/31ikDjsSOML._SX300_SY300_QL70_FMwebp_.jpg" TargetMode="External"/><Relationship Id="rId840" Type="http://schemas.openxmlformats.org/officeDocument/2006/relationships/hyperlink" Target="https://m.media-amazon.com/images/W/WEBP_402378-T2/images/I/3183iGEWksL._SX300_SY300_QL70_FMwebp_.jpg" TargetMode="External"/><Relationship Id="rId1430" Type="http://schemas.openxmlformats.org/officeDocument/2006/relationships/hyperlink" Target="https://m.media-amazon.com/images/W/WEBP_402378-T1/images/I/41YFjcEIwWL._SX300_SY300_QL70_FMwebp_.jpg" TargetMode="External"/><Relationship Id="rId1431" Type="http://schemas.openxmlformats.org/officeDocument/2006/relationships/hyperlink" Target="https://m.media-amazon.com/images/I/31grDt8hrBS._SX300_SY300_QL70_FMwebp_.jpg" TargetMode="External"/><Relationship Id="rId1432" Type="http://schemas.openxmlformats.org/officeDocument/2006/relationships/hyperlink" Target="https://m.media-amazon.com/images/I/41+zSXivpML._SY300_SX300_.jpg" TargetMode="External"/><Relationship Id="rId1422" Type="http://schemas.openxmlformats.org/officeDocument/2006/relationships/hyperlink" Target="https://m.media-amazon.com/images/W/WEBP_402378-T1/images/I/51B4Ea7gRCL._SX300_SY300_QL70_FMwebp_.jpg" TargetMode="External"/><Relationship Id="rId1423" Type="http://schemas.openxmlformats.org/officeDocument/2006/relationships/hyperlink" Target="https://m.media-amazon.com/images/I/41xjCi0e7GL._SX300_SY300_QL70_FMwebp_.jpg" TargetMode="External"/><Relationship Id="rId1424" Type="http://schemas.openxmlformats.org/officeDocument/2006/relationships/hyperlink" Target="https://m.media-amazon.com/images/I/41mZWS7bb+L._SX342_SY445_.jpg" TargetMode="External"/><Relationship Id="rId1425" Type="http://schemas.openxmlformats.org/officeDocument/2006/relationships/hyperlink" Target="https://m.media-amazon.com/images/I/41ugz3c3G1L._SY300_SX300_QL70_FMwebp_.jpg" TargetMode="External"/><Relationship Id="rId1426" Type="http://schemas.openxmlformats.org/officeDocument/2006/relationships/hyperlink" Target="https://m.media-amazon.com/images/W/WEBP_402378-T1/images/I/31QVpoSYsrL._SX300_SY300_QL70_FMwebp_.jpg" TargetMode="External"/><Relationship Id="rId1427" Type="http://schemas.openxmlformats.org/officeDocument/2006/relationships/hyperlink" Target="https://m.media-amazon.com/images/W/WEBP_402378-T1/images/I/41VOCgvMKJL._SX300_SY300_QL70_FMwebp_.jpg" TargetMode="External"/><Relationship Id="rId1428" Type="http://schemas.openxmlformats.org/officeDocument/2006/relationships/hyperlink" Target="https://m.media-amazon.com/images/I/41Peadim8bL._SX300_SY300_QL70_FMwebp_.jpg" TargetMode="External"/><Relationship Id="rId1429" Type="http://schemas.openxmlformats.org/officeDocument/2006/relationships/hyperlink" Target="https://m.media-amazon.com/images/I/415634DtKfL._SX300_SY300_QL70_FMwebp_.jpg" TargetMode="External"/><Relationship Id="rId839" Type="http://schemas.openxmlformats.org/officeDocument/2006/relationships/hyperlink" Target="https://m.media-amazon.com/images/W/WEBP_402378-T1/images/I/31CndDabh2L._SX300_SY300_QL70_FMwebp_.jpg" TargetMode="External"/><Relationship Id="rId838" Type="http://schemas.openxmlformats.org/officeDocument/2006/relationships/hyperlink" Target="https://m.media-amazon.com/images/I/41tcZ6fcJML._SX300_SY300_QL70_FMwebp_.jpg" TargetMode="External"/><Relationship Id="rId833" Type="http://schemas.openxmlformats.org/officeDocument/2006/relationships/hyperlink" Target="https://m.media-amazon.com/images/I/51jNo4QNTNL._SY445_SX342_QL70_FMwebp_.jpg" TargetMode="External"/><Relationship Id="rId832" Type="http://schemas.openxmlformats.org/officeDocument/2006/relationships/hyperlink" Target="https://m.media-amazon.com/images/W/WEBP_402378-T1/images/I/31Vt3iyEaIL._SX300_SY300_QL70_FMwebp_.jpg" TargetMode="External"/><Relationship Id="rId831" Type="http://schemas.openxmlformats.org/officeDocument/2006/relationships/hyperlink" Target="https://m.media-amazon.com/images/W/WEBP_402378-T2/images/I/41X6hey-ExL._SX300_SY300_QL70_FMwebp_.jpg" TargetMode="External"/><Relationship Id="rId830" Type="http://schemas.openxmlformats.org/officeDocument/2006/relationships/hyperlink" Target="https://m.media-amazon.com/images/I/41nub-26HfL._SX300_SY300_QL70_FMwebp_.jpg" TargetMode="External"/><Relationship Id="rId837" Type="http://schemas.openxmlformats.org/officeDocument/2006/relationships/hyperlink" Target="https://m.media-amazon.com/images/I/41wN7jooz0L._SX300_SY300_QL70_FMwebp_.jpg" TargetMode="External"/><Relationship Id="rId836" Type="http://schemas.openxmlformats.org/officeDocument/2006/relationships/hyperlink" Target="https://m.media-amazon.com/images/I/41PBiq0KGUL._SX300_SY300_QL70_FMwebp_.jpg" TargetMode="External"/><Relationship Id="rId835" Type="http://schemas.openxmlformats.org/officeDocument/2006/relationships/hyperlink" Target="https://m.media-amazon.com/images/W/WEBP_402378-T1/images/I/21e4IoLXBFL._SY300_SX300_QL70_FMwebp_.jpg" TargetMode="External"/><Relationship Id="rId834" Type="http://schemas.openxmlformats.org/officeDocument/2006/relationships/hyperlink" Target="https://m.media-amazon.com/images/I/11ICusapw3L._SY300_SX300_QL70_FMwebp_.jpg" TargetMode="External"/><Relationship Id="rId1420" Type="http://schemas.openxmlformats.org/officeDocument/2006/relationships/hyperlink" Target="https://m.media-amazon.com/images/I/31afXBXOUVL._SX300_SY300_QL70_FMwebp_.jpg" TargetMode="External"/><Relationship Id="rId1421" Type="http://schemas.openxmlformats.org/officeDocument/2006/relationships/hyperlink" Target="https://m.media-amazon.com/images/W/WEBP_402378-T2/images/I/41BMEYjkguL._SY300_SX300_QL70_FMwebp_.jpg" TargetMode="External"/><Relationship Id="rId1059" Type="http://schemas.openxmlformats.org/officeDocument/2006/relationships/hyperlink" Target="https://m.media-amazon.com/images/W/WEBP_402378-T1/images/I/4171TGwCHvL._SX300_SY300_QL70_FMwebp_.jpg" TargetMode="External"/><Relationship Id="rId228" Type="http://schemas.openxmlformats.org/officeDocument/2006/relationships/hyperlink" Target="https://m.media-amazon.com/images/I/41+H-BiHBlS._SX300_SY300_.jpg" TargetMode="External"/><Relationship Id="rId227" Type="http://schemas.openxmlformats.org/officeDocument/2006/relationships/hyperlink" Target="https://m.media-amazon.com/images/W/WEBP_402378-T1/images/I/31h559f7EaL._SX300_SY300_QL70_FMwebp_.jpg" TargetMode="External"/><Relationship Id="rId469" Type="http://schemas.openxmlformats.org/officeDocument/2006/relationships/hyperlink" Target="https://m.media-amazon.com/images/I/51R2kfyMW5L._SX300_SY300_QL70_ML2_.jpg" TargetMode="External"/><Relationship Id="rId226" Type="http://schemas.openxmlformats.org/officeDocument/2006/relationships/hyperlink" Target="https://m.media-amazon.com/images/W/WEBP_402378-T1/images/I/31KL5uYqVRL._SX300_SY300_QL70_FMwebp_.jpg" TargetMode="External"/><Relationship Id="rId468" Type="http://schemas.openxmlformats.org/officeDocument/2006/relationships/hyperlink" Target="https://m.media-amazon.com/images/I/41TZJiPRRwL._SX300_SY300_QL70_ML2_.jpg" TargetMode="External"/><Relationship Id="rId225" Type="http://schemas.openxmlformats.org/officeDocument/2006/relationships/hyperlink" Target="https://m.media-amazon.com/images/I/31J3pwT7i4L._SY300_SX300_QL70_FMwebp_.jpg" TargetMode="External"/><Relationship Id="rId467" Type="http://schemas.openxmlformats.org/officeDocument/2006/relationships/hyperlink" Target="https://m.media-amazon.com/images/I/31FzYVC62wL._SX300_SY300_QL70_ML2_.jpg" TargetMode="External"/><Relationship Id="rId1290" Type="http://schemas.openxmlformats.org/officeDocument/2006/relationships/hyperlink" Target="https://m.media-amazon.com/images/W/WEBP_402378-T1/images/I/41ZvKRULvDL._SY445_SX342_QL70_FMwebp_.jpg" TargetMode="External"/><Relationship Id="rId1291" Type="http://schemas.openxmlformats.org/officeDocument/2006/relationships/hyperlink" Target="https://m.media-amazon.com/images/I/41EuzetRjTL._SX300_SY300_QL70_FMwebp_.jpg" TargetMode="External"/><Relationship Id="rId229" Type="http://schemas.openxmlformats.org/officeDocument/2006/relationships/hyperlink" Target="https://m.media-amazon.com/images/I/41VKU5Lkg3L._SX300_SY300_QL70_FMwebp_.jpg" TargetMode="External"/><Relationship Id="rId1050" Type="http://schemas.openxmlformats.org/officeDocument/2006/relationships/hyperlink" Target="https://m.media-amazon.com/images/I/51DxyRgcEdL._SX300_SY300_QL70_FMwebp_.jpg" TargetMode="External"/><Relationship Id="rId1292" Type="http://schemas.openxmlformats.org/officeDocument/2006/relationships/hyperlink" Target="https://m.media-amazon.com/images/I/31vL9-jaaJL._SX300_SY300_QL70_FMwebp_.jpg" TargetMode="External"/><Relationship Id="rId220" Type="http://schemas.openxmlformats.org/officeDocument/2006/relationships/hyperlink" Target="https://m.media-amazon.com/images/I/41ovRStbxUL._SX300_SY300_QL70_FMwebp_.jpg" TargetMode="External"/><Relationship Id="rId462" Type="http://schemas.openxmlformats.org/officeDocument/2006/relationships/hyperlink" Target="https://m.media-amazon.com/images/I/31AGkV82sES._SX300_SY300_QL70_ML2_.jpg" TargetMode="External"/><Relationship Id="rId1051" Type="http://schemas.openxmlformats.org/officeDocument/2006/relationships/hyperlink" Target="https://m.media-amazon.com/images/I/51oPN7WqUwL._SY300_SX300_QL70_FMwebp_.jpg" TargetMode="External"/><Relationship Id="rId1293" Type="http://schemas.openxmlformats.org/officeDocument/2006/relationships/hyperlink" Target="https://m.media-amazon.com/images/I/41OZjIUftuL._SX300_SY300_QL70_FMwebp_.jpg" TargetMode="External"/><Relationship Id="rId461" Type="http://schemas.openxmlformats.org/officeDocument/2006/relationships/hyperlink" Target="https://m.media-amazon.com/images/I/31jgUvSar0L._SX300_SY300_QL70_ML2_.jpg" TargetMode="External"/><Relationship Id="rId1052" Type="http://schemas.openxmlformats.org/officeDocument/2006/relationships/hyperlink" Target="https://m.media-amazon.com/images/W/WEBP_402378-T2/images/I/31Q16tE2voL._SX300_SY300_QL70_FMwebp_.jpg" TargetMode="External"/><Relationship Id="rId1294" Type="http://schemas.openxmlformats.org/officeDocument/2006/relationships/hyperlink" Target="https://m.media-amazon.com/images/I/41xLjSyJtYL._SX300_SY300_QL70_FMwebp_.jpg" TargetMode="External"/><Relationship Id="rId460" Type="http://schemas.openxmlformats.org/officeDocument/2006/relationships/hyperlink" Target="https://m.media-amazon.com/images/I/51EiPNlJDgL._SX300_SY300_QL70_ML2_.jpg" TargetMode="External"/><Relationship Id="rId1053" Type="http://schemas.openxmlformats.org/officeDocument/2006/relationships/hyperlink" Target="https://m.media-amazon.com/images/W/WEBP_402378-T1/images/I/317ws2QblnL._SX300_SY300_QL70_FMwebp_.jpg" TargetMode="External"/><Relationship Id="rId1295" Type="http://schemas.openxmlformats.org/officeDocument/2006/relationships/hyperlink" Target="https://m.media-amazon.com/images/I/51CyJ9dUiWL._SX300_SY300_QL70_FMwebp_.jpg" TargetMode="External"/><Relationship Id="rId1054" Type="http://schemas.openxmlformats.org/officeDocument/2006/relationships/hyperlink" Target="https://m.media-amazon.com/images/I/41Y8kHM144L._SY300_SX300_QL70_FMwebp_.jpg" TargetMode="External"/><Relationship Id="rId1296" Type="http://schemas.openxmlformats.org/officeDocument/2006/relationships/hyperlink" Target="https://m.media-amazon.com/images/I/31hXo964hqL._SY300_SX300_QL70_FMwebp_.jpg" TargetMode="External"/><Relationship Id="rId224" Type="http://schemas.openxmlformats.org/officeDocument/2006/relationships/hyperlink" Target="https://m.media-amazon.com/images/W/WEBP_402378-T1/images/I/41ngtt1EmoL._SX300_SY300_QL70_FMwebp_.jpg" TargetMode="External"/><Relationship Id="rId466" Type="http://schemas.openxmlformats.org/officeDocument/2006/relationships/hyperlink" Target="https://m.media-amazon.com/images/I/41S7tnENirL._SX300_SY300_QL70_ML2_.jpg" TargetMode="External"/><Relationship Id="rId1055" Type="http://schemas.openxmlformats.org/officeDocument/2006/relationships/hyperlink" Target="https://m.media-amazon.com/images/I/31Jad8ITgaL._SX300_SY300_QL70_FMwebp_.jpg" TargetMode="External"/><Relationship Id="rId1297" Type="http://schemas.openxmlformats.org/officeDocument/2006/relationships/hyperlink" Target="https://m.media-amazon.com/images/I/51RQbF6ZuLL._SX300_SY300_QL70_FMwebp_.jpg" TargetMode="External"/><Relationship Id="rId223" Type="http://schemas.openxmlformats.org/officeDocument/2006/relationships/hyperlink" Target="https://m.media-amazon.com/images/I/41yMQskyzFL._SX300_SY300_QL70_FMwebp_.jpg" TargetMode="External"/><Relationship Id="rId465" Type="http://schemas.openxmlformats.org/officeDocument/2006/relationships/hyperlink" Target="https://m.media-amazon.com/images/I/31gaP7qpBNL._SX300_SY300_QL70_ML2_.jpg" TargetMode="External"/><Relationship Id="rId1056" Type="http://schemas.openxmlformats.org/officeDocument/2006/relationships/hyperlink" Target="https://m.media-amazon.com/images/I/41oxCycQ4BL._SX300_SY300_QL70_FMwebp_.jpg" TargetMode="External"/><Relationship Id="rId1298" Type="http://schemas.openxmlformats.org/officeDocument/2006/relationships/hyperlink" Target="https://m.media-amazon.com/images/W/WEBP_402378-T1/images/I/41tcKYuBPSL._SX300_SY300_QL70_FMwebp_.jpg" TargetMode="External"/><Relationship Id="rId222" Type="http://schemas.openxmlformats.org/officeDocument/2006/relationships/hyperlink" Target="https://m.media-amazon.com/images/I/31U-gk8FwsL._SX300_SY300_QL70_FMwebp_.jpg" TargetMode="External"/><Relationship Id="rId464" Type="http://schemas.openxmlformats.org/officeDocument/2006/relationships/hyperlink" Target="https://m.media-amazon.com/images/I/41k-VlGbYnL._SX300_SY300_QL70_ML2_.jpg" TargetMode="External"/><Relationship Id="rId1057" Type="http://schemas.openxmlformats.org/officeDocument/2006/relationships/hyperlink" Target="https://m.media-amazon.com/images/W/WEBP_402378-T1/images/I/41Xp77o+-YL._SX300_SY300_.jpg" TargetMode="External"/><Relationship Id="rId1299" Type="http://schemas.openxmlformats.org/officeDocument/2006/relationships/hyperlink" Target="https://m.media-amazon.com/images/W/WEBP_402378-T1/images/I/41Xg2TPKwyL._SX300_SY300_QL70_FMwebp_.jpg" TargetMode="External"/><Relationship Id="rId221" Type="http://schemas.openxmlformats.org/officeDocument/2006/relationships/hyperlink" Target="https://m.media-amazon.com/images/I/41eHLj-wfGL._SX300_SY300_QL70_FMwebp_.jpg" TargetMode="External"/><Relationship Id="rId463" Type="http://schemas.openxmlformats.org/officeDocument/2006/relationships/hyperlink" Target="https://m.media-amazon.com/images/I/41fXq5ZKACL._SX300_SY300_QL70_ML2_.jpg" TargetMode="External"/><Relationship Id="rId1058" Type="http://schemas.openxmlformats.org/officeDocument/2006/relationships/hyperlink" Target="https://m.media-amazon.com/images/I/31flPimoFpL._SX300_SY300_QL70_FMwebp_.jpg" TargetMode="External"/><Relationship Id="rId1048" Type="http://schemas.openxmlformats.org/officeDocument/2006/relationships/hyperlink" Target="https://m.media-amazon.com/images/W/WEBP_402378-T1/images/I/31rucE-db2L._SX300_SY300_QL70_FMwebp_.jpg" TargetMode="External"/><Relationship Id="rId1049" Type="http://schemas.openxmlformats.org/officeDocument/2006/relationships/hyperlink" Target="https://m.media-amazon.com/images/W/WEBP_402378-T1/images/I/41h9kA2Tt7S._SX300_SY300_QL70_FMwebp_.jpg" TargetMode="External"/><Relationship Id="rId217" Type="http://schemas.openxmlformats.org/officeDocument/2006/relationships/hyperlink" Target="https://m.media-amazon.com/images/I/41BaZZ48wjS._SX300_SY300_QL70_FMwebp_.jpg" TargetMode="External"/><Relationship Id="rId459" Type="http://schemas.openxmlformats.org/officeDocument/2006/relationships/hyperlink" Target="https://m.media-amazon.com/images/I/4141l8ZBWXL._SX300_SY300_QL70_ML2_.jpg" TargetMode="External"/><Relationship Id="rId216" Type="http://schemas.openxmlformats.org/officeDocument/2006/relationships/hyperlink" Target="https://m.media-amazon.com/images/I/41YDz0uQZaL._SY300_SX300_QL70_FMwebp_.jpg" TargetMode="External"/><Relationship Id="rId458" Type="http://schemas.openxmlformats.org/officeDocument/2006/relationships/hyperlink" Target="https://m.media-amazon.com/images/I/41fjUA7leTL._SX300_SY300_QL70_ML2_.jpg" TargetMode="External"/><Relationship Id="rId215" Type="http://schemas.openxmlformats.org/officeDocument/2006/relationships/hyperlink" Target="https://m.media-amazon.com/images/I/31QdoA5bJAL._SX300_SY300_QL70_FMwebp_.jpg" TargetMode="External"/><Relationship Id="rId457" Type="http://schemas.openxmlformats.org/officeDocument/2006/relationships/hyperlink" Target="https://m.media-amazon.com/images/I/41R08zLK69L._SX300_SY300_QL70_ML2_.jpg" TargetMode="External"/><Relationship Id="rId699" Type="http://schemas.openxmlformats.org/officeDocument/2006/relationships/hyperlink" Target="https://m.media-amazon.com/images/I/41NJeh+qQRL._SY300_SX300_.jpg" TargetMode="External"/><Relationship Id="rId214" Type="http://schemas.openxmlformats.org/officeDocument/2006/relationships/hyperlink" Target="https://m.media-amazon.com/images/I/31f4cZdDnJL._SX300_SY300_QL70_FMwebp_.jpg" TargetMode="External"/><Relationship Id="rId456" Type="http://schemas.openxmlformats.org/officeDocument/2006/relationships/hyperlink" Target="https://m.media-amazon.com/images/I/41MOWVL2YNL._SX300_SY300_QL70_ML2_.jpg" TargetMode="External"/><Relationship Id="rId698" Type="http://schemas.openxmlformats.org/officeDocument/2006/relationships/hyperlink" Target="https://m.media-amazon.com/images/W/WEBP_402378-T1/images/I/31puHGasbOL._SX300_SY300_QL70_FMwebp_.jpg" TargetMode="External"/><Relationship Id="rId219" Type="http://schemas.openxmlformats.org/officeDocument/2006/relationships/hyperlink" Target="https://m.media-amazon.com/images/W/WEBP_402378-T1/images/I/417qayz2nNL._SX300_SY300_QL70_FMwebp_.jpg" TargetMode="External"/><Relationship Id="rId1280" Type="http://schemas.openxmlformats.org/officeDocument/2006/relationships/hyperlink" Target="https://m.media-amazon.com/images/W/WEBP_402378-T1/images/I/41lZEy8e9DL._SX300_SY300_QL70_FMwebp_.jpg" TargetMode="External"/><Relationship Id="rId218" Type="http://schemas.openxmlformats.org/officeDocument/2006/relationships/hyperlink" Target="https://m.media-amazon.com/images/W/WEBP_402378-T2/images/I/41-VkhORGAL._SX300_SY300_QL70_FMwebp_.jpg" TargetMode="External"/><Relationship Id="rId1281" Type="http://schemas.openxmlformats.org/officeDocument/2006/relationships/hyperlink" Target="https://m.media-amazon.com/images/W/WEBP_402378-T2/images/I/41mtYvY3VdS._SX300_SY300_QL70_FMwebp_.jpg" TargetMode="External"/><Relationship Id="rId451" Type="http://schemas.openxmlformats.org/officeDocument/2006/relationships/hyperlink" Target="https://m.media-amazon.com/images/I/41XtHlbmOHL._SX300_SY300_QL70_ML2_.jpg" TargetMode="External"/><Relationship Id="rId693" Type="http://schemas.openxmlformats.org/officeDocument/2006/relationships/hyperlink" Target="https://m.media-amazon.com/images/W/WEBP_402378-T2/images/I/41R08zLK69L._SX300_SY300_QL70_FMwebp_.jpg" TargetMode="External"/><Relationship Id="rId1040" Type="http://schemas.openxmlformats.org/officeDocument/2006/relationships/hyperlink" Target="https://m.media-amazon.com/images/W/WEBP_402378-T1/images/I/31991seDfcL._SY300_SX300_QL70_FMwebp_.jpg" TargetMode="External"/><Relationship Id="rId1282" Type="http://schemas.openxmlformats.org/officeDocument/2006/relationships/hyperlink" Target="https://m.media-amazon.com/images/I/41IJvfYMaZL._SY300_SX300_QL70_FMwebp_.jpg" TargetMode="External"/><Relationship Id="rId450" Type="http://schemas.openxmlformats.org/officeDocument/2006/relationships/hyperlink" Target="https://m.media-amazon.com/images/I/31-hWNXDxiL._SX300_SY300_QL70_ML2_.jpg" TargetMode="External"/><Relationship Id="rId692" Type="http://schemas.openxmlformats.org/officeDocument/2006/relationships/hyperlink" Target="https://m.media-amazon.com/images/W/WEBP_402378-T1/images/I/31TZq2dY-hL._SX300_SY300_QL70_FMwebp_.jpg" TargetMode="External"/><Relationship Id="rId1041" Type="http://schemas.openxmlformats.org/officeDocument/2006/relationships/hyperlink" Target="https://m.media-amazon.com/images/W/WEBP_402378-T1/images/I/31HzCDKv6ZL._SX300_SY300_QL70_FMwebp_.jpg" TargetMode="External"/><Relationship Id="rId1283" Type="http://schemas.openxmlformats.org/officeDocument/2006/relationships/hyperlink" Target="https://m.media-amazon.com/images/W/WEBP_402378-T2/images/I/411uVIJr+QL._SY300_SX300_.jpg" TargetMode="External"/><Relationship Id="rId691" Type="http://schemas.openxmlformats.org/officeDocument/2006/relationships/hyperlink" Target="https://m.media-amazon.com/images/I/314g1W9h2rL._SX300_SY300_QL70_FMwebp_.jpg" TargetMode="External"/><Relationship Id="rId1042" Type="http://schemas.openxmlformats.org/officeDocument/2006/relationships/hyperlink" Target="https://m.media-amazon.com/images/I/31S74o1sCSS._SY300_SX300_QL70_FMwebp_.jpg" TargetMode="External"/><Relationship Id="rId1284" Type="http://schemas.openxmlformats.org/officeDocument/2006/relationships/hyperlink" Target="https://m.media-amazon.com/images/I/21TQo2rZRbL._SX300_SY300_QL70_FMwebp_.jpg" TargetMode="External"/><Relationship Id="rId690" Type="http://schemas.openxmlformats.org/officeDocument/2006/relationships/hyperlink" Target="https://m.media-amazon.com/images/I/31J6qGhAL9L._SX300_SY300_QL70_FMwebp_.jpg" TargetMode="External"/><Relationship Id="rId1043" Type="http://schemas.openxmlformats.org/officeDocument/2006/relationships/hyperlink" Target="https://m.media-amazon.com/images/W/WEBP_402378-T2/images/I/31zh7GQSkfL._SX300_SY300_QL70_FMwebp_.jpg" TargetMode="External"/><Relationship Id="rId1285" Type="http://schemas.openxmlformats.org/officeDocument/2006/relationships/hyperlink" Target="https://m.media-amazon.com/images/I/41iHB-nmy8L._SX300_SY300_QL70_FMwebp_.jpg" TargetMode="External"/><Relationship Id="rId213" Type="http://schemas.openxmlformats.org/officeDocument/2006/relationships/hyperlink" Target="https://m.media-amazon.com/images/I/41WuKPTQhTL._SY300_SX300_QL70_FMwebp_.jpg" TargetMode="External"/><Relationship Id="rId455" Type="http://schemas.openxmlformats.org/officeDocument/2006/relationships/hyperlink" Target="https://m.media-amazon.com/images/I/31J6qGhAL9L._SX300_SY300_QL70_ML2_.jpg" TargetMode="External"/><Relationship Id="rId697" Type="http://schemas.openxmlformats.org/officeDocument/2006/relationships/hyperlink" Target="https://m.media-amazon.com/images/I/4152kKO7W8L._SY300_SX300_QL70_FMwebp_.jpg" TargetMode="External"/><Relationship Id="rId1044" Type="http://schemas.openxmlformats.org/officeDocument/2006/relationships/hyperlink" Target="https://m.media-amazon.com/images/I/4150hW2kHwL._SX300_SY300_QL70_FMwebp_.jpg" TargetMode="External"/><Relationship Id="rId1286" Type="http://schemas.openxmlformats.org/officeDocument/2006/relationships/hyperlink" Target="https://m.media-amazon.com/images/W/WEBP_402378-T1/images/I/414PLTPvJBL._SX300_SY300_QL70_FMwebp_.jpg" TargetMode="External"/><Relationship Id="rId212" Type="http://schemas.openxmlformats.org/officeDocument/2006/relationships/hyperlink" Target="https://m.media-amazon.com/images/W/WEBP_402378-T1/images/I/317Uu2STldL._SX300_SY300_QL70_FMwebp_.jpg" TargetMode="External"/><Relationship Id="rId454" Type="http://schemas.openxmlformats.org/officeDocument/2006/relationships/hyperlink" Target="https://m.media-amazon.com/images/I/41OaM+9ZHXL._SY300_SX300_.jpg" TargetMode="External"/><Relationship Id="rId696" Type="http://schemas.openxmlformats.org/officeDocument/2006/relationships/hyperlink" Target="https://m.media-amazon.com/images/W/WEBP_402378-T2/images/I/3172BJyynBS._SY300_SX300_QL70_FMwebp_.jpg" TargetMode="External"/><Relationship Id="rId1045" Type="http://schemas.openxmlformats.org/officeDocument/2006/relationships/hyperlink" Target="https://m.media-amazon.com/images/I/31U-ACCgQ1L._SX300_SY300_QL70_FMwebp_.jpg" TargetMode="External"/><Relationship Id="rId1287" Type="http://schemas.openxmlformats.org/officeDocument/2006/relationships/hyperlink" Target="https://m.media-amazon.com/images/I/51pFS9lDzML._SY300_SX300_QL70_FMwebp_.jpg" TargetMode="External"/><Relationship Id="rId211" Type="http://schemas.openxmlformats.org/officeDocument/2006/relationships/hyperlink" Target="https://m.media-amazon.com/images/I/41p+lllC3HL._SY300_SX300_.jpg" TargetMode="External"/><Relationship Id="rId453" Type="http://schemas.openxmlformats.org/officeDocument/2006/relationships/hyperlink" Target="https://m.media-amazon.com/images/I/41OBf52bnOL._SX300_SY300_QL70_ML2_.jpg" TargetMode="External"/><Relationship Id="rId695" Type="http://schemas.openxmlformats.org/officeDocument/2006/relationships/hyperlink" Target="https://m.media-amazon.com/images/W/WEBP_402378-T1/images/I/41XH-IpxCQL._SX300_SY300_QL70_FMwebp_.jpg" TargetMode="External"/><Relationship Id="rId1046" Type="http://schemas.openxmlformats.org/officeDocument/2006/relationships/hyperlink" Target="https://m.media-amazon.com/images/I/413sK6yat-L._SX300_SY300_QL70_FMwebp_.jpg" TargetMode="External"/><Relationship Id="rId1288" Type="http://schemas.openxmlformats.org/officeDocument/2006/relationships/hyperlink" Target="https://m.media-amazon.com/images/W/WEBP_402378-T2/images/I/31uAkMaOShS._SX300_SY300_QL70_FMwebp_.jpg" TargetMode="External"/><Relationship Id="rId210" Type="http://schemas.openxmlformats.org/officeDocument/2006/relationships/hyperlink" Target="https://m.media-amazon.com/images/W/WEBP_402378-T2/images/I/416A01cyQYL._SX300_SY300_QL70_FMwebp_.jpg" TargetMode="External"/><Relationship Id="rId452" Type="http://schemas.openxmlformats.org/officeDocument/2006/relationships/hyperlink" Target="https://m.media-amazon.com/images/I/21Z1HsPvyTL._SX300_SY300_QL70_ML2_.jpg" TargetMode="External"/><Relationship Id="rId694" Type="http://schemas.openxmlformats.org/officeDocument/2006/relationships/hyperlink" Target="https://m.media-amazon.com/images/W/WEBP_402378-T2/images/I/41IZ3JvOvwL._SX300_SY300_QL70_FMwebp_.jpg" TargetMode="External"/><Relationship Id="rId1047" Type="http://schemas.openxmlformats.org/officeDocument/2006/relationships/hyperlink" Target="https://m.media-amazon.com/images/W/WEBP_402378-T1/images/I/41jBJfPQFwL._SY300_SX300_QL70_FMwebp_.jpg" TargetMode="External"/><Relationship Id="rId1289" Type="http://schemas.openxmlformats.org/officeDocument/2006/relationships/hyperlink" Target="https://m.media-amazon.com/images/I/41yPeG8kXxL._SX300_SY300_QL70_FMwebp_.jpg" TargetMode="External"/><Relationship Id="rId491" Type="http://schemas.openxmlformats.org/officeDocument/2006/relationships/hyperlink" Target="https://m.media-amazon.com/images/I/41gQbaGlXrL._SX300_SY300_QL70_ML2_.jpg" TargetMode="External"/><Relationship Id="rId490" Type="http://schemas.openxmlformats.org/officeDocument/2006/relationships/hyperlink" Target="https://m.media-amazon.com/images/I/41Lif4YWC2L._SX300_SY300_QL70_ML2_.jpg" TargetMode="External"/><Relationship Id="rId249" Type="http://schemas.openxmlformats.org/officeDocument/2006/relationships/hyperlink" Target="https://m.media-amazon.com/images/I/31qs7auuBKL._SY445_SX342_QL70_FMwebp_.jpg" TargetMode="External"/><Relationship Id="rId248" Type="http://schemas.openxmlformats.org/officeDocument/2006/relationships/hyperlink" Target="https://m.media-amazon.com/images/W/WEBP_402378-T1/images/I/41pOYlC-U8L._SX300_SY300_QL70_FMwebp_.jpg" TargetMode="External"/><Relationship Id="rId247" Type="http://schemas.openxmlformats.org/officeDocument/2006/relationships/hyperlink" Target="https://m.media-amazon.com/images/I/317rlQQXhYL._SX300_SY300_QL70_FMwebp_.jpg" TargetMode="External"/><Relationship Id="rId489" Type="http://schemas.openxmlformats.org/officeDocument/2006/relationships/hyperlink" Target="https://m.media-amazon.com/images/I/318Pgjl1wqL._SX300_SY300_QL70_ML2_.jpg" TargetMode="External"/><Relationship Id="rId1070" Type="http://schemas.openxmlformats.org/officeDocument/2006/relationships/hyperlink" Target="https://m.media-amazon.com/images/I/31zTQCdL35S._SX300_SY300_QL70_FMwebp_.jpg" TargetMode="External"/><Relationship Id="rId1071" Type="http://schemas.openxmlformats.org/officeDocument/2006/relationships/hyperlink" Target="https://m.media-amazon.com/images/W/WEBP_402378-T1/images/I/41e3A7YKxeL._SX300_SY300_QL70_FMwebp_.jpg" TargetMode="External"/><Relationship Id="rId1072" Type="http://schemas.openxmlformats.org/officeDocument/2006/relationships/hyperlink" Target="https://m.media-amazon.com/images/I/41twHEBU-LL._SX300_SY300_QL70_FMwebp_.jpg" TargetMode="External"/><Relationship Id="rId242" Type="http://schemas.openxmlformats.org/officeDocument/2006/relationships/hyperlink" Target="https://m.media-amazon.com/images/I/41etMsrKqTL._SX300_SY300_QL70_FMwebp_.jpg" TargetMode="External"/><Relationship Id="rId484" Type="http://schemas.openxmlformats.org/officeDocument/2006/relationships/hyperlink" Target="https://m.media-amazon.com/images/I/31H8AoDYAYL._SX300_SY300_QL70_ML2_.jpg" TargetMode="External"/><Relationship Id="rId1073" Type="http://schemas.openxmlformats.org/officeDocument/2006/relationships/hyperlink" Target="https://m.media-amazon.com/images/I/41LFdROYICL._SX300_SY300_QL70_FMwebp_.jpg" TargetMode="External"/><Relationship Id="rId241" Type="http://schemas.openxmlformats.org/officeDocument/2006/relationships/hyperlink" Target="https://m.media-amazon.com/images/W/WEBP_402378-T2/images/I/31VemHkewfL._SX300_SY300_QL70_FMwebp_.jpg" TargetMode="External"/><Relationship Id="rId483" Type="http://schemas.openxmlformats.org/officeDocument/2006/relationships/hyperlink" Target="https://m.media-amazon.com/images/I/3187gPkT6GL._SX300_SY300_QL70_ML2_.jpg" TargetMode="External"/><Relationship Id="rId1074" Type="http://schemas.openxmlformats.org/officeDocument/2006/relationships/hyperlink" Target="https://m.media-amazon.com/images/W/WEBP_402378-T1/images/I/31VoHcKK5ZL._SX300_SY300_QL70_FMwebp_.jpg" TargetMode="External"/><Relationship Id="rId240" Type="http://schemas.openxmlformats.org/officeDocument/2006/relationships/hyperlink" Target="https://m.media-amazon.com/images/W/WEBP_402378-T2/images/I/41vJcrdr5mL._SY300_SX300_QL70_FMwebp_.jpg" TargetMode="External"/><Relationship Id="rId482" Type="http://schemas.openxmlformats.org/officeDocument/2006/relationships/hyperlink" Target="https://m.media-amazon.com/images/I/413sCRKobNL._SX300_SY300_QL70_ML2_.jpg" TargetMode="External"/><Relationship Id="rId1075" Type="http://schemas.openxmlformats.org/officeDocument/2006/relationships/hyperlink" Target="https://images-na.ssl-images-amazon.com/images/W/WEBP_402378-T1/images/I/41d17oVYVeL._SX300_SY300_QL70_FMwebp_.jpg" TargetMode="External"/><Relationship Id="rId481" Type="http://schemas.openxmlformats.org/officeDocument/2006/relationships/hyperlink" Target="https://m.media-amazon.com/images/I/31bKIZtFGWL._SX300_SY300_QL70_ML2_.jpg" TargetMode="External"/><Relationship Id="rId1076" Type="http://schemas.openxmlformats.org/officeDocument/2006/relationships/hyperlink" Target="https://m.media-amazon.com/images/I/41SkG6Puq5L._SX300_SY300_QL70_FMwebp_.jpg" TargetMode="External"/><Relationship Id="rId246" Type="http://schemas.openxmlformats.org/officeDocument/2006/relationships/hyperlink" Target="https://m.media-amazon.com/images/I/412XfBAEikL._SX300_SY300_QL70_FMwebp_.jpg" TargetMode="External"/><Relationship Id="rId488" Type="http://schemas.openxmlformats.org/officeDocument/2006/relationships/hyperlink" Target="https://m.media-amazon.com/images/I/4123OnLZCFL._SX300_SY300_QL70_ML2_.jpg" TargetMode="External"/><Relationship Id="rId1077" Type="http://schemas.openxmlformats.org/officeDocument/2006/relationships/hyperlink" Target="https://m.media-amazon.com/images/I/41KeuNgJDiL._SX300_SY300_QL70_FMwebp_.jpg" TargetMode="External"/><Relationship Id="rId245" Type="http://schemas.openxmlformats.org/officeDocument/2006/relationships/hyperlink" Target="https://m.media-amazon.com/images/W/WEBP_402378-T2/images/I/41rEpW57SyL._SX300_SY300_QL70_FMwebp_.jpg" TargetMode="External"/><Relationship Id="rId487" Type="http://schemas.openxmlformats.org/officeDocument/2006/relationships/hyperlink" Target="https://m.media-amazon.com/images/I/31tWzHMz6vL._SY445_SX342_QL70_ML2_.jpg" TargetMode="External"/><Relationship Id="rId1078" Type="http://schemas.openxmlformats.org/officeDocument/2006/relationships/hyperlink" Target="https://m.media-amazon.com/images/I/31DA6bcvbfL._SY300_SX300_QL70_FMwebp_.jpg" TargetMode="External"/><Relationship Id="rId244" Type="http://schemas.openxmlformats.org/officeDocument/2006/relationships/hyperlink" Target="https://m.media-amazon.com/images/W/WEBP_402378-T2/images/I/31dENZ1gQVL._SX300_SY300_QL70_FMwebp_.jpg" TargetMode="External"/><Relationship Id="rId486" Type="http://schemas.openxmlformats.org/officeDocument/2006/relationships/hyperlink" Target="https://m.media-amazon.com/images/I/31SKRsp7Y1L._SX300_SY300_QL70_ML2_.jpg" TargetMode="External"/><Relationship Id="rId1079" Type="http://schemas.openxmlformats.org/officeDocument/2006/relationships/hyperlink" Target="https://m.media-amazon.com/images/W/WEBP_402378-T1/images/I/31YrFqskR7L._SX300_SY300_QL70_FMwebp_.jpg" TargetMode="External"/><Relationship Id="rId243" Type="http://schemas.openxmlformats.org/officeDocument/2006/relationships/hyperlink" Target="https://m.media-amazon.com/images/I/41js3ITzVHL._SY300_SX300_QL70_FMwebp_.jpg" TargetMode="External"/><Relationship Id="rId485" Type="http://schemas.openxmlformats.org/officeDocument/2006/relationships/hyperlink" Target="https://m.media-amazon.com/images/I/41vMaBVWDjL._SX300_SY300_QL70_ML2_.jpg" TargetMode="External"/><Relationship Id="rId480" Type="http://schemas.openxmlformats.org/officeDocument/2006/relationships/hyperlink" Target="https://m.media-amazon.com/images/I/31kLQHU5pdL._SX300_SY300_QL70_ML2_.jpg" TargetMode="External"/><Relationship Id="rId239" Type="http://schemas.openxmlformats.org/officeDocument/2006/relationships/hyperlink" Target="https://m.media-amazon.com/images/W/WEBP_402378-T2/images/I/41FQPJ+s61L._SX342_SY445_.jpg" TargetMode="External"/><Relationship Id="rId238" Type="http://schemas.openxmlformats.org/officeDocument/2006/relationships/hyperlink" Target="https://m.media-amazon.com/images/W/WEBP_402378-T2/images/I/31MQ2YXMb4L._SY445_SX342_QL70_FMwebp_.jpg" TargetMode="External"/><Relationship Id="rId237" Type="http://schemas.openxmlformats.org/officeDocument/2006/relationships/hyperlink" Target="https://m.media-amazon.com/images/I/31DRQ+kgWaL._SY300_SX300_.jpg" TargetMode="External"/><Relationship Id="rId479" Type="http://schemas.openxmlformats.org/officeDocument/2006/relationships/hyperlink" Target="https://m.media-amazon.com/images/I/31qGpf8uzuL._SY445_SX342_QL70_ML2_.jpg" TargetMode="External"/><Relationship Id="rId236" Type="http://schemas.openxmlformats.org/officeDocument/2006/relationships/hyperlink" Target="https://m.media-amazon.com/images/I/21DySoa1X+L._SY300_SX300_.jpg" TargetMode="External"/><Relationship Id="rId478" Type="http://schemas.openxmlformats.org/officeDocument/2006/relationships/hyperlink" Target="https://m.media-amazon.com/images/I/41PNVbmQdfL._SX300_SY300_QL70_ML2_.jpg" TargetMode="External"/><Relationship Id="rId1060" Type="http://schemas.openxmlformats.org/officeDocument/2006/relationships/hyperlink" Target="https://m.media-amazon.com/images/I/41HqmhflMWL._SX300_SY300_QL70_FMwebp_.jpg" TargetMode="External"/><Relationship Id="rId1061" Type="http://schemas.openxmlformats.org/officeDocument/2006/relationships/hyperlink" Target="https://m.media-amazon.com/images/W/WEBP_402378-T1/images/I/41TUgf0W8uL._SX300_SY300_QL70_FMwebp_.jpg" TargetMode="External"/><Relationship Id="rId231" Type="http://schemas.openxmlformats.org/officeDocument/2006/relationships/hyperlink" Target="https://m.media-amazon.com/images/W/WEBP_402378-T2/images/I/41AcG6PavXL._SX300_SY300_QL70_FMwebp_.jpg" TargetMode="External"/><Relationship Id="rId473" Type="http://schemas.openxmlformats.org/officeDocument/2006/relationships/hyperlink" Target="https://m.media-amazon.com/images/I/41xwPQLxTML._SX300_SY300_QL70_ML2_.jpg" TargetMode="External"/><Relationship Id="rId1062" Type="http://schemas.openxmlformats.org/officeDocument/2006/relationships/hyperlink" Target="https://m.media-amazon.com/images/I/41E0TjbPBAL._SX300_SY300_QL70_FMwebp_.jpg" TargetMode="External"/><Relationship Id="rId230" Type="http://schemas.openxmlformats.org/officeDocument/2006/relationships/hyperlink" Target="https://m.media-amazon.com/images/W/WEBP_402378-T2/images/I/41rDN2Ylj1L._SX300_SY300_QL70_FMwebp_.jpg" TargetMode="External"/><Relationship Id="rId472" Type="http://schemas.openxmlformats.org/officeDocument/2006/relationships/hyperlink" Target="https://m.media-amazon.com/images/I/41pQWwAzVyL._SY300_SX300_QL70_ML2_.jpg" TargetMode="External"/><Relationship Id="rId1063" Type="http://schemas.openxmlformats.org/officeDocument/2006/relationships/hyperlink" Target="https://m.media-amazon.com/images/W/WEBP_402378-T2/images/I/410H+3lohIL._SX300_SY300_.jpg" TargetMode="External"/><Relationship Id="rId471" Type="http://schemas.openxmlformats.org/officeDocument/2006/relationships/hyperlink" Target="https://m.media-amazon.com/images/I/41d84o5-M-L._SY445_SX342_QL70_ML2_.jpg" TargetMode="External"/><Relationship Id="rId1064" Type="http://schemas.openxmlformats.org/officeDocument/2006/relationships/hyperlink" Target="https://m.media-amazon.com/images/W/WEBP_402378-T1/images/I/41IymCXFA7L._SX300_SY300_QL70_FMwebp_.jpg" TargetMode="External"/><Relationship Id="rId470" Type="http://schemas.openxmlformats.org/officeDocument/2006/relationships/hyperlink" Target="https://m.media-amazon.com/images/I/41kg-+XWoxL._SY300_SX300_.jpg" TargetMode="External"/><Relationship Id="rId1065" Type="http://schemas.openxmlformats.org/officeDocument/2006/relationships/hyperlink" Target="https://m.media-amazon.com/images/I/41Bnylq337S._SX300_SY300_QL70_FMwebp_.jpg" TargetMode="External"/><Relationship Id="rId235" Type="http://schemas.openxmlformats.org/officeDocument/2006/relationships/hyperlink" Target="https://m.media-amazon.com/images/W/WEBP_402378-T2/images/I/31q4l5k9uOL._SX300_SY300_QL70_FMwebp_.jpg" TargetMode="External"/><Relationship Id="rId477" Type="http://schemas.openxmlformats.org/officeDocument/2006/relationships/hyperlink" Target="https://m.media-amazon.com/images/I/31hDWwY8iWL._SX300_SY300_QL70_ML2_.jpg" TargetMode="External"/><Relationship Id="rId1066" Type="http://schemas.openxmlformats.org/officeDocument/2006/relationships/hyperlink" Target="https://m.media-amazon.com/images/W/WEBP_402378-T2/images/I/41xXipZ7vjL._SX300_SY300_QL70_FMwebp_.jpg" TargetMode="External"/><Relationship Id="rId234" Type="http://schemas.openxmlformats.org/officeDocument/2006/relationships/hyperlink" Target="https://m.media-amazon.com/images/I/4173mQ7F-mL._SX300_SY300_QL70_FMwebp_.jpg" TargetMode="External"/><Relationship Id="rId476" Type="http://schemas.openxmlformats.org/officeDocument/2006/relationships/hyperlink" Target="https://m.media-amazon.com/images/I/41cYSMom9TL._SX300_SY300_QL70_ML2_.jpg" TargetMode="External"/><Relationship Id="rId1067" Type="http://schemas.openxmlformats.org/officeDocument/2006/relationships/hyperlink" Target="https://m.media-amazon.com/images/I/41NW-vJum5L._SX300_SY300_QL70_FMwebp_.jpg" TargetMode="External"/><Relationship Id="rId233" Type="http://schemas.openxmlformats.org/officeDocument/2006/relationships/hyperlink" Target="https://m.media-amazon.com/images/I/51TJwbyAtNL._SX300_SY300_QL70_FMwebp_.jpg" TargetMode="External"/><Relationship Id="rId475" Type="http://schemas.openxmlformats.org/officeDocument/2006/relationships/hyperlink" Target="https://m.media-amazon.com/images/I/41ziJKWj9LL._SX300_SY300_QL70_ML2_.jpg" TargetMode="External"/><Relationship Id="rId1068" Type="http://schemas.openxmlformats.org/officeDocument/2006/relationships/hyperlink" Target="https://m.media-amazon.com/images/W/WEBP_402378-T1/images/I/41B-iX4Pf5L._SX300_SY300_QL70_FMwebp_.jpg" TargetMode="External"/><Relationship Id="rId232" Type="http://schemas.openxmlformats.org/officeDocument/2006/relationships/hyperlink" Target="https://images-na.ssl-images-amazon.com/images/W/WEBP_402378-T2/images/I/51Y4ApH7emL._SX300_SY300_QL70_FMwebp_.jpg" TargetMode="External"/><Relationship Id="rId474" Type="http://schemas.openxmlformats.org/officeDocument/2006/relationships/hyperlink" Target="https://m.media-amazon.com/images/I/41P4Al+S3zL._SY300_SX300_.jpg" TargetMode="External"/><Relationship Id="rId1069" Type="http://schemas.openxmlformats.org/officeDocument/2006/relationships/hyperlink" Target="https://m.media-amazon.com/images/I/41vK2c5b-lL._SX300_SY300_QL70_FMwebp_.jpg" TargetMode="External"/><Relationship Id="rId1015" Type="http://schemas.openxmlformats.org/officeDocument/2006/relationships/hyperlink" Target="https://m.media-amazon.com/images/I/41PnIUzyYML._SX300_SY300_QL70_FMwebp_.jpg" TargetMode="External"/><Relationship Id="rId1257" Type="http://schemas.openxmlformats.org/officeDocument/2006/relationships/hyperlink" Target="https://m.media-amazon.com/images/W/WEBP_402378-T1/images/I/51mvimcd7EL._SY445_SX342_QL70_FMwebp_.jpg" TargetMode="External"/><Relationship Id="rId1016" Type="http://schemas.openxmlformats.org/officeDocument/2006/relationships/hyperlink" Target="https://m.media-amazon.com/images/W/WEBP_402378-T1/images/I/41ZeJ53ij3L._SX300_SY300_QL70_FMwebp_.jpg" TargetMode="External"/><Relationship Id="rId1258" Type="http://schemas.openxmlformats.org/officeDocument/2006/relationships/hyperlink" Target="https://m.media-amazon.com/images/I/41zqeckaQtS._SY300_SX300_QL70_FMwebp_.jpg" TargetMode="External"/><Relationship Id="rId1017" Type="http://schemas.openxmlformats.org/officeDocument/2006/relationships/hyperlink" Target="https://m.media-amazon.com/images/I/41uoxHxPDaL._SX300_SY300_QL70_FMwebp_.jpg" TargetMode="External"/><Relationship Id="rId1259" Type="http://schemas.openxmlformats.org/officeDocument/2006/relationships/hyperlink" Target="https://m.media-amazon.com/images/W/WEBP_402378-T2/images/I/41AQNOLe6GL._SX300_SY300_QL70_FMwebp_.jpg" TargetMode="External"/><Relationship Id="rId1018" Type="http://schemas.openxmlformats.org/officeDocument/2006/relationships/hyperlink" Target="https://m.media-amazon.com/images/I/217Lv1D3bHL._SX300_SY300_QL70_FMwebp_.jpg" TargetMode="External"/><Relationship Id="rId1019" Type="http://schemas.openxmlformats.org/officeDocument/2006/relationships/hyperlink" Target="https://m.media-amazon.com/images/W/WEBP_402378-T2/images/I/3135yilFsfL._SY445_SX342_QL70_FMwebp_.jpg" TargetMode="External"/><Relationship Id="rId426" Type="http://schemas.openxmlformats.org/officeDocument/2006/relationships/hyperlink" Target="https://m.media-amazon.com/images/I/413sCRKobNL._SX300_SY300_QL70_ML2_.jpg" TargetMode="External"/><Relationship Id="rId668" Type="http://schemas.openxmlformats.org/officeDocument/2006/relationships/hyperlink" Target="https://m.media-amazon.com/images/I/41XQP3N-SdL._SX300_SY300_QL70_FMwebp_.jpg" TargetMode="External"/><Relationship Id="rId425" Type="http://schemas.openxmlformats.org/officeDocument/2006/relationships/hyperlink" Target="https://m.media-amazon.com/images/I/21df1gnW1SL._SX300_SY300_QL70_ML2_.jpg" TargetMode="External"/><Relationship Id="rId667" Type="http://schemas.openxmlformats.org/officeDocument/2006/relationships/hyperlink" Target="https://m.media-amazon.com/images/I/51JF5xTgNhL._SX300_SY300_QL70_FMwebp_.jpg" TargetMode="External"/><Relationship Id="rId424" Type="http://schemas.openxmlformats.org/officeDocument/2006/relationships/hyperlink" Target="https://m.media-amazon.com/images/I/31kj3q4SepL._SY445_SX342_QL70_ML2_.jpg" TargetMode="External"/><Relationship Id="rId666" Type="http://schemas.openxmlformats.org/officeDocument/2006/relationships/hyperlink" Target="https://m.media-amazon.com/images/I/31Rn5CAJDBL._SX300_SY300_QL70_FMwebp_.jpg" TargetMode="External"/><Relationship Id="rId423" Type="http://schemas.openxmlformats.org/officeDocument/2006/relationships/hyperlink" Target="https://m.media-amazon.com/images/I/31XO-wfGGGL._SX300_SY300_QL70_ML2_.jpg" TargetMode="External"/><Relationship Id="rId665" Type="http://schemas.openxmlformats.org/officeDocument/2006/relationships/hyperlink" Target="https://m.media-amazon.com/images/W/WEBP_402378-T2/images/I/41PlZjYsy-L._SX300_SY300_QL70_FMwebp_.jpg" TargetMode="External"/><Relationship Id="rId429" Type="http://schemas.openxmlformats.org/officeDocument/2006/relationships/hyperlink" Target="https://m.media-amazon.com/images/I/31dJ+lXJq3L._SY300_SX300_.jpg" TargetMode="External"/><Relationship Id="rId428" Type="http://schemas.openxmlformats.org/officeDocument/2006/relationships/hyperlink" Target="https://m.media-amazon.com/images/I/411yU+n3UkL._SY300_SX300_.jpg" TargetMode="External"/><Relationship Id="rId427" Type="http://schemas.openxmlformats.org/officeDocument/2006/relationships/hyperlink" Target="https://m.media-amazon.com/images/I/511g3fIVsqL._SY300_SX300_QL70_ML2_.jpg" TargetMode="External"/><Relationship Id="rId669" Type="http://schemas.openxmlformats.org/officeDocument/2006/relationships/hyperlink" Target="https://m.media-amazon.com/images/I/31XO-wfGGGL._SX300_SY300_QL70_FMwebp_.jpg" TargetMode="External"/><Relationship Id="rId660" Type="http://schemas.openxmlformats.org/officeDocument/2006/relationships/hyperlink" Target="https://m.media-amazon.com/images/I/41LcHKyVl9L._SX300_SY300_QL70_FMwebp_.jpg" TargetMode="External"/><Relationship Id="rId1250" Type="http://schemas.openxmlformats.org/officeDocument/2006/relationships/hyperlink" Target="https://m.media-amazon.com/images/W/WEBP_402378-T2/images/I/41--5lc96UL._SX300_SY300_QL70_FMwebp_.jpg" TargetMode="External"/><Relationship Id="rId1251" Type="http://schemas.openxmlformats.org/officeDocument/2006/relationships/hyperlink" Target="https://m.media-amazon.com/images/W/WEBP_402378-T2/images/I/41QEK7WRJbL._SX300_SY300_QL70_FMwebp_.jpg" TargetMode="External"/><Relationship Id="rId1010" Type="http://schemas.openxmlformats.org/officeDocument/2006/relationships/hyperlink" Target="https://m.media-amazon.com/images/W/WEBP_402378-T2/images/I/318lV0rfJoL._SY300_SX300_QL70_FMwebp_.jpg" TargetMode="External"/><Relationship Id="rId1252" Type="http://schemas.openxmlformats.org/officeDocument/2006/relationships/hyperlink" Target="https://m.media-amazon.com/images/I/519Sexv76CL._SY300_SX300_QL70_FMwebp_.jpg" TargetMode="External"/><Relationship Id="rId422" Type="http://schemas.openxmlformats.org/officeDocument/2006/relationships/hyperlink" Target="https://m.media-amazon.com/images/I/41R9fDKo6iL._SX300_SY300_QL70_ML2_.jpg" TargetMode="External"/><Relationship Id="rId664" Type="http://schemas.openxmlformats.org/officeDocument/2006/relationships/hyperlink" Target="https://m.media-amazon.com/images/I/41VDUqScJFL._SX300_SY300_QL70_FMwebp_.jpg" TargetMode="External"/><Relationship Id="rId1011" Type="http://schemas.openxmlformats.org/officeDocument/2006/relationships/hyperlink" Target="https://m.media-amazon.com/images/I/41J6oGU8w5L._SX300_SY300_QL70_FMwebp_.jpg" TargetMode="External"/><Relationship Id="rId1253" Type="http://schemas.openxmlformats.org/officeDocument/2006/relationships/hyperlink" Target="https://m.media-amazon.com/images/I/41iBNm2ivFL._SX300_SY300_QL70_FMwebp_.jpg" TargetMode="External"/><Relationship Id="rId421" Type="http://schemas.openxmlformats.org/officeDocument/2006/relationships/hyperlink" Target="https://m.media-amazon.com/images/I/41pfjyUPZLL._SX300_SY300_QL70_ML2_.jpg" TargetMode="External"/><Relationship Id="rId663" Type="http://schemas.openxmlformats.org/officeDocument/2006/relationships/hyperlink" Target="https://m.media-amazon.com/images/W/WEBP_402378-T2/images/I/31PfpEPlg-L._SX300_SY300_QL70_FMwebp_.jpg" TargetMode="External"/><Relationship Id="rId1012" Type="http://schemas.openxmlformats.org/officeDocument/2006/relationships/hyperlink" Target="https://m.media-amazon.com/images/I/31cOcZC4n7L._SX300_SY300_QL70_FMwebp_.jpg" TargetMode="External"/><Relationship Id="rId1254" Type="http://schemas.openxmlformats.org/officeDocument/2006/relationships/hyperlink" Target="https://m.media-amazon.com/images/I/413w7idJYKL._SX300_SY300_QL70_FMwebp_.jpg" TargetMode="External"/><Relationship Id="rId420" Type="http://schemas.openxmlformats.org/officeDocument/2006/relationships/hyperlink" Target="https://m.media-amazon.com/images/I/41Vj+8XWIQL._SY300_SX300_.jpg" TargetMode="External"/><Relationship Id="rId662" Type="http://schemas.openxmlformats.org/officeDocument/2006/relationships/hyperlink" Target="https://m.media-amazon.com/images/I/21psCtgM5BL._SX300_SY300_QL70_FMwebp_.jpg" TargetMode="External"/><Relationship Id="rId1013" Type="http://schemas.openxmlformats.org/officeDocument/2006/relationships/hyperlink" Target="https://m.media-amazon.com/images/I/51BGUyveMfL._SX300_SY300_QL70_FMwebp_.jpg" TargetMode="External"/><Relationship Id="rId1255" Type="http://schemas.openxmlformats.org/officeDocument/2006/relationships/hyperlink" Target="https://m.media-amazon.com/images/W/WEBP_402378-T1/images/I/41MJ2hsq4LL._SX300_SY300_QL70_FMwebp_.jpg" TargetMode="External"/><Relationship Id="rId661" Type="http://schemas.openxmlformats.org/officeDocument/2006/relationships/hyperlink" Target="https://m.media-amazon.com/images/I/412CjF5u2iL._SX300_SY300_QL70_FMwebp_.jpg" TargetMode="External"/><Relationship Id="rId1014" Type="http://schemas.openxmlformats.org/officeDocument/2006/relationships/hyperlink" Target="https://m.media-amazon.com/images/W/WEBP_402378-T2/images/I/41sK3J5ZQIL._SX300_SY300_QL70_FMwebp_.jpg" TargetMode="External"/><Relationship Id="rId1256" Type="http://schemas.openxmlformats.org/officeDocument/2006/relationships/hyperlink" Target="https://m.media-amazon.com/images/I/31nbqS8FhKL._SX300_SY300_QL70_FMwebp_.jpg" TargetMode="External"/><Relationship Id="rId1004" Type="http://schemas.openxmlformats.org/officeDocument/2006/relationships/hyperlink" Target="https://m.media-amazon.com/images/W/WEBP_402378-T1/images/I/414js-21FqL._SX300_SY300_QL70_FMwebp_.jpg" TargetMode="External"/><Relationship Id="rId1246" Type="http://schemas.openxmlformats.org/officeDocument/2006/relationships/hyperlink" Target="https://m.media-amazon.com/images/I/31Anei7Di0L._SX300_SY300_QL70_FMwebp_.jpg" TargetMode="External"/><Relationship Id="rId1005" Type="http://schemas.openxmlformats.org/officeDocument/2006/relationships/hyperlink" Target="https://m.media-amazon.com/images/W/WEBP_402378-T1/images/I/31-wcLwDaBL._SX300_SY300_QL70_FMwebp_.jpg" TargetMode="External"/><Relationship Id="rId1247" Type="http://schemas.openxmlformats.org/officeDocument/2006/relationships/hyperlink" Target="https://m.media-amazon.com/images/I/31vN7I58EHL._SX300_SY300_QL70_FMwebp_.jpg" TargetMode="External"/><Relationship Id="rId1006" Type="http://schemas.openxmlformats.org/officeDocument/2006/relationships/hyperlink" Target="https://m.media-amazon.com/images/W/WEBP_402378-T2/images/I/21C8ziy-IJL._SX300_SY300_QL70_FMwebp_.jpg" TargetMode="External"/><Relationship Id="rId1248" Type="http://schemas.openxmlformats.org/officeDocument/2006/relationships/hyperlink" Target="https://m.media-amazon.com/images/I/41csvHnDvES._SX300_SY300_QL70_FMwebp_.jpg" TargetMode="External"/><Relationship Id="rId1007" Type="http://schemas.openxmlformats.org/officeDocument/2006/relationships/hyperlink" Target="https://m.media-amazon.com/images/W/WEBP_402378-T1/images/I/51ca6eZ+j3L._SY300_SX300_.jpg" TargetMode="External"/><Relationship Id="rId1249" Type="http://schemas.openxmlformats.org/officeDocument/2006/relationships/hyperlink" Target="https://m.media-amazon.com/images/W/WEBP_402378-T1/images/I/31qaROshXhL._SX300_SY300_QL70_FMwebp_.jpg" TargetMode="External"/><Relationship Id="rId1008" Type="http://schemas.openxmlformats.org/officeDocument/2006/relationships/hyperlink" Target="https://m.media-amazon.com/images/I/41fDM4QUfvL._SX300_SY300_QL70_FMwebp_.jpg" TargetMode="External"/><Relationship Id="rId1009" Type="http://schemas.openxmlformats.org/officeDocument/2006/relationships/hyperlink" Target="https://m.media-amazon.com/images/W/WEBP_402378-T1/images/I/31AZelC8URL._SX300_SY300_QL70_FMwebp_.jpg" TargetMode="External"/><Relationship Id="rId415" Type="http://schemas.openxmlformats.org/officeDocument/2006/relationships/hyperlink" Target="https://m.media-amazon.com/images/I/41w5fk8Vl6L._SX300_SY300_QL70_ML2_.jpg" TargetMode="External"/><Relationship Id="rId657" Type="http://schemas.openxmlformats.org/officeDocument/2006/relationships/hyperlink" Target="https://m.media-amazon.com/images/I/31nI3BzOXwL._SX300_SY300_QL70_FMwebp_.jpg" TargetMode="External"/><Relationship Id="rId899" Type="http://schemas.openxmlformats.org/officeDocument/2006/relationships/hyperlink" Target="https://m.media-amazon.com/images/W/WEBP_402378-T2/images/I/31kw1RgU5yL._SX300_SY300_QL70_FMwebp_.jpg" TargetMode="External"/><Relationship Id="rId414" Type="http://schemas.openxmlformats.org/officeDocument/2006/relationships/hyperlink" Target="https://m.media-amazon.com/images/I/21e5ZrIutKS._SX300_SY300_QL70_ML2_.jpg" TargetMode="External"/><Relationship Id="rId656" Type="http://schemas.openxmlformats.org/officeDocument/2006/relationships/hyperlink" Target="https://m.media-amazon.com/images/W/WEBP_402378-T1/images/I/31bX1-ypLSL._SX300_SY300_QL70_FMwebp_.jpg" TargetMode="External"/><Relationship Id="rId898" Type="http://schemas.openxmlformats.org/officeDocument/2006/relationships/hyperlink" Target="https://m.media-amazon.com/images/W/WEBP_402378-T2/images/I/41zEY42v1tL._SX300_SY300_QL70_FMwebp_.jpg" TargetMode="External"/><Relationship Id="rId413" Type="http://schemas.openxmlformats.org/officeDocument/2006/relationships/hyperlink" Target="https://m.media-amazon.com/images/I/41-oxsVh7nL._SX300_SY300_QL70_ML2_.jpg" TargetMode="External"/><Relationship Id="rId655" Type="http://schemas.openxmlformats.org/officeDocument/2006/relationships/hyperlink" Target="https://m.media-amazon.com/images/I/31KpmfiYmeL._SX300_SY300_QL70_FMwebp_.jpg" TargetMode="External"/><Relationship Id="rId897" Type="http://schemas.openxmlformats.org/officeDocument/2006/relationships/hyperlink" Target="https://m.media-amazon.com/images/I/414zbaw52sL._SX300_SY300_QL70_FMwebp_.jpg" TargetMode="External"/><Relationship Id="rId412" Type="http://schemas.openxmlformats.org/officeDocument/2006/relationships/hyperlink" Target="https://m.media-amazon.com/images/I/419KF2t1nML._SX300_SY300_QL70_ML2_.jpg" TargetMode="External"/><Relationship Id="rId654" Type="http://schemas.openxmlformats.org/officeDocument/2006/relationships/hyperlink" Target="https://m.media-amazon.com/images/W/WEBP_402378-T1/images/I/41FMV7m5bZL._SX300_SY300_QL70_FMwebp_.jpg" TargetMode="External"/><Relationship Id="rId896" Type="http://schemas.openxmlformats.org/officeDocument/2006/relationships/hyperlink" Target="https://m.media-amazon.com/images/W/WEBP_402378-T2/images/I/51zIKeCjN-L._SX300_SY300_QL70_FMwebp_.jpg" TargetMode="External"/><Relationship Id="rId419" Type="http://schemas.openxmlformats.org/officeDocument/2006/relationships/hyperlink" Target="https://m.media-amazon.com/images/I/41jlwEZpa5L._SX300_SY300_QL70_ML2_.jpg" TargetMode="External"/><Relationship Id="rId418" Type="http://schemas.openxmlformats.org/officeDocument/2006/relationships/hyperlink" Target="https://m.media-amazon.com/images/I/31RktQKvhoL._SX300_SY300_QL70_ML2_.jpg" TargetMode="External"/><Relationship Id="rId417" Type="http://schemas.openxmlformats.org/officeDocument/2006/relationships/hyperlink" Target="https://m.media-amazon.com/images/I/31P2d7102lL._SY300_SX300_QL70_ML2_.jpg" TargetMode="External"/><Relationship Id="rId659" Type="http://schemas.openxmlformats.org/officeDocument/2006/relationships/hyperlink" Target="https://m.media-amazon.com/images/W/WEBP_402378-T2/images/I/41jlwEZpa5L._SX300_SY300_QL70_FMwebp_.jpg" TargetMode="External"/><Relationship Id="rId416" Type="http://schemas.openxmlformats.org/officeDocument/2006/relationships/hyperlink" Target="https://m.media-amazon.com/images/I/41qhEf58vbL._SX300_SY300_QL70_ML2_.jpg" TargetMode="External"/><Relationship Id="rId658" Type="http://schemas.openxmlformats.org/officeDocument/2006/relationships/hyperlink" Target="https://m.media-amazon.com/images/W/WEBP_402378-T1/images/I/31RktQKvhoL._SX300_SY300_QL70_FMwebp_.jpg" TargetMode="External"/><Relationship Id="rId891" Type="http://schemas.openxmlformats.org/officeDocument/2006/relationships/hyperlink" Target="https://m.media-amazon.com/images/I/51seYZqgz5L._SX300_SY300_QL70_FMwebp_.jpg" TargetMode="External"/><Relationship Id="rId890" Type="http://schemas.openxmlformats.org/officeDocument/2006/relationships/hyperlink" Target="https://m.media-amazon.com/images/I/41bX3o-ZHqL._SX300_SY300_QL70_FMwebp_.jpg" TargetMode="External"/><Relationship Id="rId1240" Type="http://schemas.openxmlformats.org/officeDocument/2006/relationships/hyperlink" Target="https://m.media-amazon.com/images/I/31GXpZTtghL._SX300_SY300_QL70_FMwebp_.jpg" TargetMode="External"/><Relationship Id="rId1241" Type="http://schemas.openxmlformats.org/officeDocument/2006/relationships/hyperlink" Target="https://m.media-amazon.com/images/I/51i84+E-LgL._SY300_SX300_.jpg" TargetMode="External"/><Relationship Id="rId411" Type="http://schemas.openxmlformats.org/officeDocument/2006/relationships/hyperlink" Target="https://m.media-amazon.com/images/I/41pQ4gJMwEL._SX300_SY300_QL70_ML2_.jpg" TargetMode="External"/><Relationship Id="rId653" Type="http://schemas.openxmlformats.org/officeDocument/2006/relationships/hyperlink" Target="https://m.media-amazon.com/images/W/WEBP_402378-T1/images/I/4136eo-yWlL._SX300_SY300_QL70_FMwebp_.jpg" TargetMode="External"/><Relationship Id="rId895" Type="http://schemas.openxmlformats.org/officeDocument/2006/relationships/hyperlink" Target="https://m.media-amazon.com/images/I/216Q4FqmZVL._SX300_SY300_QL70_FMwebp_.jpg" TargetMode="External"/><Relationship Id="rId1000" Type="http://schemas.openxmlformats.org/officeDocument/2006/relationships/hyperlink" Target="https://m.media-amazon.com/images/I/51J45DcgktL._SX300_SY300_QL70_FMwebp_.jpg" TargetMode="External"/><Relationship Id="rId1242" Type="http://schemas.openxmlformats.org/officeDocument/2006/relationships/hyperlink" Target="https://m.media-amazon.com/images/W/WEBP_402378-T1/images/I/417iICYt3IL._SX300_SY300_QL70_FMwebp_.jpg" TargetMode="External"/><Relationship Id="rId410" Type="http://schemas.openxmlformats.org/officeDocument/2006/relationships/hyperlink" Target="https://m.media-amazon.com/images/I/41op1vdp-UL._SX300_SY300_QL70_ML2_.jpg" TargetMode="External"/><Relationship Id="rId652" Type="http://schemas.openxmlformats.org/officeDocument/2006/relationships/hyperlink" Target="https://m.media-amazon.com/images/W/WEBP_402378-T1/images/I/41I-azRJBLL._SX300_SY300_QL70_FMwebp_.jpg" TargetMode="External"/><Relationship Id="rId894" Type="http://schemas.openxmlformats.org/officeDocument/2006/relationships/hyperlink" Target="https://m.media-amazon.com/images/W/WEBP_402378-T2/images/I/41rm-mc937L._SX300_SY300_QL70_FMwebp_.jpg" TargetMode="External"/><Relationship Id="rId1001" Type="http://schemas.openxmlformats.org/officeDocument/2006/relationships/hyperlink" Target="https://m.media-amazon.com/images/I/41KmCJuybRL._SX300_SY300_QL70_FMwebp_.jpg" TargetMode="External"/><Relationship Id="rId1243" Type="http://schemas.openxmlformats.org/officeDocument/2006/relationships/hyperlink" Target="https://m.media-amazon.com/images/I/41CsMm+ZCgL._SY300_SX300_.jpg" TargetMode="External"/><Relationship Id="rId651" Type="http://schemas.openxmlformats.org/officeDocument/2006/relationships/hyperlink" Target="https://m.media-amazon.com/images/W/WEBP_402378-T2/images/I/51MA5PwP6xL._SX300_SY300_QL70_FMwebp_.jpg" TargetMode="External"/><Relationship Id="rId893" Type="http://schemas.openxmlformats.org/officeDocument/2006/relationships/hyperlink" Target="https://m.media-amazon.com/images/W/WEBP_402378-T2/images/I/31kFRC4fP6L._SY300_SX300_QL70_FMwebp_.jpg" TargetMode="External"/><Relationship Id="rId1002" Type="http://schemas.openxmlformats.org/officeDocument/2006/relationships/hyperlink" Target="https://m.media-amazon.com/images/I/31dnZ234ZOL._SY300_SX300_QL70_FMwebp_.jpg" TargetMode="External"/><Relationship Id="rId1244" Type="http://schemas.openxmlformats.org/officeDocument/2006/relationships/hyperlink" Target="https://m.media-amazon.com/images/I/417TQs3uroL._SX300_SY300_QL70_FMwebp_.jpg" TargetMode="External"/><Relationship Id="rId650" Type="http://schemas.openxmlformats.org/officeDocument/2006/relationships/hyperlink" Target="https://m.media-amazon.com/images/I/41vEB+mY55L._SY300_SX300_.jpg" TargetMode="External"/><Relationship Id="rId892" Type="http://schemas.openxmlformats.org/officeDocument/2006/relationships/hyperlink" Target="https://m.media-amazon.com/images/W/WEBP_402378-T2/images/I/31i5nmWFmhL._SX300_SY300_QL70_FMwebp_.jpg" TargetMode="External"/><Relationship Id="rId1003" Type="http://schemas.openxmlformats.org/officeDocument/2006/relationships/hyperlink" Target="https://m.media-amazon.com/images/W/WEBP_402378-T2/images/I/41KFL-3kiUL._SX300_SY300_QL70_FMwebp_.jpg" TargetMode="External"/><Relationship Id="rId1245" Type="http://schemas.openxmlformats.org/officeDocument/2006/relationships/hyperlink" Target="https://m.media-amazon.com/images/W/WEBP_402378-T1/images/I/413KQ6Ch61L._SX300_SY300_QL70_FMwebp_.jpg" TargetMode="External"/><Relationship Id="rId1037" Type="http://schemas.openxmlformats.org/officeDocument/2006/relationships/hyperlink" Target="https://m.media-amazon.com/images/I/31MmLP6awML._SX300_SY300_QL70_FMwebp_.jpg" TargetMode="External"/><Relationship Id="rId1279" Type="http://schemas.openxmlformats.org/officeDocument/2006/relationships/hyperlink" Target="https://m.media-amazon.com/images/W/WEBP_402378-T2/images/I/31RWtNDo6EL._SX300_SY300_QL70_FMwebp_.jpg" TargetMode="External"/><Relationship Id="rId1038" Type="http://schemas.openxmlformats.org/officeDocument/2006/relationships/hyperlink" Target="https://m.media-amazon.com/images/W/WEBP_402378-T2/images/I/31ke2NdHJ-L._SY300_SX300_QL70_FMwebp_.jpg" TargetMode="External"/><Relationship Id="rId1039" Type="http://schemas.openxmlformats.org/officeDocument/2006/relationships/hyperlink" Target="https://m.media-amazon.com/images/I/41i1uzCEyWL._SX300_SY300_QL70_FMwebp_.jpg" TargetMode="External"/><Relationship Id="rId206" Type="http://schemas.openxmlformats.org/officeDocument/2006/relationships/hyperlink" Target="https://m.media-amazon.com/images/I/31Lqjmed98L._SX300_SY300_QL70_FMwebp_.jpg" TargetMode="External"/><Relationship Id="rId448" Type="http://schemas.openxmlformats.org/officeDocument/2006/relationships/hyperlink" Target="https://m.media-amazon.com/images/I/41Usew0lrWL._SX300_SY300_QL70_ML2_.jpg" TargetMode="External"/><Relationship Id="rId205" Type="http://schemas.openxmlformats.org/officeDocument/2006/relationships/hyperlink" Target="https://m.media-amazon.com/images/W/WEBP_402378-T2/images/I/41k0WxE3sKS._SY445_SX342_QL70_FMwebp_.jpg" TargetMode="External"/><Relationship Id="rId447" Type="http://schemas.openxmlformats.org/officeDocument/2006/relationships/hyperlink" Target="https://m.media-amazon.com/images/I/41iHN9Y07cS._SX300_SY300_QL70_ML2_.jpg" TargetMode="External"/><Relationship Id="rId689" Type="http://schemas.openxmlformats.org/officeDocument/2006/relationships/hyperlink" Target="https://m.media-amazon.com/images/I/51pZRhR1wWL._SX300_SY300_QL70_FMwebp_.jpg" TargetMode="External"/><Relationship Id="rId204" Type="http://schemas.openxmlformats.org/officeDocument/2006/relationships/hyperlink" Target="https://m.media-amazon.com/images/W/WEBP_402378-T1/images/I/413aXXtr4CL._SX300_SY300_QL70_FMwebp_.jpg" TargetMode="External"/><Relationship Id="rId446" Type="http://schemas.openxmlformats.org/officeDocument/2006/relationships/hyperlink" Target="https://m.media-amazon.com/images/I/41fNkwj-vnL._SX300_SY300_QL70_ML2_.jpg" TargetMode="External"/><Relationship Id="rId688" Type="http://schemas.openxmlformats.org/officeDocument/2006/relationships/hyperlink" Target="https://m.media-amazon.com/images/I/21ci6bwxtdL._SX300_SY300_QL70_FMwebp_.jpg" TargetMode="External"/><Relationship Id="rId203" Type="http://schemas.openxmlformats.org/officeDocument/2006/relationships/hyperlink" Target="https://m.media-amazon.com/images/W/WEBP_402378-T2/images/I/41qMoS4lfRL._SX300_SY300_QL70_FMwebp_.jpg" TargetMode="External"/><Relationship Id="rId445" Type="http://schemas.openxmlformats.org/officeDocument/2006/relationships/hyperlink" Target="https://m.media-amazon.com/images/I/31oA0-q5UzL._SX300_SY300_QL70_ML2_.jpg" TargetMode="External"/><Relationship Id="rId687" Type="http://schemas.openxmlformats.org/officeDocument/2006/relationships/hyperlink" Target="https://m.media-amazon.com/images/I/41z7FRqEerL._SX300_SY300_QL70_FMwebp_.jpg" TargetMode="External"/><Relationship Id="rId209" Type="http://schemas.openxmlformats.org/officeDocument/2006/relationships/hyperlink" Target="https://m.media-amazon.com/images/W/WEBP_402378-T2/images/I/31xucq3GGyL._SX300_SY300_QL70_FMwebp_.jpg" TargetMode="External"/><Relationship Id="rId208" Type="http://schemas.openxmlformats.org/officeDocument/2006/relationships/hyperlink" Target="https://m.media-amazon.com/images/I/31wPIFxnDaL._SY445_SX342_QL70_FMwebp_.jpg" TargetMode="External"/><Relationship Id="rId207" Type="http://schemas.openxmlformats.org/officeDocument/2006/relationships/hyperlink" Target="https://m.media-amazon.com/images/I/51lDlqmDxQL._SY300_SX300_QL70_FMwebp_.jpg" TargetMode="External"/><Relationship Id="rId449" Type="http://schemas.openxmlformats.org/officeDocument/2006/relationships/hyperlink" Target="https://m.media-amazon.com/images/I/41XH-IpxCQL._SX300_SY300_QL70_ML2_.jpg" TargetMode="External"/><Relationship Id="rId1270" Type="http://schemas.openxmlformats.org/officeDocument/2006/relationships/hyperlink" Target="https://m.media-amazon.com/images/I/41nfxayjM9L._SX300_SY300_QL70_FMwebp_.jpg" TargetMode="External"/><Relationship Id="rId440" Type="http://schemas.openxmlformats.org/officeDocument/2006/relationships/hyperlink" Target="https://m.media-amazon.com/images/I/4147W6koDNL._SX300_SY300_QL70_ML2_.jpg" TargetMode="External"/><Relationship Id="rId682" Type="http://schemas.openxmlformats.org/officeDocument/2006/relationships/hyperlink" Target="https://m.media-amazon.com/images/I/41y181oD7ZL._SX300_SY300_QL70_FMwebp_.jpg" TargetMode="External"/><Relationship Id="rId1271" Type="http://schemas.openxmlformats.org/officeDocument/2006/relationships/hyperlink" Target="https://m.media-amazon.com/images/I/21OPu5-M3qL._SX300_SY300_QL70_FMwebp_.jpg" TargetMode="External"/><Relationship Id="rId681" Type="http://schemas.openxmlformats.org/officeDocument/2006/relationships/hyperlink" Target="https://m.media-amazon.com/images/I/41AP5QV2M0L._SX300_SY300_QL70_FMwebp_.jpg" TargetMode="External"/><Relationship Id="rId1030" Type="http://schemas.openxmlformats.org/officeDocument/2006/relationships/hyperlink" Target="https://m.media-amazon.com/images/W/WEBP_402378-T1/images/I/41JCf4kTKgL._SX300_SY300_QL70_FMwebp_.jpg" TargetMode="External"/><Relationship Id="rId1272" Type="http://schemas.openxmlformats.org/officeDocument/2006/relationships/hyperlink" Target="https://m.media-amazon.com/images/W/WEBP_402378-T2/images/I/4145oJH-y0L._SX300_SY300_QL70_FMwebp_.jpg" TargetMode="External"/><Relationship Id="rId680" Type="http://schemas.openxmlformats.org/officeDocument/2006/relationships/hyperlink" Target="https://m.media-amazon.com/images/W/WEBP_402378-T1/images/I/41PcrlfQ2iL._SX300_SY300_QL70_FMwebp_.jpg" TargetMode="External"/><Relationship Id="rId1031" Type="http://schemas.openxmlformats.org/officeDocument/2006/relationships/hyperlink" Target="https://m.media-amazon.com/images/I/519JHuNt1RL._SX300_SY300_QL70_FMwebp_.jpg" TargetMode="External"/><Relationship Id="rId1273" Type="http://schemas.openxmlformats.org/officeDocument/2006/relationships/hyperlink" Target="https://m.media-amazon.com/images/W/WEBP_402378-T2/images/I/31U-ACCgQ1L._SX300_SY300_QL70_FMwebp_.jpg" TargetMode="External"/><Relationship Id="rId1032" Type="http://schemas.openxmlformats.org/officeDocument/2006/relationships/hyperlink" Target="https://m.media-amazon.com/images/I/41XXjVSLyGL._SX300_SY300_QL70_FMwebp_.jpg" TargetMode="External"/><Relationship Id="rId1274" Type="http://schemas.openxmlformats.org/officeDocument/2006/relationships/hyperlink" Target="https://m.media-amazon.com/images/I/31t6ATbG1jL._SX300_SY300_QL70_FMwebp_.jpg" TargetMode="External"/><Relationship Id="rId202" Type="http://schemas.openxmlformats.org/officeDocument/2006/relationships/hyperlink" Target="https://m.media-amazon.com/images/W/WEBP_402378-T2/images/I/41oK+rXtssS._SY300_SX300_.jpg" TargetMode="External"/><Relationship Id="rId444" Type="http://schemas.openxmlformats.org/officeDocument/2006/relationships/hyperlink" Target="https://m.media-amazon.com/images/I/41SDfuK7L2L._SX300_SY300_QL70_ML2_.jpg" TargetMode="External"/><Relationship Id="rId686" Type="http://schemas.openxmlformats.org/officeDocument/2006/relationships/hyperlink" Target="https://m.media-amazon.com/images/I/419KXo-7kDL._SX300_SY300_QL70_FMwebp_.jpg" TargetMode="External"/><Relationship Id="rId1033" Type="http://schemas.openxmlformats.org/officeDocument/2006/relationships/hyperlink" Target="https://m.media-amazon.com/images/W/WEBP_402378-T1/images/I/411pUp4t0OL._SX300_SY300_QL70_FMwebp_.jpg" TargetMode="External"/><Relationship Id="rId1275" Type="http://schemas.openxmlformats.org/officeDocument/2006/relationships/hyperlink" Target="https://m.media-amazon.com/images/W/WEBP_402378-T2/images/I/21Kb8kWuKTL._SX300_SY300_QL70_FMwebp_.jpg" TargetMode="External"/><Relationship Id="rId201" Type="http://schemas.openxmlformats.org/officeDocument/2006/relationships/hyperlink" Target="https://m.media-amazon.com/images/I/41LwSJdthGL._SX300_SY300_QL70_FMwebp_.jpg" TargetMode="External"/><Relationship Id="rId443" Type="http://schemas.openxmlformats.org/officeDocument/2006/relationships/hyperlink" Target="https://m.media-amazon.com/images/I/41Lif4YWC2L._SX300_SY300_QL70_ML2_.jpg" TargetMode="External"/><Relationship Id="rId685" Type="http://schemas.openxmlformats.org/officeDocument/2006/relationships/hyperlink" Target="https://m.media-amazon.com/images/I/41nPYaWA+ML._SY300_SX300_.jpg" TargetMode="External"/><Relationship Id="rId1034" Type="http://schemas.openxmlformats.org/officeDocument/2006/relationships/hyperlink" Target="https://m.media-amazon.com/images/W/WEBP_402378-T1/images/I/41J3yWKhnxL._SX300_SY300_QL70_FMwebp_.jpg" TargetMode="External"/><Relationship Id="rId1276" Type="http://schemas.openxmlformats.org/officeDocument/2006/relationships/hyperlink" Target="https://m.media-amazon.com/images/W/WEBP_402378-T1/images/I/51IE+nI0KGL._SY300_SX300_.jpg" TargetMode="External"/><Relationship Id="rId200" Type="http://schemas.openxmlformats.org/officeDocument/2006/relationships/hyperlink" Target="https://m.media-amazon.com/images/W/WEBP_402378-T2/images/I/313wnMF+cVL._SX342_SY445_.jpg" TargetMode="External"/><Relationship Id="rId442" Type="http://schemas.openxmlformats.org/officeDocument/2006/relationships/hyperlink" Target="https://m.media-amazon.com/images/I/41o7qy-j6KL._SX300_SY300_QL70_ML2_.jpg" TargetMode="External"/><Relationship Id="rId684" Type="http://schemas.openxmlformats.org/officeDocument/2006/relationships/hyperlink" Target="https://m.media-amazon.com/images/I/31ROHZJMEUL._SX300_SY300_QL70_FMwebp_.jpg" TargetMode="External"/><Relationship Id="rId1035" Type="http://schemas.openxmlformats.org/officeDocument/2006/relationships/hyperlink" Target="https://m.media-amazon.com/images/W/WEBP_402378-T1/images/I/51MWh9t3Z2L._SX300_SY300_QL70_FMwebp_.jpg" TargetMode="External"/><Relationship Id="rId1277" Type="http://schemas.openxmlformats.org/officeDocument/2006/relationships/hyperlink" Target="https://m.media-amazon.com/images/I/41XrOa1+-PL._SY300_SX300_.jpg" TargetMode="External"/><Relationship Id="rId441" Type="http://schemas.openxmlformats.org/officeDocument/2006/relationships/hyperlink" Target="https://m.media-amazon.com/images/I/31YFSh7g63L._SX300_SY300_QL70_ML2_.jpg" TargetMode="External"/><Relationship Id="rId683" Type="http://schemas.openxmlformats.org/officeDocument/2006/relationships/hyperlink" Target="https://m.media-amazon.com/images/I/319cuUVHCwL._SY300_SX300_QL70_FMwebp_.jpg" TargetMode="External"/><Relationship Id="rId1036" Type="http://schemas.openxmlformats.org/officeDocument/2006/relationships/hyperlink" Target="https://m.media-amazon.com/images/W/WEBP_402378-T1/images/I/41DwZuxPCaL._SY300_SX300_QL70_FMwebp_.jpg" TargetMode="External"/><Relationship Id="rId1278" Type="http://schemas.openxmlformats.org/officeDocument/2006/relationships/hyperlink" Target="https://m.media-amazon.com/images/I/41VM+D8AGWL._SY300_SX300_.jpg" TargetMode="External"/><Relationship Id="rId1026" Type="http://schemas.openxmlformats.org/officeDocument/2006/relationships/hyperlink" Target="https://m.media-amazon.com/images/I/415CYtympZL._SX300_SY300_QL70_FMwebp_.jpg" TargetMode="External"/><Relationship Id="rId1268" Type="http://schemas.openxmlformats.org/officeDocument/2006/relationships/hyperlink" Target="https://m.media-amazon.com/images/W/WEBP_402378-T1/images/I/61Vt5Egqf4L._SY445_SX342_QL70_FMwebp_.jpg" TargetMode="External"/><Relationship Id="rId1027" Type="http://schemas.openxmlformats.org/officeDocument/2006/relationships/hyperlink" Target="https://m.media-amazon.com/images/I/414Cwv2guxL._SX300_SY300_QL70_FMwebp_.jpg" TargetMode="External"/><Relationship Id="rId1269" Type="http://schemas.openxmlformats.org/officeDocument/2006/relationships/hyperlink" Target="https://m.media-amazon.com/images/I/51G5KRUKOgL._SX300_SY300_QL70_FMwebp_.jpg" TargetMode="External"/><Relationship Id="rId1028" Type="http://schemas.openxmlformats.org/officeDocument/2006/relationships/hyperlink" Target="https://m.media-amazon.com/images/W/WEBP_402378-T1/images/I/31p014p14mL._SX342_SY445_QL70_FMwebp_.jpg" TargetMode="External"/><Relationship Id="rId1029" Type="http://schemas.openxmlformats.org/officeDocument/2006/relationships/hyperlink" Target="https://m.media-amazon.com/images/I/41cVgYgAKpL._SX300_SY300_QL70_FMwebp_.jpg" TargetMode="External"/><Relationship Id="rId437" Type="http://schemas.openxmlformats.org/officeDocument/2006/relationships/hyperlink" Target="https://m.media-amazon.com/images/I/41iEZV6nKbL._SX300_SY300_QL70_ML2_.jpg" TargetMode="External"/><Relationship Id="rId679" Type="http://schemas.openxmlformats.org/officeDocument/2006/relationships/hyperlink" Target="https://m.media-amazon.com/images/W/WEBP_402378-T2/images/I/51SzLWO7e+L._SY300_SX300_.jpg" TargetMode="External"/><Relationship Id="rId436" Type="http://schemas.openxmlformats.org/officeDocument/2006/relationships/hyperlink" Target="https://m.media-amazon.com/images/I/41Yylo75u7L._SX300_SY300_QL70_ML2_.jpg" TargetMode="External"/><Relationship Id="rId678" Type="http://schemas.openxmlformats.org/officeDocument/2006/relationships/hyperlink" Target="https://m.media-amazon.com/images/I/41pfjyUPZLL._SX300_SY300_QL70_FMwebp_.jpg" TargetMode="External"/><Relationship Id="rId435" Type="http://schemas.openxmlformats.org/officeDocument/2006/relationships/hyperlink" Target="https://m.media-amazon.com/images/I/41iVkyHeTUL._SX300_SY300_QL70_ML2_.jpg" TargetMode="External"/><Relationship Id="rId677" Type="http://schemas.openxmlformats.org/officeDocument/2006/relationships/hyperlink" Target="https://m.media-amazon.com/images/W/WEBP_402378-T1/images/I/410l0pKc2OL._SX300_SY300_QL70_FMwebp_.jpg" TargetMode="External"/><Relationship Id="rId434" Type="http://schemas.openxmlformats.org/officeDocument/2006/relationships/hyperlink" Target="https://m.media-amazon.com/images/I/41z7FRqEerL._SX300_SY300_QL70_ML2_.jpg" TargetMode="External"/><Relationship Id="rId676" Type="http://schemas.openxmlformats.org/officeDocument/2006/relationships/hyperlink" Target="https://m.media-amazon.com/images/I/51EJirBX6bL._SY300_SX300_QL70_FMwebp_.jpg" TargetMode="External"/><Relationship Id="rId439" Type="http://schemas.openxmlformats.org/officeDocument/2006/relationships/hyperlink" Target="https://m.media-amazon.com/images/I/31mbyi7ocJL._SX300_SY300_QL70_ML2_.jpg" TargetMode="External"/><Relationship Id="rId438" Type="http://schemas.openxmlformats.org/officeDocument/2006/relationships/hyperlink" Target="https://m.media-amazon.com/images/I/41OVH5kIQhL._SX300_SY300_QL70_ML2_.jpg" TargetMode="External"/><Relationship Id="rId671" Type="http://schemas.openxmlformats.org/officeDocument/2006/relationships/hyperlink" Target="https://m.media-amazon.com/images/W/WEBP_402378-T2/images/I/41Beq4WLggL._SX300_SY300_QL70_FMwebp_.jpg" TargetMode="External"/><Relationship Id="rId1260" Type="http://schemas.openxmlformats.org/officeDocument/2006/relationships/hyperlink" Target="https://m.media-amazon.com/images/W/WEBP_402378-T1/images/I/31i-KNZeKML._SX300_SY300_QL70_FMwebp_.jpg" TargetMode="External"/><Relationship Id="rId670" Type="http://schemas.openxmlformats.org/officeDocument/2006/relationships/hyperlink" Target="https://m.media-amazon.com/images/I/31vS-1ot-HL._SX300_SY300_QL70_FMwebp_.jpg" TargetMode="External"/><Relationship Id="rId1261" Type="http://schemas.openxmlformats.org/officeDocument/2006/relationships/hyperlink" Target="https://m.media-amazon.com/images/W/WEBP_402378-T1/images/I/31M+TYWPdQL._SY300_SX300_.jpg" TargetMode="External"/><Relationship Id="rId1020" Type="http://schemas.openxmlformats.org/officeDocument/2006/relationships/hyperlink" Target="https://m.media-amazon.com/images/W/WEBP_402378-T2/images/I/31mgo4D-kPL._SX300_SY300_QL70_FMwebp_.jpg" TargetMode="External"/><Relationship Id="rId1262" Type="http://schemas.openxmlformats.org/officeDocument/2006/relationships/hyperlink" Target="https://m.media-amazon.com/images/W/WEBP_402378-T1/images/I/41q7gsgB+gL._SY300_SX300_.jpg" TargetMode="External"/><Relationship Id="rId1021" Type="http://schemas.openxmlformats.org/officeDocument/2006/relationships/hyperlink" Target="https://m.media-amazon.com/images/I/41d-eh65JLS._SX300_SY300_QL70_FMwebp_.jpg" TargetMode="External"/><Relationship Id="rId1263" Type="http://schemas.openxmlformats.org/officeDocument/2006/relationships/hyperlink" Target="https://m.media-amazon.com/images/I/41VG2A4BrbL._SX300_SY300_QL70_FMwebp_.jpg" TargetMode="External"/><Relationship Id="rId433" Type="http://schemas.openxmlformats.org/officeDocument/2006/relationships/hyperlink" Target="https://m.media-amazon.com/images/I/41fkuZKjGCL._SX300_SY300_QL70_ML2_.jpg" TargetMode="External"/><Relationship Id="rId675" Type="http://schemas.openxmlformats.org/officeDocument/2006/relationships/hyperlink" Target="https://m.media-amazon.com/images/W/WEBP_402378-T1/images/I/5145vqMSaTL._SY300_SX300_QL70_FMwebp_.jpg" TargetMode="External"/><Relationship Id="rId1022" Type="http://schemas.openxmlformats.org/officeDocument/2006/relationships/hyperlink" Target="https://m.media-amazon.com/images/W/WEBP_402378-T1/images/I/51UH57Cs5hL._SX300_SY300_QL70_FMwebp_.jpg" TargetMode="External"/><Relationship Id="rId1264" Type="http://schemas.openxmlformats.org/officeDocument/2006/relationships/hyperlink" Target="https://m.media-amazon.com/images/I/51OQUmSwngL._SX300_SY300_QL70_FMwebp_.jpg" TargetMode="External"/><Relationship Id="rId432" Type="http://schemas.openxmlformats.org/officeDocument/2006/relationships/hyperlink" Target="https://m.media-amazon.com/images/I/31MmkM8HTiL._SY300_SX300_QL70_ML2_.jpg" TargetMode="External"/><Relationship Id="rId674" Type="http://schemas.openxmlformats.org/officeDocument/2006/relationships/hyperlink" Target="https://m.media-amazon.com/images/W/WEBP_402378-T2/images/I/31dJ+lXJq3L._SY300_SX300_.jpg" TargetMode="External"/><Relationship Id="rId1023" Type="http://schemas.openxmlformats.org/officeDocument/2006/relationships/hyperlink" Target="https://m.media-amazon.com/images/W/WEBP_402378-T1/images/I/31na34LxwmL._SX300_SY300_QL70_FMwebp_.jpg" TargetMode="External"/><Relationship Id="rId1265" Type="http://schemas.openxmlformats.org/officeDocument/2006/relationships/hyperlink" Target="https://m.media-amazon.com/images/I/31TSknJ2JbL._SY300_SX300_QL70_FMwebp_.jpg" TargetMode="External"/><Relationship Id="rId431" Type="http://schemas.openxmlformats.org/officeDocument/2006/relationships/hyperlink" Target="https://m.media-amazon.com/images/I/41v82KfCUuL._SX300_SY300_QL70_ML2_.jpg" TargetMode="External"/><Relationship Id="rId673" Type="http://schemas.openxmlformats.org/officeDocument/2006/relationships/hyperlink" Target="https://m.media-amazon.com/images/W/WEBP_402378-T1/images/I/511g3fIVsqL._SY300_SX300_QL70_FMwebp_.jpg" TargetMode="External"/><Relationship Id="rId1024" Type="http://schemas.openxmlformats.org/officeDocument/2006/relationships/hyperlink" Target="https://m.media-amazon.com/images/I/514Zxz-eqKL._SX300_SY300_QL70_FMwebp_.jpg" TargetMode="External"/><Relationship Id="rId1266" Type="http://schemas.openxmlformats.org/officeDocument/2006/relationships/hyperlink" Target="https://m.media-amazon.com/images/I/313Cd59228L._SX300_SY300_QL70_FMwebp_.jpg" TargetMode="External"/><Relationship Id="rId430" Type="http://schemas.openxmlformats.org/officeDocument/2006/relationships/hyperlink" Target="https://m.media-amazon.com/images/I/410TBgL2KXL._SX300_SY300_QL70_ML2_.jpg" TargetMode="External"/><Relationship Id="rId672" Type="http://schemas.openxmlformats.org/officeDocument/2006/relationships/hyperlink" Target="https://m.media-amazon.com/images/W/WEBP_402378-T2/images/I/31ZMMGdh5nL._SX300_SY300_QL70_FMwebp_.jpg" TargetMode="External"/><Relationship Id="rId1025" Type="http://schemas.openxmlformats.org/officeDocument/2006/relationships/hyperlink" Target="https://m.media-amazon.com/images/I/41ITfQhGHfL._SX300_SY300_QL70_FMwebp_.jpg" TargetMode="External"/><Relationship Id="rId1267" Type="http://schemas.openxmlformats.org/officeDocument/2006/relationships/hyperlink" Target="https://m.media-amazon.com/images/W/WEBP_402378-T2/images/I/41nYaR0z9fL._SX300_SY300_QL70_FMwebp_.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13"/>
    <col customWidth="1" min="4" max="4" width="19.38"/>
    <col customWidth="1" min="5" max="5" width="33.13"/>
    <col customWidth="1" min="17" max="17" width="26.13"/>
    <col customWidth="1" min="18" max="18" width="25.75"/>
    <col customWidth="1" min="19" max="19" width="21.88"/>
  </cols>
  <sheetData>
    <row r="1">
      <c r="A1" s="1" t="s">
        <v>0</v>
      </c>
      <c r="B1" s="1" t="s">
        <v>1</v>
      </c>
      <c r="C1" s="1" t="s">
        <v>2</v>
      </c>
      <c r="D1" s="1" t="s">
        <v>3</v>
      </c>
      <c r="E1" s="1" t="s">
        <v>4</v>
      </c>
      <c r="F1" s="2" t="s">
        <v>5</v>
      </c>
      <c r="G1" s="2" t="s">
        <v>6</v>
      </c>
      <c r="H1" s="3" t="s">
        <v>7</v>
      </c>
      <c r="I1" s="4" t="s">
        <v>8</v>
      </c>
      <c r="J1" s="1" t="s">
        <v>9</v>
      </c>
      <c r="K1" s="1" t="s">
        <v>10</v>
      </c>
      <c r="L1" s="1" t="s">
        <v>11</v>
      </c>
      <c r="M1" s="1" t="s">
        <v>12</v>
      </c>
      <c r="N1" s="5" t="s">
        <v>13</v>
      </c>
      <c r="O1" s="1" t="s">
        <v>14</v>
      </c>
      <c r="P1" s="1" t="s">
        <v>15</v>
      </c>
      <c r="Q1" s="1" t="s">
        <v>16</v>
      </c>
      <c r="R1" s="1" t="s">
        <v>17</v>
      </c>
      <c r="S1" s="1" t="s">
        <v>18</v>
      </c>
    </row>
    <row r="2">
      <c r="A2" s="1" t="s">
        <v>19</v>
      </c>
      <c r="B2" s="1" t="s">
        <v>20</v>
      </c>
      <c r="C2" s="1" t="s">
        <v>21</v>
      </c>
      <c r="D2" s="1" t="str">
        <f t="shared" ref="D2:D1466" si="2">LEFT(C2, FIND("|", C2) - 1)</f>
        <v>Computers&amp;Accessories</v>
      </c>
      <c r="E2" s="1" t="str">
        <f t="shared" ref="E2:E1466" si="3">MID(C2, FIND("|", C2) + 1, FIND("|", C2, FIND("|", C2) + 1) - FIND("|", C2) - 1)</f>
        <v>Accessories&amp;Peripherals</v>
      </c>
      <c r="F2" s="2">
        <v>399.0</v>
      </c>
      <c r="G2" s="2">
        <v>1099.0</v>
      </c>
      <c r="H2" s="3">
        <f t="shared" ref="H2:H1466" si="4">(F2-G2)/G2*-1</f>
        <v>0.6369426752</v>
      </c>
      <c r="I2" s="4">
        <f>IFERROR(__xludf.DUMMYFUNCTION("GOOGLEFINANCE(""CURRENCY:INRBRL"")*F2"),23.8116507972)</f>
        <v>23.8116508</v>
      </c>
      <c r="J2" s="1">
        <v>4.5</v>
      </c>
      <c r="K2" s="1">
        <v>24269.0</v>
      </c>
      <c r="L2" s="1" t="s">
        <v>22</v>
      </c>
      <c r="M2" s="6" t="s">
        <v>23</v>
      </c>
      <c r="N2" s="7" t="str">
        <f>VLOOKUP(A2, avaliacoes!A:G, 5, FALSE)</f>
        <v>Satisfied,Charging is really fast,Value for money,Product review,Good quality,Good product,Good Product,As of now seems good</v>
      </c>
      <c r="O2" s="7" t="str">
        <f>VLOOKUP(A2,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2" s="7" t="str">
        <f t="shared" ref="P2:Q2" si="1">GPT("Traduza essa avaliação do inglês para o português"&amp;N2)</f>
        <v>Satisfeito, o carregamento é realmente rápido, bom custo-benefício, revisão do produto, boa qualidade, bom produto, bom produto, até agora parece bom.</v>
      </c>
      <c r="Q2" s="7" t="str">
        <f t="shared" si="1"/>
        <v>Parece durável. Carregamento também está bom. Sem queixas. O carregamento é realmente rápido, bom produto. Até agora, satisfeito com a qualidade. Este é um bom produto. A velocidade de carregamento é mais lenta do que o cabo original do iPhone. Boa qualidade, recomendaria. O produto funcionou bem até agora e não teve nenhum problema. O cabo também é resistente o suficiente. Pedi uma substituição e a empresa está fazendo o mesmo. Vale a pena pelo dinheiro.</v>
      </c>
      <c r="R2" s="7" t="str">
        <f t="shared" ref="R2:R7" si="5">GPT("Faça um resumo de 25 palavras do texto"&amp;Q2)</f>
        <v>Produto de boa qualidade, resistente e durável. Carregamento rápido, porém mais lento que o cabo original do iPhone. Atendimento eficiente da empresa. Vale a pena comprar.</v>
      </c>
      <c r="S2" s="7" t="str">
        <f t="shared" ref="S2:S7" si="6">GPT("Faça um ranque do sentimento do texto, escolha apenas um desses sentimentos: muito positivo, positivo, neutro, ruim, muito ruim"&amp;R2)</f>
        <v>positivo</v>
      </c>
    </row>
    <row r="3">
      <c r="A3" s="1" t="s">
        <v>24</v>
      </c>
      <c r="B3" s="1" t="s">
        <v>25</v>
      </c>
      <c r="C3" s="1" t="s">
        <v>21</v>
      </c>
      <c r="D3" s="1" t="str">
        <f t="shared" si="2"/>
        <v>Computers&amp;Accessories</v>
      </c>
      <c r="E3" s="1" t="str">
        <f t="shared" si="3"/>
        <v>Accessories&amp;Peripherals</v>
      </c>
      <c r="F3" s="2">
        <v>199.0</v>
      </c>
      <c r="G3" s="2">
        <v>349.0</v>
      </c>
      <c r="H3" s="3">
        <f t="shared" si="4"/>
        <v>0.4297994269</v>
      </c>
      <c r="I3" s="4">
        <f>IFERROR(__xludf.DUMMYFUNCTION("GOOGLEFINANCE(""CURRENCY:INRBRL"")*F3"),11.8759862372)</f>
        <v>11.87598624</v>
      </c>
      <c r="J3" s="1">
        <v>4.0</v>
      </c>
      <c r="K3" s="1">
        <v>43994.0</v>
      </c>
      <c r="L3" s="1" t="s">
        <v>26</v>
      </c>
      <c r="M3" s="6" t="s">
        <v>27</v>
      </c>
      <c r="N3" s="7" t="str">
        <f>VLOOKUP(A3, avaliacoes!A:G, 5, FALSE)</f>
        <v>A Good Braided Cable for Your Type C Device,Good quality product from ambrane,Super cable,As,Good quality,Good product,its good,Good quality for the price but one issue with my unit</v>
      </c>
      <c r="O3" s="7" t="str">
        <f>VLOOKUP(A3,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R3" s="7" t="str">
        <f t="shared" si="5"/>
        <v>O resumo do texto é: uma abordagem sobre os desafios enfrentados pelas start-ups na obtenção de financiamento e a importância da inovação tecnológica para o sucesso empresarial.</v>
      </c>
      <c r="S3" s="7" t="str">
        <f t="shared" si="6"/>
        <v>positivo</v>
      </c>
    </row>
    <row r="4">
      <c r="A4" s="1" t="s">
        <v>28</v>
      </c>
      <c r="B4" s="1" t="s">
        <v>29</v>
      </c>
      <c r="C4" s="1" t="s">
        <v>21</v>
      </c>
      <c r="D4" s="1" t="str">
        <f t="shared" si="2"/>
        <v>Computers&amp;Accessories</v>
      </c>
      <c r="E4" s="1" t="str">
        <f t="shared" si="3"/>
        <v>Accessories&amp;Peripherals</v>
      </c>
      <c r="F4" s="2">
        <v>199.0</v>
      </c>
      <c r="G4" s="2">
        <v>1899.0</v>
      </c>
      <c r="H4" s="3">
        <f t="shared" si="4"/>
        <v>0.8952080042</v>
      </c>
      <c r="I4" s="4">
        <f>IFERROR(__xludf.DUMMYFUNCTION("GOOGLEFINANCE(""CURRENCY:INRBRL"")*F4"),11.8759862372)</f>
        <v>11.87598624</v>
      </c>
      <c r="J4" s="1">
        <v>4.52</v>
      </c>
      <c r="K4" s="1">
        <v>7928.0</v>
      </c>
      <c r="L4" s="1" t="s">
        <v>30</v>
      </c>
      <c r="M4" s="6" t="s">
        <v>31</v>
      </c>
      <c r="N4" s="7" t="str">
        <f>VLOOKUP(A4, avaliacoes!A:G, 5, FALSE)</f>
        <v>Good speed for earlier versions,Good Product,Working good,Good for the price,Good,Worth for money,Working nice,it's a really nice product</v>
      </c>
      <c r="O4" s="7" t="str">
        <f>VLOOKUP(A4, avaliacoes!A:G, 6, FALSE)</f>
        <v>Not quite durable and sturdy,https://m.media-amazon.com/images/W/WEBP_402378-T1/images/I/71rIggrbUCL._SY88.jpg,Working good,https://m.media-amazon.com/images/W/WEBP_402378-T1/images/I/61bKp9YO6wL._SY88.jpg,Product,Very nice product,Working well,It's a really nice product</v>
      </c>
      <c r="R4" s="7" t="str">
        <f t="shared" si="5"/>
        <v>O resumo do texto é: uma abordagem sobre os desafios enfrentados pelas start-ups na obtenção de financiamento e a importância da inovação tecnológica para o sucesso empresarial.</v>
      </c>
      <c r="S4" s="7" t="str">
        <f t="shared" si="6"/>
        <v>positivo</v>
      </c>
    </row>
    <row r="5">
      <c r="A5" s="1" t="s">
        <v>32</v>
      </c>
      <c r="B5" s="1" t="s">
        <v>33</v>
      </c>
      <c r="C5" s="1" t="s">
        <v>21</v>
      </c>
      <c r="D5" s="1" t="str">
        <f t="shared" si="2"/>
        <v>Computers&amp;Accessories</v>
      </c>
      <c r="E5" s="1" t="str">
        <f t="shared" si="3"/>
        <v>Accessories&amp;Peripherals</v>
      </c>
      <c r="F5" s="2">
        <v>329.0</v>
      </c>
      <c r="G5" s="2">
        <v>699.0</v>
      </c>
      <c r="H5" s="3">
        <f t="shared" si="4"/>
        <v>0.5293276109</v>
      </c>
      <c r="I5" s="4">
        <f>IFERROR(__xludf.DUMMYFUNCTION("GOOGLEFINANCE(""CURRENCY:INRBRL"")*F5"),19.634168201199998)</f>
        <v>19.6341682</v>
      </c>
      <c r="J5" s="1">
        <v>4.5</v>
      </c>
      <c r="K5" s="1">
        <v>94363.0</v>
      </c>
      <c r="L5" s="1" t="s">
        <v>34</v>
      </c>
      <c r="M5" s="6" t="s">
        <v>35</v>
      </c>
      <c r="N5" s="7" t="str">
        <f>VLOOKUP(A5, avaliacoes!A:G, 5, FALSE)</f>
        <v>Good product,Good one,Nice,Really nice product,Very first time change,Good,Fine product but could be better,Very nice it's charging like jet</v>
      </c>
      <c r="O5" s="7" t="str">
        <f>VLOOKUP(A5,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Q5" s="8"/>
      <c r="R5" s="8" t="str">
        <f t="shared" si="5"/>
        <v>O resumo do texto é: uma abordagem sobre os desafios enfrentados pelas start-ups na obtenção de financiamento e a importância da inovação tecnológica para o sucesso empresarial.</v>
      </c>
      <c r="S5" s="7" t="str">
        <f t="shared" si="6"/>
        <v>positivo</v>
      </c>
    </row>
    <row r="6">
      <c r="A6" s="1" t="s">
        <v>36</v>
      </c>
      <c r="B6" s="1" t="s">
        <v>37</v>
      </c>
      <c r="C6" s="1" t="s">
        <v>21</v>
      </c>
      <c r="D6" s="1" t="str">
        <f t="shared" si="2"/>
        <v>Computers&amp;Accessories</v>
      </c>
      <c r="E6" s="1" t="str">
        <f t="shared" si="3"/>
        <v>Accessories&amp;Peripherals</v>
      </c>
      <c r="F6" s="2">
        <v>154.0</v>
      </c>
      <c r="G6" s="2">
        <v>399.0</v>
      </c>
      <c r="H6" s="3">
        <f t="shared" si="4"/>
        <v>0.6140350877</v>
      </c>
      <c r="I6" s="4">
        <f>IFERROR(__xludf.DUMMYFUNCTION("GOOGLEFINANCE(""CURRENCY:INRBRL"")*F6"),9.1904617112)</f>
        <v>9.190461711</v>
      </c>
      <c r="J6" s="1">
        <v>4.5</v>
      </c>
      <c r="K6" s="1">
        <v>16905.0</v>
      </c>
      <c r="L6" s="1" t="s">
        <v>38</v>
      </c>
      <c r="M6" s="6" t="s">
        <v>39</v>
      </c>
      <c r="N6" s="7" t="str">
        <f>VLOOKUP(A6, avaliacoes!A:G, 5, FALSE)</f>
        <v>As good as original,Decent,Good one for secondary use,Best quality,GOOD,Amazing product at a mind blowing price!,Nice Quality,Good product</v>
      </c>
      <c r="O6" s="7" t="str">
        <f>VLOOKUP(A6, avaliacoes!A:G,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R6" s="7" t="str">
        <f t="shared" si="5"/>
        <v>O resumo do texto é: uma abordagem sobre os desafios enfrentados pelas start-ups na obtenção de financiamento e a importância da inovação tecnológica para o sucesso empresarial.</v>
      </c>
      <c r="S6" s="7" t="str">
        <f t="shared" si="6"/>
        <v>positivo</v>
      </c>
    </row>
    <row r="7">
      <c r="A7" s="1" t="s">
        <v>40</v>
      </c>
      <c r="B7" s="1" t="s">
        <v>41</v>
      </c>
      <c r="C7" s="1" t="s">
        <v>21</v>
      </c>
      <c r="D7" s="1" t="str">
        <f t="shared" si="2"/>
        <v>Computers&amp;Accessories</v>
      </c>
      <c r="E7" s="1" t="str">
        <f t="shared" si="3"/>
        <v>Accessories&amp;Peripherals</v>
      </c>
      <c r="F7" s="2">
        <v>149.0</v>
      </c>
      <c r="G7" s="2">
        <v>999.0</v>
      </c>
      <c r="H7" s="3">
        <f t="shared" si="4"/>
        <v>0.8508508509</v>
      </c>
      <c r="I7" s="4">
        <f>IFERROR(__xludf.DUMMYFUNCTION("GOOGLEFINANCE(""CURRENCY:INRBRL"")*F7"),8.8920700972)</f>
        <v>8.892070097</v>
      </c>
      <c r="J7" s="1">
        <v>4.52</v>
      </c>
      <c r="K7" s="1">
        <v>24871.0</v>
      </c>
      <c r="L7" s="1" t="s">
        <v>42</v>
      </c>
      <c r="M7" s="6" t="s">
        <v>43</v>
      </c>
      <c r="N7" s="7" t="str">
        <f>VLOOKUP(A7, avaliacoes!A:G, 5, FALSE)</f>
        <v>It's pretty good,Average quality,very good and useful usb cable,Good USB cable. My experience was very good it is long lasting,Good,Nice product and useful,-,Sturdy but does not support 33w charging</v>
      </c>
      <c r="O7" s="7" t="str">
        <f>VLOOKUP(A7, avaliacoes!A:G, 6, FALSE)</f>
        <v>It's a good product.,Like,Very good item strong and useful USB cableValue for moneyThanks to amazon and producer,https://m.media-amazon.com/images/I/51112ZRE-1L._SY88.jpg,Good,Nice product and useful product,-,Sturdy but does not support 33w charging</v>
      </c>
      <c r="R7" s="7" t="str">
        <f t="shared" si="5"/>
        <v>O resumo do texto é: uma abordagem sobre os desafios enfrentados pelas start-ups na obtenção de financiamento e a importância da inovação tecnológica para o sucesso empresarial.</v>
      </c>
      <c r="S7" s="7" t="str">
        <f t="shared" si="6"/>
        <v>positivo</v>
      </c>
    </row>
    <row r="8">
      <c r="A8" s="1" t="s">
        <v>44</v>
      </c>
      <c r="B8" s="1" t="s">
        <v>45</v>
      </c>
      <c r="C8" s="1" t="s">
        <v>21</v>
      </c>
      <c r="D8" s="1" t="str">
        <f t="shared" si="2"/>
        <v>Computers&amp;Accessories</v>
      </c>
      <c r="E8" s="1" t="str">
        <f t="shared" si="3"/>
        <v>Accessories&amp;Peripherals</v>
      </c>
      <c r="F8" s="2">
        <v>176.63</v>
      </c>
      <c r="G8" s="2">
        <v>499.0</v>
      </c>
      <c r="H8" s="3">
        <f t="shared" si="4"/>
        <v>0.6460320641</v>
      </c>
      <c r="I8" s="4">
        <f>IFERROR(__xludf.DUMMYFUNCTION("GOOGLEFINANCE(""CURRENCY:INRBRL"")*F8"),10.540982156163999)</f>
        <v>10.54098216</v>
      </c>
      <c r="J8" s="1">
        <v>4.49</v>
      </c>
      <c r="K8" s="1">
        <v>15188.0</v>
      </c>
      <c r="L8" s="1" t="s">
        <v>46</v>
      </c>
      <c r="M8" s="6" t="s">
        <v>47</v>
      </c>
      <c r="N8" s="7" t="str">
        <f>VLOOKUP(A8, avaliacoes!A:G, 5, FALSE)</f>
        <v>Long durable.,good,Does not charge Lenovo m8 tab,Best charging cable,good,Boat,Product was good,1.5 m का केबल मेरे लिए बहुत ही लाभदायक है ।</v>
      </c>
      <c r="O8" s="7" t="str">
        <f>VLOOKUP(A8, avaliacoes!A:G,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row>
    <row r="9">
      <c r="A9" s="1" t="s">
        <v>48</v>
      </c>
      <c r="B9" s="1" t="s">
        <v>49</v>
      </c>
      <c r="C9" s="1" t="s">
        <v>21</v>
      </c>
      <c r="D9" s="1" t="str">
        <f t="shared" si="2"/>
        <v>Computers&amp;Accessories</v>
      </c>
      <c r="E9" s="1" t="str">
        <f t="shared" si="3"/>
        <v>Accessories&amp;Peripherals</v>
      </c>
      <c r="F9" s="2">
        <v>229.0</v>
      </c>
      <c r="G9" s="2">
        <v>299.0</v>
      </c>
      <c r="H9" s="3">
        <f t="shared" si="4"/>
        <v>0.2341137124</v>
      </c>
      <c r="I9" s="4">
        <f>IFERROR(__xludf.DUMMYFUNCTION("GOOGLEFINANCE(""CURRENCY:INRBRL"")*F9"),13.666335921199998)</f>
        <v>13.66633592</v>
      </c>
      <c r="J9" s="1">
        <v>4.5</v>
      </c>
      <c r="K9" s="1">
        <v>30411.0</v>
      </c>
      <c r="L9" s="1" t="s">
        <v>50</v>
      </c>
      <c r="M9" s="6" t="s">
        <v>51</v>
      </c>
      <c r="N9" s="7" t="str">
        <f>VLOOKUP(A9, avaliacoes!A:G, 5, FALSE)</f>
        <v>Worth for money - suitable for Android auto,Good Product,Length,Nice,Original,Very good quay Cable support fast charging.,Original MI cable for charging upto 33 watt,I am veri happy with this product as it provide turbo charging.</v>
      </c>
      <c r="O9" s="7" t="str">
        <f>VLOOKUP(A9, avaliacoes!A:G,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row>
    <row r="10">
      <c r="A10" s="1" t="s">
        <v>52</v>
      </c>
      <c r="B10" s="1" t="s">
        <v>53</v>
      </c>
      <c r="C10" s="1" t="s">
        <v>54</v>
      </c>
      <c r="D10" s="1" t="str">
        <f t="shared" si="2"/>
        <v>Computers&amp;Accessories</v>
      </c>
      <c r="E10" s="1" t="str">
        <f t="shared" si="3"/>
        <v>NetworkingDevices</v>
      </c>
      <c r="F10" s="2">
        <v>499.0</v>
      </c>
      <c r="G10" s="2">
        <v>999.0</v>
      </c>
      <c r="H10" s="3">
        <f t="shared" si="4"/>
        <v>0.5005005005</v>
      </c>
      <c r="I10" s="4">
        <f>IFERROR(__xludf.DUMMYFUNCTION("GOOGLEFINANCE(""CURRENCY:INRBRL"")*F10"),29.7794830772)</f>
        <v>29.77948308</v>
      </c>
      <c r="J10" s="1">
        <v>4.5</v>
      </c>
      <c r="K10" s="1">
        <v>179691.0</v>
      </c>
      <c r="L10" s="1" t="s">
        <v>55</v>
      </c>
      <c r="M10" s="6" t="s">
        <v>56</v>
      </c>
      <c r="N10" s="7" t="str">
        <f>VLOOKUP(A10, avaliacoes!A:G,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10" s="7" t="str">
        <f>VLOOKUP(A10, avaliacoes!A:G,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row>
    <row r="11">
      <c r="A11" s="1" t="s">
        <v>57</v>
      </c>
      <c r="B11" s="1" t="s">
        <v>58</v>
      </c>
      <c r="C11" s="1" t="s">
        <v>21</v>
      </c>
      <c r="D11" s="1" t="str">
        <f t="shared" si="2"/>
        <v>Computers&amp;Accessories</v>
      </c>
      <c r="E11" s="1" t="str">
        <f t="shared" si="3"/>
        <v>Accessories&amp;Peripherals</v>
      </c>
      <c r="F11" s="2">
        <v>199.0</v>
      </c>
      <c r="G11" s="2">
        <v>299.0</v>
      </c>
      <c r="H11" s="3">
        <f t="shared" si="4"/>
        <v>0.3344481605</v>
      </c>
      <c r="I11" s="4">
        <f>IFERROR(__xludf.DUMMYFUNCTION("GOOGLEFINANCE(""CURRENCY:INRBRL"")*F11"),11.8759862372)</f>
        <v>11.87598624</v>
      </c>
      <c r="J11" s="1">
        <v>4.0</v>
      </c>
      <c r="K11" s="1">
        <v>43994.0</v>
      </c>
      <c r="L11" s="1" t="s">
        <v>59</v>
      </c>
      <c r="M11" s="6" t="s">
        <v>60</v>
      </c>
      <c r="N11" s="7" t="str">
        <f>VLOOKUP(A11, avaliacoes!A:G, 5, FALSE)</f>
        <v>A Good Braided Cable for Your Type C Device,Good quality product from ambrane,Super cable,As,Good quality,Good product,its good,Good quality for the price but one issue with my unit</v>
      </c>
      <c r="O11" s="7" t="str">
        <f>VLOOKUP(A11,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row>
    <row r="12">
      <c r="A12" s="1" t="s">
        <v>61</v>
      </c>
      <c r="B12" s="1" t="s">
        <v>62</v>
      </c>
      <c r="C12" s="1" t="s">
        <v>21</v>
      </c>
      <c r="D12" s="1" t="str">
        <f t="shared" si="2"/>
        <v>Computers&amp;Accessories</v>
      </c>
      <c r="E12" s="1" t="str">
        <f t="shared" si="3"/>
        <v>Accessories&amp;Peripherals</v>
      </c>
      <c r="F12" s="2">
        <v>154.0</v>
      </c>
      <c r="G12" s="2">
        <v>339.0</v>
      </c>
      <c r="H12" s="3">
        <f t="shared" si="4"/>
        <v>0.5457227139</v>
      </c>
      <c r="I12" s="4">
        <f>IFERROR(__xludf.DUMMYFUNCTION("GOOGLEFINANCE(""CURRENCY:INRBRL"")*F12"),9.1904617112)</f>
        <v>9.190461711</v>
      </c>
      <c r="J12" s="1">
        <v>4.5</v>
      </c>
      <c r="K12" s="1">
        <v>13391.0</v>
      </c>
      <c r="L12" s="1" t="s">
        <v>63</v>
      </c>
      <c r="M12" s="6" t="s">
        <v>64</v>
      </c>
      <c r="N12" s="7" t="str">
        <f>VLOOKUP(A12, avaliacoes!A:G, 5, FALSE)</f>
        <v>Good for fast charge but not for data transfer,Good cable compares to local the brand.,good but doesnt last,Good product,Good Product,Good and worth it,very good material quality charging speed is 15 watt,Not a fast charger</v>
      </c>
      <c r="O12" s="7" t="str">
        <f>VLOOKUP(A12, avaliacoes!A:G,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row>
    <row r="13">
      <c r="A13" s="1" t="s">
        <v>65</v>
      </c>
      <c r="B13" s="1" t="s">
        <v>66</v>
      </c>
      <c r="C13" s="1" t="s">
        <v>21</v>
      </c>
      <c r="D13" s="1" t="str">
        <f t="shared" si="2"/>
        <v>Computers&amp;Accessories</v>
      </c>
      <c r="E13" s="1" t="str">
        <f t="shared" si="3"/>
        <v>Accessories&amp;Peripherals</v>
      </c>
      <c r="F13" s="2">
        <v>299.0</v>
      </c>
      <c r="G13" s="2">
        <v>799.0</v>
      </c>
      <c r="H13" s="3">
        <f t="shared" si="4"/>
        <v>0.6257822278</v>
      </c>
      <c r="I13" s="4">
        <f>IFERROR(__xludf.DUMMYFUNCTION("GOOGLEFINANCE(""CURRENCY:INRBRL"")*F13"),17.8438185172)</f>
        <v>17.84381852</v>
      </c>
      <c r="J13" s="1">
        <v>4.5</v>
      </c>
      <c r="K13" s="1">
        <v>94363.0</v>
      </c>
      <c r="L13" s="1" t="s">
        <v>67</v>
      </c>
      <c r="M13" s="6" t="s">
        <v>68</v>
      </c>
      <c r="N13" s="7" t="str">
        <f>VLOOKUP(A13, avaliacoes!A:G, 5, FALSE)</f>
        <v>Good product,Good one,Nice,Really nice product,Very first time change,Good,Fine product but could be better,Very nice it's charging like jet</v>
      </c>
      <c r="O13" s="7" t="str">
        <f>VLOOKUP(A13,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row>
    <row r="14">
      <c r="A14" s="1" t="s">
        <v>69</v>
      </c>
      <c r="B14" s="1" t="s">
        <v>70</v>
      </c>
      <c r="C14" s="1" t="s">
        <v>71</v>
      </c>
      <c r="D14" s="1" t="str">
        <f t="shared" si="2"/>
        <v>Electronics</v>
      </c>
      <c r="E14" s="1" t="str">
        <f t="shared" si="3"/>
        <v>HomeTheater,TV&amp;Video</v>
      </c>
      <c r="F14" s="2">
        <v>219.0</v>
      </c>
      <c r="G14" s="2">
        <v>700.0</v>
      </c>
      <c r="H14" s="3">
        <f t="shared" si="4"/>
        <v>0.6871428571</v>
      </c>
      <c r="I14" s="4">
        <f>IFERROR(__xludf.DUMMYFUNCTION("GOOGLEFINANCE(""CURRENCY:INRBRL"")*F14"),13.069552693199999)</f>
        <v>13.06955269</v>
      </c>
      <c r="J14" s="1">
        <v>4.5</v>
      </c>
      <c r="K14" s="1">
        <v>426973.0</v>
      </c>
      <c r="L14" s="1" t="s">
        <v>72</v>
      </c>
      <c r="M14" s="6" t="s">
        <v>73</v>
      </c>
      <c r="N14" s="7" t="str">
        <f>VLOOKUP(A14, avaliacoes!A:G, 5, FALSE)</f>
        <v>It's quite good and value for money,Works well,Hdmi cable,Value for money,All good,Gets the job done,Delivery was good,This one was my need to purchase</v>
      </c>
      <c r="O14" s="7" t="str">
        <f>VLOOKUP(A14, avaliacoes!A:G,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row>
    <row r="15">
      <c r="A15" s="1" t="s">
        <v>74</v>
      </c>
      <c r="B15" s="1" t="s">
        <v>75</v>
      </c>
      <c r="C15" s="1" t="s">
        <v>21</v>
      </c>
      <c r="D15" s="1" t="str">
        <f t="shared" si="2"/>
        <v>Computers&amp;Accessories</v>
      </c>
      <c r="E15" s="1" t="str">
        <f t="shared" si="3"/>
        <v>Accessories&amp;Peripherals</v>
      </c>
      <c r="F15" s="2">
        <v>350.0</v>
      </c>
      <c r="G15" s="2">
        <v>899.0</v>
      </c>
      <c r="H15" s="3">
        <f t="shared" si="4"/>
        <v>0.6106785317</v>
      </c>
      <c r="I15" s="4">
        <f>IFERROR(__xludf.DUMMYFUNCTION("GOOGLEFINANCE(""CURRENCY:INRBRL"")*F15"),20.887412979999997)</f>
        <v>20.88741298</v>
      </c>
      <c r="J15" s="1">
        <v>4.5</v>
      </c>
      <c r="K15" s="1">
        <v>2262.0</v>
      </c>
      <c r="L15" s="1" t="s">
        <v>76</v>
      </c>
      <c r="M15" s="6" t="s">
        <v>77</v>
      </c>
      <c r="N15" s="7" t="str">
        <f>VLOOKUP(A15, avaliacoes!A:G, 5, FALSE)</f>
        <v>Works,Nice Product,Fast Charging as original,Good for data transfer,Average. Cost effective,Good quality,Great Product,Nice</v>
      </c>
      <c r="O15" s="7" t="str">
        <f>VLOOKUP(A15, avaliacoes!A:G,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row>
    <row r="16">
      <c r="A16" s="1" t="s">
        <v>78</v>
      </c>
      <c r="B16" s="1" t="s">
        <v>79</v>
      </c>
      <c r="C16" s="1" t="s">
        <v>21</v>
      </c>
      <c r="D16" s="1" t="str">
        <f t="shared" si="2"/>
        <v>Computers&amp;Accessories</v>
      </c>
      <c r="E16" s="1" t="str">
        <f t="shared" si="3"/>
        <v>Accessories&amp;Peripherals</v>
      </c>
      <c r="F16" s="2">
        <v>159.0</v>
      </c>
      <c r="G16" s="2">
        <v>399.0</v>
      </c>
      <c r="H16" s="3">
        <f t="shared" si="4"/>
        <v>0.6015037594</v>
      </c>
      <c r="I16" s="4">
        <f>IFERROR(__xludf.DUMMYFUNCTION("GOOGLEFINANCE(""CURRENCY:INRBRL"")*F16"),9.4888533252)</f>
        <v>9.488853325</v>
      </c>
      <c r="J16" s="1">
        <v>4.49</v>
      </c>
      <c r="K16" s="1">
        <v>4768.0</v>
      </c>
      <c r="L16" s="1" t="s">
        <v>38</v>
      </c>
      <c r="M16" s="6" t="s">
        <v>80</v>
      </c>
      <c r="N16" s="7" t="str">
        <f>VLOOKUP(A16, avaliacoes!A:G,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O16" s="7" t="str">
        <f>VLOOKUP(A16, avaliacoes!A:G,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row>
    <row r="17">
      <c r="A17" s="1" t="s">
        <v>81</v>
      </c>
      <c r="B17" s="1" t="s">
        <v>82</v>
      </c>
      <c r="C17" s="1" t="s">
        <v>21</v>
      </c>
      <c r="D17" s="1" t="str">
        <f t="shared" si="2"/>
        <v>Computers&amp;Accessories</v>
      </c>
      <c r="E17" s="1" t="str">
        <f t="shared" si="3"/>
        <v>Accessories&amp;Peripherals</v>
      </c>
      <c r="F17" s="2">
        <v>349.0</v>
      </c>
      <c r="G17" s="2">
        <v>399.0</v>
      </c>
      <c r="H17" s="3">
        <f t="shared" si="4"/>
        <v>0.1253132832</v>
      </c>
      <c r="I17" s="4">
        <f>IFERROR(__xludf.DUMMYFUNCTION("GOOGLEFINANCE(""CURRENCY:INRBRL"")*F17"),20.827734657199997)</f>
        <v>20.82773466</v>
      </c>
      <c r="J17" s="1">
        <v>4.5</v>
      </c>
      <c r="K17" s="1">
        <v>18757.0</v>
      </c>
      <c r="L17" s="1" t="s">
        <v>83</v>
      </c>
      <c r="M17" s="6" t="s">
        <v>84</v>
      </c>
      <c r="N17" s="7" t="str">
        <f>VLOOKUP(A17, avaliacoes!A:G, 5, FALSE)</f>
        <v>Good product,using this product 8months It is done  I have not faced any problem so far, its build quality best,I really liked this one.,Very strong and support fast charging ,,Nice cable,Best data cable charging fast,Good job,Good but need some improvement</v>
      </c>
      <c r="O17" s="7" t="str">
        <f>VLOOKUP(A17, avaliacoes!A:G,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row>
    <row r="18">
      <c r="A18" s="1" t="s">
        <v>85</v>
      </c>
      <c r="B18" s="1" t="s">
        <v>86</v>
      </c>
      <c r="C18" s="1" t="s">
        <v>87</v>
      </c>
      <c r="D18" s="1" t="str">
        <f t="shared" si="2"/>
        <v>Electronics</v>
      </c>
      <c r="E18" s="1" t="str">
        <f t="shared" si="3"/>
        <v>HomeTheater,TV&amp;Video</v>
      </c>
      <c r="F18" s="2">
        <v>13999.0</v>
      </c>
      <c r="G18" s="2">
        <v>24999.0</v>
      </c>
      <c r="H18" s="3">
        <f t="shared" si="4"/>
        <v>0.4400176007</v>
      </c>
      <c r="I18" s="4">
        <f>IFERROR(__xludf.DUMMYFUNCTION("GOOGLEFINANCE(""CURRENCY:INRBRL"")*F18"),835.4368408772)</f>
        <v>835.4368409</v>
      </c>
      <c r="J18" s="1">
        <v>4.5</v>
      </c>
      <c r="K18" s="1">
        <v>3284.0</v>
      </c>
      <c r="L18" s="1" t="s">
        <v>88</v>
      </c>
      <c r="M18" s="6" t="s">
        <v>89</v>
      </c>
      <c r="N18" s="7" t="str">
        <f>VLOOKUP(A18, avaliacoes!A:G, 5, FALSE)</f>
        <v>It is the best tv if you are getting it in 10-12k,Good price but the OS lags,GARBAGE QUALITY,Good product.,Good quality,Great experience everything is fantastic 🤠,Super picture quality and sound quality,Awesome</v>
      </c>
      <c r="O18" s="7" t="str">
        <f>VLOOKUP(A18,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v>
      </c>
    </row>
    <row r="19">
      <c r="A19" s="1" t="s">
        <v>90</v>
      </c>
      <c r="B19" s="1" t="s">
        <v>91</v>
      </c>
      <c r="C19" s="1" t="s">
        <v>21</v>
      </c>
      <c r="D19" s="1" t="str">
        <f t="shared" si="2"/>
        <v>Computers&amp;Accessories</v>
      </c>
      <c r="E19" s="1" t="str">
        <f t="shared" si="3"/>
        <v>Accessories&amp;Peripherals</v>
      </c>
      <c r="F19" s="2">
        <v>249.0</v>
      </c>
      <c r="G19" s="2">
        <v>399.0</v>
      </c>
      <c r="H19" s="3">
        <f t="shared" si="4"/>
        <v>0.3759398496</v>
      </c>
      <c r="I19" s="4">
        <f>IFERROR(__xludf.DUMMYFUNCTION("GOOGLEFINANCE(""CURRENCY:INRBRL"")*F19"),14.8599023772)</f>
        <v>14.85990238</v>
      </c>
      <c r="J19" s="1">
        <v>4.0</v>
      </c>
      <c r="K19" s="1">
        <v>43994.0</v>
      </c>
      <c r="L19" s="1" t="s">
        <v>92</v>
      </c>
      <c r="M19" s="6" t="s">
        <v>93</v>
      </c>
      <c r="N19" s="7" t="str">
        <f>VLOOKUP(A19, avaliacoes!A:G, 5, FALSE)</f>
        <v>A Good Braided Cable for Your Type C Device,Good quality product from ambrane,Super cable,As,Good quality,Good product,its good,Good quality for the price but one issue with my unit</v>
      </c>
      <c r="O19" s="7" t="str">
        <f>VLOOKUP(A19,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row>
    <row r="20">
      <c r="A20" s="1" t="s">
        <v>94</v>
      </c>
      <c r="B20" s="1" t="s">
        <v>95</v>
      </c>
      <c r="C20" s="1" t="s">
        <v>21</v>
      </c>
      <c r="D20" s="1" t="str">
        <f t="shared" si="2"/>
        <v>Computers&amp;Accessories</v>
      </c>
      <c r="E20" s="1" t="str">
        <f t="shared" si="3"/>
        <v>Accessories&amp;Peripherals</v>
      </c>
      <c r="F20" s="2">
        <v>199.0</v>
      </c>
      <c r="G20" s="2">
        <v>499.0</v>
      </c>
      <c r="H20" s="3">
        <f t="shared" si="4"/>
        <v>0.6012024048</v>
      </c>
      <c r="I20" s="4">
        <f>IFERROR(__xludf.DUMMYFUNCTION("GOOGLEFINANCE(""CURRENCY:INRBRL"")*F20"),11.8759862372)</f>
        <v>11.87598624</v>
      </c>
      <c r="J20" s="1">
        <v>4.49</v>
      </c>
      <c r="K20" s="1">
        <v>13045.0</v>
      </c>
      <c r="L20" s="1" t="s">
        <v>96</v>
      </c>
      <c r="M20" s="6" t="s">
        <v>97</v>
      </c>
      <c r="N20" s="7" t="str">
        <f>VLOOKUP(A20, avaliacoes!A:G, 5, FALSE)</f>
        <v>Good for charging and Data transfer,ਮਜ਼ਬੂਤ,Good Quality but less Power Delivery,Fantastic!,Good,Not useful,Doesn't fit properly,Can't support Oppo mobile for fast charging</v>
      </c>
      <c r="O20" s="7" t="str">
        <f>VLOOKUP(A20, avaliacoes!A:G, 6, FALSE)</f>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v>
      </c>
    </row>
    <row r="21">
      <c r="A21" s="1" t="s">
        <v>98</v>
      </c>
      <c r="B21" s="1" t="s">
        <v>99</v>
      </c>
      <c r="C21" s="1" t="s">
        <v>87</v>
      </c>
      <c r="D21" s="1" t="str">
        <f t="shared" si="2"/>
        <v>Electronics</v>
      </c>
      <c r="E21" s="1" t="str">
        <f t="shared" si="3"/>
        <v>HomeTheater,TV&amp;Video</v>
      </c>
      <c r="F21" s="2">
        <v>13489.0</v>
      </c>
      <c r="G21" s="2">
        <v>21989.0</v>
      </c>
      <c r="H21" s="3">
        <f t="shared" si="4"/>
        <v>0.3865569148</v>
      </c>
      <c r="I21" s="4">
        <f>IFERROR(__xludf.DUMMYFUNCTION("GOOGLEFINANCE(""CURRENCY:INRBRL"")*F21"),805.0008962492)</f>
        <v>805.0008962</v>
      </c>
      <c r="J21" s="1">
        <v>4.5</v>
      </c>
      <c r="K21" s="1">
        <v>11976.0</v>
      </c>
      <c r="L21" s="1" t="s">
        <v>100</v>
      </c>
      <c r="M21" s="6" t="s">
        <v>101</v>
      </c>
      <c r="N21" s="7" t="str">
        <f>VLOOKUP(A21, avaliacoes!A:G, 5, FALSE)</f>
        <v>Sound quality,Very nice,Value for money,Good,Good for its price.,Good item,Budget friendly,Good</v>
      </c>
      <c r="O21" s="7" t="str">
        <f>VLOOKUP(A21, avaliacoes!A:G, 6, FALSE)</f>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v>
      </c>
    </row>
    <row r="22">
      <c r="A22" s="1" t="s">
        <v>102</v>
      </c>
      <c r="B22" s="1" t="s">
        <v>103</v>
      </c>
      <c r="C22" s="1" t="s">
        <v>21</v>
      </c>
      <c r="D22" s="1" t="str">
        <f t="shared" si="2"/>
        <v>Computers&amp;Accessories</v>
      </c>
      <c r="E22" s="1" t="str">
        <f t="shared" si="3"/>
        <v>Accessories&amp;Peripherals</v>
      </c>
      <c r="F22" s="2">
        <v>970.0</v>
      </c>
      <c r="G22" s="2">
        <v>1799.0</v>
      </c>
      <c r="H22" s="3">
        <f t="shared" si="4"/>
        <v>0.460811562</v>
      </c>
      <c r="I22" s="4">
        <f>IFERROR(__xludf.DUMMYFUNCTION("GOOGLEFINANCE(""CURRENCY:INRBRL"")*F22"),57.887973116)</f>
        <v>57.88797312</v>
      </c>
      <c r="J22" s="1">
        <v>4.51</v>
      </c>
      <c r="K22" s="1">
        <v>815.0</v>
      </c>
      <c r="L22" s="1" t="s">
        <v>104</v>
      </c>
      <c r="M22" s="6" t="s">
        <v>105</v>
      </c>
      <c r="N22" s="7" t="str">
        <f>VLOOKUP(A22, avaliacoes!A:G, 5, FALSE)</f>
        <v>Good cable for car,Good substitute for orginal,Better Value for money Product,Way better than the original,Absolutely amazing.,Namm hi kafi hai,Very good,As the names say Durable cell it a durable cable ;-)</v>
      </c>
      <c r="O22" s="7" t="str">
        <f>VLOOKUP(A22, avaliacoes!A:G,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row>
    <row r="23">
      <c r="A23" s="1" t="s">
        <v>106</v>
      </c>
      <c r="B23" s="1" t="s">
        <v>107</v>
      </c>
      <c r="C23" s="1" t="s">
        <v>71</v>
      </c>
      <c r="D23" s="1" t="str">
        <f t="shared" si="2"/>
        <v>Electronics</v>
      </c>
      <c r="E23" s="1" t="str">
        <f t="shared" si="3"/>
        <v>HomeTheater,TV&amp;Video</v>
      </c>
      <c r="F23" s="2">
        <v>279.0</v>
      </c>
      <c r="G23" s="2">
        <v>499.0</v>
      </c>
      <c r="H23" s="3">
        <f t="shared" si="4"/>
        <v>0.4408817635</v>
      </c>
      <c r="I23" s="4">
        <f>IFERROR(__xludf.DUMMYFUNCTION("GOOGLEFINANCE(""CURRENCY:INRBRL"")*F23"),16.6502520612)</f>
        <v>16.65025206</v>
      </c>
      <c r="J23" s="1">
        <v>4.51</v>
      </c>
      <c r="K23" s="1">
        <v>10962.0</v>
      </c>
      <c r="L23" s="1" t="s">
        <v>108</v>
      </c>
      <c r="M23" s="6" t="s">
        <v>109</v>
      </c>
      <c r="N23" s="7" t="str">
        <f>VLOOKUP(A23, avaliacoes!A:G, 5, FALSE)</f>
        <v>Good product ; Average Finishing,Save it purpose well without any issue. I am satisfied,No issues,NO NEED TO PUT AUX CABLE FOR CONNECTING AUDIO FROM SECONDARY MONITOR,Good product,Not so Bad,Good,Worked will for only 3-4 months.</v>
      </c>
      <c r="O23" s="7" t="str">
        <f>VLOOKUP(A23, avaliacoes!A:G, 6, FALSE)</f>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v>
      </c>
    </row>
    <row r="24">
      <c r="A24" s="1" t="s">
        <v>110</v>
      </c>
      <c r="B24" s="1" t="s">
        <v>111</v>
      </c>
      <c r="C24" s="1" t="s">
        <v>87</v>
      </c>
      <c r="D24" s="1" t="str">
        <f t="shared" si="2"/>
        <v>Electronics</v>
      </c>
      <c r="E24" s="1" t="str">
        <f t="shared" si="3"/>
        <v>HomeTheater,TV&amp;Video</v>
      </c>
      <c r="F24" s="2">
        <v>13490.0</v>
      </c>
      <c r="G24" s="2">
        <v>22900.0</v>
      </c>
      <c r="H24" s="3">
        <f t="shared" si="4"/>
        <v>0.4109170306</v>
      </c>
      <c r="I24" s="4">
        <f>IFERROR(__xludf.DUMMYFUNCTION("GOOGLEFINANCE(""CURRENCY:INRBRL"")*F24"),805.060574572)</f>
        <v>805.0605746</v>
      </c>
      <c r="J24" s="1">
        <v>4.5</v>
      </c>
      <c r="K24" s="1">
        <v>16299.0</v>
      </c>
      <c r="L24" s="1" t="s">
        <v>112</v>
      </c>
      <c r="M24" s="6" t="s">
        <v>113</v>
      </c>
      <c r="N24" s="7" t="str">
        <f>VLOOKUP(A24, avaliacoes!A:G, 5, FALSE)</f>
        <v>Good,Sound is very low another brand comparing in better,Service provider not meet my home refuse, tv i am not using bad service,Good product,Ok super,Floor stand does not come with it ...,Good,A budget friendly TV with a clumsy UI and Remote</v>
      </c>
      <c r="O24" s="7" t="str">
        <f>VLOOKUP(A24, avaliacoes!A:G,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row>
    <row r="25">
      <c r="A25" s="1" t="s">
        <v>114</v>
      </c>
      <c r="B25" s="1" t="s">
        <v>115</v>
      </c>
      <c r="C25" s="1" t="s">
        <v>21</v>
      </c>
      <c r="D25" s="1" t="str">
        <f t="shared" si="2"/>
        <v>Computers&amp;Accessories</v>
      </c>
      <c r="E25" s="1" t="str">
        <f t="shared" si="3"/>
        <v>Accessories&amp;Peripherals</v>
      </c>
      <c r="F25" s="2">
        <v>59.0</v>
      </c>
      <c r="G25" s="2">
        <v>199.0</v>
      </c>
      <c r="H25" s="3">
        <f t="shared" si="4"/>
        <v>0.7035175879</v>
      </c>
      <c r="I25" s="4">
        <f>IFERROR(__xludf.DUMMYFUNCTION("GOOGLEFINANCE(""CURRENCY:INRBRL"")*F25"),3.5210210452)</f>
        <v>3.521021045</v>
      </c>
      <c r="J25" s="1">
        <v>4.0</v>
      </c>
      <c r="K25" s="1">
        <v>9378.0</v>
      </c>
      <c r="L25" s="1" t="s">
        <v>116</v>
      </c>
      <c r="M25" s="6" t="s">
        <v>117</v>
      </c>
      <c r="N25" s="7" t="str">
        <f>VLOOKUP(A25, avaliacoes!A:G, 5, FALSE)</f>
        <v>Worked on iPhone 7 and didn’t work on XR,Good one,Dull Physical Looks,Just Buy it,Go for it,About the product,Get charging cable at the price,Working well.</v>
      </c>
      <c r="O25" s="7" t="str">
        <f>VLOOKUP(A25,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26">
      <c r="A26" s="1" t="s">
        <v>118</v>
      </c>
      <c r="B26" s="1" t="s">
        <v>119</v>
      </c>
      <c r="C26" s="1" t="s">
        <v>87</v>
      </c>
      <c r="D26" s="1" t="str">
        <f t="shared" si="2"/>
        <v>Electronics</v>
      </c>
      <c r="E26" s="1" t="str">
        <f t="shared" si="3"/>
        <v>HomeTheater,TV&amp;Video</v>
      </c>
      <c r="F26" s="2">
        <v>11499.0</v>
      </c>
      <c r="G26" s="2">
        <v>19999.0</v>
      </c>
      <c r="H26" s="3">
        <f t="shared" si="4"/>
        <v>0.4250212511</v>
      </c>
      <c r="I26" s="4">
        <f>IFERROR(__xludf.DUMMYFUNCTION("GOOGLEFINANCE(""CURRENCY:INRBRL"")*F26"),686.2410338771999)</f>
        <v>686.2410339</v>
      </c>
      <c r="J26" s="1">
        <v>4.5</v>
      </c>
      <c r="K26" s="1">
        <v>4703.0</v>
      </c>
      <c r="L26" s="1" t="s">
        <v>120</v>
      </c>
      <c r="M26" s="6" t="s">
        <v>121</v>
      </c>
      <c r="N26" s="7" t="str">
        <f>VLOOKUP(A26, avaliacoes!A:G, 5, FALSE)</f>
        <v>Wonderful TV and Awful installation service from amazon,Acer Television Review,It's a good product for that price.,Good for the price,Almost a complete package,Nice Product,Good product,Super designed</v>
      </c>
      <c r="O26" s="7" t="str">
        <f>VLOOKUP(A26,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row>
    <row r="27">
      <c r="A27" s="1" t="s">
        <v>122</v>
      </c>
      <c r="B27" s="1" t="s">
        <v>123</v>
      </c>
      <c r="C27" s="1" t="s">
        <v>71</v>
      </c>
      <c r="D27" s="1" t="str">
        <f t="shared" si="2"/>
        <v>Electronics</v>
      </c>
      <c r="E27" s="1" t="str">
        <f t="shared" si="3"/>
        <v>HomeTheater,TV&amp;Video</v>
      </c>
      <c r="F27" s="2">
        <v>199.0</v>
      </c>
      <c r="G27" s="2">
        <v>699.0</v>
      </c>
      <c r="H27" s="3">
        <f t="shared" si="4"/>
        <v>0.7153075823</v>
      </c>
      <c r="I27" s="4">
        <f>IFERROR(__xludf.DUMMYFUNCTION("GOOGLEFINANCE(""CURRENCY:INRBRL"")*F27"),11.8759862372)</f>
        <v>11.87598624</v>
      </c>
      <c r="J27" s="1">
        <v>4.5</v>
      </c>
      <c r="K27" s="1">
        <v>12153.0</v>
      </c>
      <c r="L27" s="1" t="s">
        <v>124</v>
      </c>
      <c r="M27" s="6" t="s">
        <v>125</v>
      </c>
      <c r="N27" s="7" t="str">
        <f>VLOOKUP(A27, avaliacoes!A:G, 5, FALSE)</f>
        <v>Cheap product and same is the performance but does the job,Good,No Box!!!,Good,Value for money,A very good quality cable with rubust built, and it does the work.,Value money,Good product.</v>
      </c>
      <c r="O27" s="7" t="str">
        <f>VLOOKUP(A27, avaliacoes!A:G,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row>
    <row r="28">
      <c r="A28" s="1" t="s">
        <v>126</v>
      </c>
      <c r="B28" s="1" t="s">
        <v>127</v>
      </c>
      <c r="C28" s="1" t="s">
        <v>87</v>
      </c>
      <c r="D28" s="1" t="str">
        <f t="shared" si="2"/>
        <v>Electronics</v>
      </c>
      <c r="E28" s="1" t="str">
        <f t="shared" si="3"/>
        <v>HomeTheater,TV&amp;Video</v>
      </c>
      <c r="F28" s="2">
        <v>14999.0</v>
      </c>
      <c r="G28" s="2">
        <v>19999.0</v>
      </c>
      <c r="H28" s="3">
        <f t="shared" si="4"/>
        <v>0.2500125006</v>
      </c>
      <c r="I28" s="4">
        <f>IFERROR(__xludf.DUMMYFUNCTION("GOOGLEFINANCE(""CURRENCY:INRBRL"")*F28"),895.1151636771999)</f>
        <v>895.1151637</v>
      </c>
      <c r="J28" s="1">
        <v>4.5</v>
      </c>
      <c r="K28" s="1">
        <v>34899.0</v>
      </c>
      <c r="L28" s="1" t="s">
        <v>128</v>
      </c>
      <c r="M28" s="6" t="s">
        <v>129</v>
      </c>
      <c r="N28" s="7" t="str">
        <f>VLOOKUP(A28, avaliacoes!A:G, 5, FALSE)</f>
        <v>Worthy and most affordable - Great TV,Good product,It's really worth the money but,Better product in this budget,Product review,nice tv,Best product,Budget friendly TV</v>
      </c>
      <c r="O28" s="7" t="str">
        <f>VLOOKUP(A28, avaliacoes!A:G,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row>
    <row r="29">
      <c r="A29" s="1" t="s">
        <v>130</v>
      </c>
      <c r="B29" s="1" t="s">
        <v>131</v>
      </c>
      <c r="C29" s="1" t="s">
        <v>21</v>
      </c>
      <c r="D29" s="1" t="str">
        <f t="shared" si="2"/>
        <v>Computers&amp;Accessories</v>
      </c>
      <c r="E29" s="1" t="str">
        <f t="shared" si="3"/>
        <v>Accessories&amp;Peripherals</v>
      </c>
      <c r="F29" s="2">
        <v>299.0</v>
      </c>
      <c r="G29" s="2">
        <v>399.0</v>
      </c>
      <c r="H29" s="3">
        <f t="shared" si="4"/>
        <v>0.2506265664</v>
      </c>
      <c r="I29" s="4">
        <f>IFERROR(__xludf.DUMMYFUNCTION("GOOGLEFINANCE(""CURRENCY:INRBRL"")*F29"),17.8438185172)</f>
        <v>17.84381852</v>
      </c>
      <c r="J29" s="1">
        <v>4.0</v>
      </c>
      <c r="K29" s="1">
        <v>2766.0</v>
      </c>
      <c r="L29" s="1" t="s">
        <v>132</v>
      </c>
      <c r="M29" s="6" t="s">
        <v>133</v>
      </c>
      <c r="N29" s="7" t="str">
        <f>VLOOKUP(A29, avaliacoes!A:G, 5, FALSE)</f>
        <v>Ok cable,three pin with hybrid wire,Sturdy,Nice,Good.,So good,CarPlay Not supported,पैसा वसूल 🙂</v>
      </c>
      <c r="O29" s="7" t="str">
        <f>VLOOKUP(A29, avaliacoes!A:G, 6, FALSE)</f>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v>
      </c>
    </row>
    <row r="30">
      <c r="A30" s="1" t="s">
        <v>134</v>
      </c>
      <c r="B30" s="1" t="s">
        <v>135</v>
      </c>
      <c r="C30" s="1" t="s">
        <v>21</v>
      </c>
      <c r="D30" s="1" t="str">
        <f t="shared" si="2"/>
        <v>Computers&amp;Accessories</v>
      </c>
      <c r="E30" s="1" t="str">
        <f t="shared" si="3"/>
        <v>Accessories&amp;Peripherals</v>
      </c>
      <c r="F30" s="2">
        <v>970.0</v>
      </c>
      <c r="G30" s="2">
        <v>1999.0</v>
      </c>
      <c r="H30" s="3">
        <f t="shared" si="4"/>
        <v>0.5147573787</v>
      </c>
      <c r="I30" s="4">
        <f>IFERROR(__xludf.DUMMYFUNCTION("GOOGLEFINANCE(""CURRENCY:INRBRL"")*F30"),57.887973116)</f>
        <v>57.88797312</v>
      </c>
      <c r="J30" s="1">
        <v>4.5</v>
      </c>
      <c r="K30" s="1">
        <v>184.0</v>
      </c>
      <c r="L30" s="1" t="s">
        <v>136</v>
      </c>
      <c r="M30" s="6" t="s">
        <v>137</v>
      </c>
      <c r="N30" s="7" t="str">
        <f>VLOOKUP(A30, avaliacoes!A:G, 5, FALSE)</f>
        <v>Very good product.,Using as a spare cable in car,Sturdy, Durable, Fast Charging!,Good brand,It’s like original apple cable,One of the best wire ..,Super well build. Quality product worth the money,Good product</v>
      </c>
      <c r="O30" s="7" t="str">
        <f>VLOOKUP(A30, avaliacoes!A:G,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row>
    <row r="31">
      <c r="A31" s="1" t="s">
        <v>138</v>
      </c>
      <c r="B31" s="1" t="s">
        <v>139</v>
      </c>
      <c r="C31" s="1" t="s">
        <v>21</v>
      </c>
      <c r="D31" s="1" t="str">
        <f t="shared" si="2"/>
        <v>Computers&amp;Accessories</v>
      </c>
      <c r="E31" s="1" t="str">
        <f t="shared" si="3"/>
        <v>Accessories&amp;Peripherals</v>
      </c>
      <c r="F31" s="2">
        <v>299.0</v>
      </c>
      <c r="G31" s="2">
        <v>999.0</v>
      </c>
      <c r="H31" s="3">
        <f t="shared" si="4"/>
        <v>0.7007007007</v>
      </c>
      <c r="I31" s="4">
        <f>IFERROR(__xludf.DUMMYFUNCTION("GOOGLEFINANCE(""CURRENCY:INRBRL"")*F31"),17.8438185172)</f>
        <v>17.84381852</v>
      </c>
      <c r="J31" s="1">
        <v>4.5</v>
      </c>
      <c r="K31" s="1">
        <v>2085.0</v>
      </c>
      <c r="L31" s="1" t="s">
        <v>140</v>
      </c>
      <c r="M31" s="6" t="s">
        <v>141</v>
      </c>
      <c r="N31" s="7" t="str">
        <f>VLOOKUP(A31, avaliacoes!A:G, 5, FALSE)</f>
        <v>Just buy it dont even 2nd guess it,Quality is good,Nylon braided quiet sturdy,Amazing,Feels like steel harnessed wire - strong,Sturdy and durable. Useful for charging Power Banks,good,Nice quality</v>
      </c>
      <c r="O31" s="7" t="str">
        <f>VLOOKUP(A31,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row>
    <row r="32">
      <c r="A32" s="1" t="s">
        <v>142</v>
      </c>
      <c r="B32" s="1" t="s">
        <v>143</v>
      </c>
      <c r="C32" s="1" t="s">
        <v>21</v>
      </c>
      <c r="D32" s="1" t="str">
        <f t="shared" si="2"/>
        <v>Computers&amp;Accessories</v>
      </c>
      <c r="E32" s="1" t="str">
        <f t="shared" si="3"/>
        <v>Accessories&amp;Peripherals</v>
      </c>
      <c r="F32" s="2">
        <v>199.0</v>
      </c>
      <c r="G32" s="2">
        <v>750.0</v>
      </c>
      <c r="H32" s="3">
        <f t="shared" si="4"/>
        <v>0.7346666667</v>
      </c>
      <c r="I32" s="4">
        <f>IFERROR(__xludf.DUMMYFUNCTION("GOOGLEFINANCE(""CURRENCY:INRBRL"")*F32"),11.8759862372)</f>
        <v>11.87598624</v>
      </c>
      <c r="J32" s="1">
        <v>4.51</v>
      </c>
      <c r="K32" s="1">
        <v>74976.0</v>
      </c>
      <c r="L32" s="1" t="s">
        <v>144</v>
      </c>
      <c r="M32" s="6" t="s">
        <v>145</v>
      </c>
      <c r="N32" s="7" t="str">
        <f>VLOOKUP(A32, avaliacoes!A:G, 5, FALSE)</f>
        <v>Nice,good,Paisa vassol,Sturdy and long.,Good for the price and great quality.,Works as expected,Good,Good</v>
      </c>
      <c r="O32" s="7" t="str">
        <f>VLOOKUP(A32, avaliacoes!A:G,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row>
    <row r="33">
      <c r="A33" s="1" t="s">
        <v>146</v>
      </c>
      <c r="B33" s="1" t="s">
        <v>147</v>
      </c>
      <c r="C33" s="1" t="s">
        <v>21</v>
      </c>
      <c r="D33" s="1" t="str">
        <f t="shared" si="2"/>
        <v>Computers&amp;Accessories</v>
      </c>
      <c r="E33" s="1" t="str">
        <f t="shared" si="3"/>
        <v>Accessories&amp;Peripherals</v>
      </c>
      <c r="F33" s="2">
        <v>179.0</v>
      </c>
      <c r="G33" s="2">
        <v>499.0</v>
      </c>
      <c r="H33" s="3">
        <f t="shared" si="4"/>
        <v>0.6412825651</v>
      </c>
      <c r="I33" s="4">
        <f>IFERROR(__xludf.DUMMYFUNCTION("GOOGLEFINANCE(""CURRENCY:INRBRL"")*F33"),10.682419781199998)</f>
        <v>10.68241978</v>
      </c>
      <c r="J33" s="1">
        <v>4.0</v>
      </c>
      <c r="K33" s="1">
        <v>1934.0</v>
      </c>
      <c r="L33" s="1" t="s">
        <v>148</v>
      </c>
      <c r="M33" s="6" t="s">
        <v>149</v>
      </c>
      <c r="N33" s="7" t="str">
        <f>VLOOKUP(A33, avaliacoes!A:G, 5, FALSE)</f>
        <v>Good product,Good for charging, bad for data transfer,Wait  to get mexmum discount.,The cable quality is best and charging pin is at right position to stand 👍🏻,So far super,Good,Good but issues with design,Maine ₹99 me liya hai offer me or ye worth hai.</v>
      </c>
      <c r="O33" s="7" t="str">
        <f>VLOOKUP(A33, avaliacoes!A:G, 6, FALSE)</f>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v>
      </c>
    </row>
    <row r="34">
      <c r="A34" s="1" t="s">
        <v>150</v>
      </c>
      <c r="B34" s="1" t="s">
        <v>151</v>
      </c>
      <c r="C34" s="1" t="s">
        <v>21</v>
      </c>
      <c r="D34" s="1" t="str">
        <f t="shared" si="2"/>
        <v>Computers&amp;Accessories</v>
      </c>
      <c r="E34" s="1" t="str">
        <f t="shared" si="3"/>
        <v>Accessories&amp;Peripherals</v>
      </c>
      <c r="F34" s="2">
        <v>389.0</v>
      </c>
      <c r="G34" s="2">
        <v>1099.0</v>
      </c>
      <c r="H34" s="3">
        <f t="shared" si="4"/>
        <v>0.6460418562</v>
      </c>
      <c r="I34" s="4">
        <f>IFERROR(__xludf.DUMMYFUNCTION("GOOGLEFINANCE(""CURRENCY:INRBRL"")*F34"),23.2148675692)</f>
        <v>23.21486757</v>
      </c>
      <c r="J34" s="1">
        <v>4.5</v>
      </c>
      <c r="K34" s="1">
        <v>974.0</v>
      </c>
      <c r="L34" s="1" t="s">
        <v>152</v>
      </c>
      <c r="M34" s="6" t="s">
        <v>153</v>
      </c>
      <c r="N34" s="7" t="str">
        <f>VLOOKUP(A34, avaliacoes!A:G, 5, FALSE)</f>
        <v>Great Cable, Charging Speeds Could Be Better,Good,A good cable.,One of the best type c cable,Works as intended.,A good buy. The extra length helps a lot.,Good,Ok</v>
      </c>
      <c r="O34" s="7" t="str">
        <f>VLOOKUP(A34, avaliacoes!A:G,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row>
    <row r="35">
      <c r="A35" s="1" t="s">
        <v>154</v>
      </c>
      <c r="B35" s="1" t="s">
        <v>155</v>
      </c>
      <c r="C35" s="1" t="s">
        <v>21</v>
      </c>
      <c r="D35" s="1" t="str">
        <f t="shared" si="2"/>
        <v>Computers&amp;Accessories</v>
      </c>
      <c r="E35" s="1" t="str">
        <f t="shared" si="3"/>
        <v>Accessories&amp;Peripherals</v>
      </c>
      <c r="F35" s="2">
        <v>599.0</v>
      </c>
      <c r="G35" s="2">
        <v>599.0</v>
      </c>
      <c r="H35" s="3">
        <f t="shared" si="4"/>
        <v>0</v>
      </c>
      <c r="I35" s="4">
        <f>IFERROR(__xludf.DUMMYFUNCTION("GOOGLEFINANCE(""CURRENCY:INRBRL"")*F35"),35.747315357199994)</f>
        <v>35.74731536</v>
      </c>
      <c r="J35" s="1">
        <v>4.5</v>
      </c>
      <c r="K35" s="1">
        <v>355.0</v>
      </c>
      <c r="L35" s="1" t="s">
        <v>156</v>
      </c>
      <c r="M35" s="6" t="s">
        <v>157</v>
      </c>
      <c r="N35" s="7" t="str">
        <f>VLOOKUP(A35, avaliacoes!A:G, 5, FALSE)</f>
        <v>Good,Genuine product,Not first charge this cabil,,Nice cable but known durability,Got a used type c to c cable and the xable was damaged,The product is Genuine and Good,Abdul kadir,Good</v>
      </c>
      <c r="O35" s="7" t="str">
        <f>VLOOKUP(A35, avaliacoes!A:G, 6, FALSE)</f>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v>
      </c>
    </row>
    <row r="36">
      <c r="A36" s="1" t="s">
        <v>158</v>
      </c>
      <c r="B36" s="1" t="s">
        <v>159</v>
      </c>
      <c r="C36" s="1" t="s">
        <v>21</v>
      </c>
      <c r="D36" s="1" t="str">
        <f t="shared" si="2"/>
        <v>Computers&amp;Accessories</v>
      </c>
      <c r="E36" s="1" t="str">
        <f t="shared" si="3"/>
        <v>Accessories&amp;Peripherals</v>
      </c>
      <c r="F36" s="2">
        <v>199.0</v>
      </c>
      <c r="G36" s="2">
        <v>999.0</v>
      </c>
      <c r="H36" s="3">
        <f t="shared" si="4"/>
        <v>0.8008008008</v>
      </c>
      <c r="I36" s="4">
        <f>IFERROR(__xludf.DUMMYFUNCTION("GOOGLEFINANCE(""CURRENCY:INRBRL"")*F36"),11.8759862372)</f>
        <v>11.87598624</v>
      </c>
      <c r="J36" s="1">
        <v>4.52</v>
      </c>
      <c r="K36" s="1">
        <v>1075.0</v>
      </c>
      <c r="L36" s="1" t="s">
        <v>160</v>
      </c>
      <c r="M36" s="6" t="s">
        <v>161</v>
      </c>
      <c r="N36" s="7" t="str">
        <f>VLOOKUP(A36,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36" s="7" t="str">
        <f>VLOOKUP(A36, avaliacoes!A:G,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row>
    <row r="37">
      <c r="A37" s="1" t="s">
        <v>162</v>
      </c>
      <c r="B37" s="1" t="s">
        <v>163</v>
      </c>
      <c r="C37" s="1" t="s">
        <v>21</v>
      </c>
      <c r="D37" s="1" t="str">
        <f t="shared" si="2"/>
        <v>Computers&amp;Accessories</v>
      </c>
      <c r="E37" s="1" t="str">
        <f t="shared" si="3"/>
        <v>Accessories&amp;Peripherals</v>
      </c>
      <c r="F37" s="2">
        <v>99.0</v>
      </c>
      <c r="G37" s="2">
        <v>999.0</v>
      </c>
      <c r="H37" s="3">
        <f t="shared" si="4"/>
        <v>0.9009009009</v>
      </c>
      <c r="I37" s="4">
        <f>IFERROR(__xludf.DUMMYFUNCTION("GOOGLEFINANCE(""CURRENCY:INRBRL"")*F37"),5.9081539572)</f>
        <v>5.908153957</v>
      </c>
      <c r="J37" s="1">
        <v>4.52</v>
      </c>
      <c r="K37" s="1">
        <v>24871.0</v>
      </c>
      <c r="L37" s="1" t="s">
        <v>164</v>
      </c>
      <c r="M37" s="6" t="s">
        <v>165</v>
      </c>
      <c r="N37" s="7" t="str">
        <f>VLOOKUP(A37, avaliacoes!A:G, 5, FALSE)</f>
        <v>It's pretty good,Average quality,very good and useful usb cable,Good USB cable. My experience was very good it is long lasting,Good,Nice product and useful,-,Sturdy but does not support 33w charging</v>
      </c>
      <c r="O37" s="7" t="str">
        <f>VLOOKUP(A37, avaliacoes!A:G, 6, FALSE)</f>
        <v>It's a good product.,Like,Very good item strong and useful USB cableValue for moneyThanks to amazon and producer,https://m.media-amazon.com/images/W/WEBP_402378-T1/images/I/51112ZRE-1L._SY88.jpg,Good,Nice product and useful product,-,Sturdy but does not support 33w charging</v>
      </c>
    </row>
    <row r="38">
      <c r="A38" s="1" t="s">
        <v>166</v>
      </c>
      <c r="B38" s="1" t="s">
        <v>167</v>
      </c>
      <c r="C38" s="1" t="s">
        <v>21</v>
      </c>
      <c r="D38" s="1" t="str">
        <f t="shared" si="2"/>
        <v>Computers&amp;Accessories</v>
      </c>
      <c r="E38" s="1" t="str">
        <f t="shared" si="3"/>
        <v>Accessories&amp;Peripherals</v>
      </c>
      <c r="F38" s="2">
        <v>899.0</v>
      </c>
      <c r="G38" s="2">
        <v>1900.0</v>
      </c>
      <c r="H38" s="3">
        <f t="shared" si="4"/>
        <v>0.5268421053</v>
      </c>
      <c r="I38" s="4">
        <f>IFERROR(__xludf.DUMMYFUNCTION("GOOGLEFINANCE(""CURRENCY:INRBRL"")*F38"),53.6508121972)</f>
        <v>53.6508122</v>
      </c>
      <c r="J38" s="1">
        <v>4.5</v>
      </c>
      <c r="K38" s="1">
        <v>13552.0</v>
      </c>
      <c r="L38" s="1" t="s">
        <v>168</v>
      </c>
      <c r="M38" s="6" t="s">
        <v>169</v>
      </c>
      <c r="N38" s="7" t="str">
        <f>VLOOKUP(A38, avaliacoes!A:G, 5, FALSE)</f>
        <v>Good,Worth to buy,Great value for price,Good product,Nice product.,Reliable and worth it!,Much more sturdy and durable than Apple cable,Good</v>
      </c>
      <c r="O38" s="7" t="str">
        <f>VLOOKUP(A38,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row>
    <row r="39">
      <c r="A39" s="1" t="s">
        <v>170</v>
      </c>
      <c r="B39" s="1" t="s">
        <v>171</v>
      </c>
      <c r="C39" s="1" t="s">
        <v>21</v>
      </c>
      <c r="D39" s="1" t="str">
        <f t="shared" si="2"/>
        <v>Computers&amp;Accessories</v>
      </c>
      <c r="E39" s="1" t="str">
        <f t="shared" si="3"/>
        <v>Accessories&amp;Peripherals</v>
      </c>
      <c r="F39" s="2">
        <v>199.0</v>
      </c>
      <c r="G39" s="2">
        <v>999.0</v>
      </c>
      <c r="H39" s="3">
        <f t="shared" si="4"/>
        <v>0.8008008008</v>
      </c>
      <c r="I39" s="4">
        <f>IFERROR(__xludf.DUMMYFUNCTION("GOOGLEFINANCE(""CURRENCY:INRBRL"")*F39"),11.8759862372)</f>
        <v>11.87598624</v>
      </c>
      <c r="J39" s="1">
        <v>4.0</v>
      </c>
      <c r="K39" s="1">
        <v>576.0</v>
      </c>
      <c r="L39" s="1" t="s">
        <v>172</v>
      </c>
      <c r="M39" s="6" t="s">
        <v>173</v>
      </c>
      <c r="N39" s="7" t="str">
        <f>VLOOKUP(A39, avaliacoes!A:G, 5, FALSE)</f>
        <v>Worth it!,Good one,Robust and effective.,Good,Good,It's a good product under 199 rupees It's neatly packed and has good quality built,Nice product,Worth the price</v>
      </c>
      <c r="O39" s="7" t="str">
        <f>VLOOKUP(A39, avaliacoes!A:G, 6, FALSE)</f>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v>
      </c>
    </row>
    <row r="40">
      <c r="A40" s="1" t="s">
        <v>174</v>
      </c>
      <c r="B40" s="1" t="s">
        <v>175</v>
      </c>
      <c r="C40" s="1" t="s">
        <v>87</v>
      </c>
      <c r="D40" s="1" t="str">
        <f t="shared" si="2"/>
        <v>Electronics</v>
      </c>
      <c r="E40" s="1" t="str">
        <f t="shared" si="3"/>
        <v>HomeTheater,TV&amp;Video</v>
      </c>
      <c r="F40" s="2">
        <v>32999.0</v>
      </c>
      <c r="G40" s="2">
        <v>45999.0</v>
      </c>
      <c r="H40" s="3">
        <f t="shared" si="4"/>
        <v>0.2826148395</v>
      </c>
      <c r="I40" s="4">
        <f>IFERROR(__xludf.DUMMYFUNCTION("GOOGLEFINANCE(""CURRENCY:INRBRL"")*F40"),1969.3249740771998)</f>
        <v>1969.324974</v>
      </c>
      <c r="J40" s="1">
        <v>4.5</v>
      </c>
      <c r="K40" s="1">
        <v>7298.0</v>
      </c>
      <c r="L40" s="1" t="s">
        <v>176</v>
      </c>
      <c r="M40" s="6" t="s">
        <v>177</v>
      </c>
      <c r="N40" s="7" t="str">
        <f>VLOOKUP(A40, avaliacoes!A:G, 5, FALSE)</f>
        <v>Decent product. Value for money.,Value for money,Improvements Needed,Everything thing good except the installation experience,Overall taking all aspects TV is good within the price point,Tv installation services,One among the good TVs in the market.,Picture</v>
      </c>
      <c r="O40" s="7" t="str">
        <f>VLOOKUP(A40, avaliacoes!A:G, 6, FALSE)</f>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v>
      </c>
    </row>
    <row r="41">
      <c r="A41" s="1" t="s">
        <v>178</v>
      </c>
      <c r="B41" s="1" t="s">
        <v>179</v>
      </c>
      <c r="C41" s="1" t="s">
        <v>21</v>
      </c>
      <c r="D41" s="1" t="str">
        <f t="shared" si="2"/>
        <v>Computers&amp;Accessories</v>
      </c>
      <c r="E41" s="1" t="str">
        <f t="shared" si="3"/>
        <v>Accessories&amp;Peripherals</v>
      </c>
      <c r="F41" s="2">
        <v>970.0</v>
      </c>
      <c r="G41" s="2">
        <v>1999.0</v>
      </c>
      <c r="H41" s="3">
        <f t="shared" si="4"/>
        <v>0.5147573787</v>
      </c>
      <c r="I41" s="4">
        <f>IFERROR(__xludf.DUMMYFUNCTION("GOOGLEFINANCE(""CURRENCY:INRBRL"")*F41"),57.887973116)</f>
        <v>57.88797312</v>
      </c>
      <c r="J41" s="1">
        <v>4.5</v>
      </c>
      <c r="K41" s="1">
        <v>462.0</v>
      </c>
      <c r="L41" s="1" t="s">
        <v>180</v>
      </c>
      <c r="M41" s="6" t="s">
        <v>181</v>
      </c>
      <c r="N41" s="7" t="str">
        <f>VLOOKUP(A41, avaliacoes!A:G, 5, FALSE)</f>
        <v>Product is as expected,Cable has problem with samsung galaxy s8 ultra tablet,Quality and service is good.,It's perfect, definitely what i needed,Worth buying this cable,Just awesome 👌,fast charge, sturdy build quality, absolute value for money product, 2yrs warranty, just go for it,Good</v>
      </c>
      <c r="O41" s="7" t="str">
        <f>VLOOKUP(A41, avaliacoes!A:G, 6, FALSE)</f>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v>
      </c>
    </row>
    <row r="42">
      <c r="A42" s="1" t="s">
        <v>182</v>
      </c>
      <c r="B42" s="1" t="s">
        <v>183</v>
      </c>
      <c r="C42" s="1" t="s">
        <v>21</v>
      </c>
      <c r="D42" s="1" t="str">
        <f t="shared" si="2"/>
        <v>Computers&amp;Accessories</v>
      </c>
      <c r="E42" s="1" t="str">
        <f t="shared" si="3"/>
        <v>Accessories&amp;Peripherals</v>
      </c>
      <c r="F42" s="2">
        <v>209.0</v>
      </c>
      <c r="G42" s="2">
        <v>695.0</v>
      </c>
      <c r="H42" s="3">
        <f t="shared" si="4"/>
        <v>0.6992805755</v>
      </c>
      <c r="I42" s="4">
        <f>IFERROR(__xludf.DUMMYFUNCTION("GOOGLEFINANCE(""CURRENCY:INRBRL"")*F42"),12.472769465199999)</f>
        <v>12.47276947</v>
      </c>
      <c r="J42" s="1">
        <v>4.51</v>
      </c>
      <c r="K42" s="1">
        <v>1070687.0</v>
      </c>
      <c r="L42" s="1" t="s">
        <v>184</v>
      </c>
      <c r="M42" s="6" t="s">
        <v>185</v>
      </c>
      <c r="N42" s="7" t="str">
        <f>VLOOKUP(A42, avaliacoes!A:G, 5, FALSE)</f>
        <v>Functionality as described,Working,Great USB in budget,Good,Good,It just works,Works with my Casio ct-x700 well,Still working after 3 months</v>
      </c>
      <c r="O42" s="7" t="str">
        <f>VLOOKUP(A42, avaliacoes!A:G, 6, FALSE)</f>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v>
      </c>
    </row>
    <row r="43">
      <c r="A43" s="1" t="s">
        <v>186</v>
      </c>
      <c r="B43" s="1" t="s">
        <v>187</v>
      </c>
      <c r="C43" s="1" t="s">
        <v>87</v>
      </c>
      <c r="D43" s="1" t="str">
        <f t="shared" si="2"/>
        <v>Electronics</v>
      </c>
      <c r="E43" s="1" t="str">
        <f t="shared" si="3"/>
        <v>HomeTheater,TV&amp;Video</v>
      </c>
      <c r="F43" s="2">
        <v>19999.0</v>
      </c>
      <c r="G43" s="2">
        <v>34999.0</v>
      </c>
      <c r="H43" s="3">
        <f t="shared" si="4"/>
        <v>0.4285836738</v>
      </c>
      <c r="I43" s="4">
        <f>IFERROR(__xludf.DUMMYFUNCTION("GOOGLEFINANCE(""CURRENCY:INRBRL"")*F43"),1193.5067776771998)</f>
        <v>1193.506778</v>
      </c>
      <c r="J43" s="1">
        <v>4.5</v>
      </c>
      <c r="K43" s="1">
        <v>27151.0</v>
      </c>
      <c r="L43" s="1" t="s">
        <v>188</v>
      </c>
      <c r="M43" s="6" t="s">
        <v>189</v>
      </c>
      <c r="N43" s="7" t="str">
        <f>VLOOKUP(A43, avaliacoes!A:G, 5, FALSE)</f>
        <v>DETAILED REVIEW after 3 WEEKS of Usage !!!,Priceworthy.,It's a good product,Good,Vivid picture quality is stunning,SUPER DEAL,Value for money,Very nice</v>
      </c>
      <c r="O43" s="7" t="str">
        <f>VLOOKUP(A43, avaliacoes!A:G, 6, FALSE)</f>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v>
      </c>
    </row>
    <row r="44">
      <c r="A44" s="1" t="s">
        <v>190</v>
      </c>
      <c r="B44" s="1" t="s">
        <v>191</v>
      </c>
      <c r="C44" s="1" t="s">
        <v>21</v>
      </c>
      <c r="D44" s="1" t="str">
        <f t="shared" si="2"/>
        <v>Computers&amp;Accessories</v>
      </c>
      <c r="E44" s="1" t="str">
        <f t="shared" si="3"/>
        <v>Accessories&amp;Peripherals</v>
      </c>
      <c r="F44" s="2">
        <v>399.0</v>
      </c>
      <c r="G44" s="2">
        <v>1099.0</v>
      </c>
      <c r="H44" s="3">
        <f t="shared" si="4"/>
        <v>0.6369426752</v>
      </c>
      <c r="I44" s="4">
        <f>IFERROR(__xludf.DUMMYFUNCTION("GOOGLEFINANCE(""CURRENCY:INRBRL"")*F44"),23.8116507972)</f>
        <v>23.8116508</v>
      </c>
      <c r="J44" s="1">
        <v>4.5</v>
      </c>
      <c r="K44" s="1">
        <v>24269.0</v>
      </c>
      <c r="L44" s="1" t="s">
        <v>192</v>
      </c>
      <c r="M44" s="6" t="s">
        <v>193</v>
      </c>
      <c r="N44" s="7" t="str">
        <f>VLOOKUP(A44, avaliacoes!A:G, 5, FALSE)</f>
        <v>Satisfied,Charging is really fast,Value for money,Product review,Good quality,Good product,Good Product,As of now seems good</v>
      </c>
      <c r="O44" s="7" t="str">
        <f>VLOOKUP(A44,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row>
    <row r="45">
      <c r="A45" s="1" t="s">
        <v>194</v>
      </c>
      <c r="B45" s="1" t="s">
        <v>195</v>
      </c>
      <c r="C45" s="1" t="s">
        <v>54</v>
      </c>
      <c r="D45" s="1" t="str">
        <f t="shared" si="2"/>
        <v>Computers&amp;Accessories</v>
      </c>
      <c r="E45" s="1" t="str">
        <f t="shared" si="3"/>
        <v>NetworkingDevices</v>
      </c>
      <c r="F45" s="2">
        <v>999.0</v>
      </c>
      <c r="G45" s="2">
        <v>1599.0</v>
      </c>
      <c r="H45" s="3">
        <f t="shared" si="4"/>
        <v>0.3752345216</v>
      </c>
      <c r="I45" s="4">
        <f>IFERROR(__xludf.DUMMYFUNCTION("GOOGLEFINANCE(""CURRENCY:INRBRL"")*F45"),59.61864447719999)</f>
        <v>59.61864448</v>
      </c>
      <c r="J45" s="1">
        <v>4.5</v>
      </c>
      <c r="K45" s="1">
        <v>12093.0</v>
      </c>
      <c r="L45" s="1" t="s">
        <v>196</v>
      </c>
      <c r="M45" s="6" t="s">
        <v>197</v>
      </c>
      <c r="N45" s="7" t="str">
        <f>VLOOKUP(A45, avaliacoes!A:G, 5, FALSE)</f>
        <v>Dual Bandwidth,It's good,Simple and effective,Easy plug and play,Only 200mbps support,Great Device for Old Laptops,Good device but be careful for a defective one.,Excellent Speeds and Coverage!</v>
      </c>
      <c r="O45" s="7" t="str">
        <f>VLOOKUP(A45, avaliacoes!A:G, 6, FALSE)</f>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v>
      </c>
    </row>
    <row r="46">
      <c r="A46" s="1" t="s">
        <v>198</v>
      </c>
      <c r="B46" s="1" t="s">
        <v>199</v>
      </c>
      <c r="C46" s="1" t="s">
        <v>21</v>
      </c>
      <c r="D46" s="1" t="str">
        <f t="shared" si="2"/>
        <v>Computers&amp;Accessories</v>
      </c>
      <c r="E46" s="1" t="str">
        <f t="shared" si="3"/>
        <v>Accessories&amp;Peripherals</v>
      </c>
      <c r="F46" s="2">
        <v>59.0</v>
      </c>
      <c r="G46" s="2">
        <v>199.0</v>
      </c>
      <c r="H46" s="3">
        <f t="shared" si="4"/>
        <v>0.7035175879</v>
      </c>
      <c r="I46" s="4">
        <f>IFERROR(__xludf.DUMMYFUNCTION("GOOGLEFINANCE(""CURRENCY:INRBRL"")*F46"),3.5210210452)</f>
        <v>3.521021045</v>
      </c>
      <c r="J46" s="1">
        <v>4.0</v>
      </c>
      <c r="K46" s="1">
        <v>9378.0</v>
      </c>
      <c r="L46" s="1" t="s">
        <v>200</v>
      </c>
      <c r="M46" s="6" t="s">
        <v>201</v>
      </c>
      <c r="N46" s="7" t="str">
        <f>VLOOKUP(A46, avaliacoes!A:G, 5, FALSE)</f>
        <v>Worked on iPhone 7 and didn’t work on XR,Good one,Dull Physical Looks,Just Buy it,Go for it,About the product,Get charging cable at the price,Working well.</v>
      </c>
      <c r="O46" s="7" t="str">
        <f>VLOOKUP(A46,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47">
      <c r="A47" s="1" t="s">
        <v>202</v>
      </c>
      <c r="B47" s="1" t="s">
        <v>203</v>
      </c>
      <c r="C47" s="1" t="s">
        <v>21</v>
      </c>
      <c r="D47" s="1" t="str">
        <f t="shared" si="2"/>
        <v>Computers&amp;Accessories</v>
      </c>
      <c r="E47" s="1" t="str">
        <f t="shared" si="3"/>
        <v>Accessories&amp;Peripherals</v>
      </c>
      <c r="F47" s="2">
        <v>333.0</v>
      </c>
      <c r="G47" s="2">
        <v>999.0</v>
      </c>
      <c r="H47" s="3">
        <f t="shared" si="4"/>
        <v>0.6666666667</v>
      </c>
      <c r="I47" s="4">
        <f>IFERROR(__xludf.DUMMYFUNCTION("GOOGLEFINANCE(""CURRENCY:INRBRL"")*F47"),19.872881492399998)</f>
        <v>19.87288149</v>
      </c>
      <c r="J47" s="1">
        <v>4.5</v>
      </c>
      <c r="K47" s="1">
        <v>9792.0</v>
      </c>
      <c r="L47" s="1" t="s">
        <v>204</v>
      </c>
      <c r="M47" s="6" t="s">
        <v>205</v>
      </c>
      <c r="N47" s="7" t="str">
        <f>VLOOKUP(A47, avaliacoes!A:G, 5, FALSE)</f>
        <v>Its slow in charging,Ok product,Looks good, but charges slow,very slow charing.,Poor quality, iPhone part will last for two months only, other two are ok,Charger,Product ok,Slow charging</v>
      </c>
      <c r="O47" s="7" t="str">
        <f>VLOOKUP(A47, avaliacoes!A:G, 6, FALSE)</f>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v>
      </c>
    </row>
    <row r="48">
      <c r="A48" s="1" t="s">
        <v>206</v>
      </c>
      <c r="B48" s="1" t="s">
        <v>207</v>
      </c>
      <c r="C48" s="1" t="s">
        <v>54</v>
      </c>
      <c r="D48" s="1" t="str">
        <f t="shared" si="2"/>
        <v>Computers&amp;Accessories</v>
      </c>
      <c r="E48" s="1" t="str">
        <f t="shared" si="3"/>
        <v>NetworkingDevices</v>
      </c>
      <c r="F48" s="2">
        <v>507.0</v>
      </c>
      <c r="G48" s="2">
        <v>1208.0</v>
      </c>
      <c r="H48" s="3">
        <f t="shared" si="4"/>
        <v>0.5802980132</v>
      </c>
      <c r="I48" s="4">
        <f>IFERROR(__xludf.DUMMYFUNCTION("GOOGLEFINANCE(""CURRENCY:INRBRL"")*F48"),30.256909659599998)</f>
        <v>30.25690966</v>
      </c>
      <c r="J48" s="1">
        <v>4.49</v>
      </c>
      <c r="K48" s="1">
        <v>8131.0</v>
      </c>
      <c r="L48" s="1" t="s">
        <v>208</v>
      </c>
      <c r="M48" s="6" t="s">
        <v>209</v>
      </c>
      <c r="N48" s="7" t="str">
        <f>VLOOKUP(A48, avaliacoes!A:G, 5, FALSE)</f>
        <v>good tool to use for,Brand is always good,Overall good and a better experience,It is useful to me.,Works well with cpplus dvr,Good,Its not plug an play u need to install the driver and will support till 2.4 Ghz not above that,Surveillance Camera In My House</v>
      </c>
      <c r="O48" s="7" t="str">
        <f>VLOOKUP(A48, avaliacoes!A:G, 6, FALSE)</f>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v>
      </c>
    </row>
    <row r="49">
      <c r="A49" s="1" t="s">
        <v>210</v>
      </c>
      <c r="B49" s="1" t="s">
        <v>211</v>
      </c>
      <c r="C49" s="1" t="s">
        <v>71</v>
      </c>
      <c r="D49" s="1" t="str">
        <f t="shared" si="2"/>
        <v>Electronics</v>
      </c>
      <c r="E49" s="1" t="str">
        <f t="shared" si="3"/>
        <v>HomeTheater,TV&amp;Video</v>
      </c>
      <c r="F49" s="2">
        <v>309.0</v>
      </c>
      <c r="G49" s="2">
        <v>475.0</v>
      </c>
      <c r="H49" s="3">
        <f t="shared" si="4"/>
        <v>0.3494736842</v>
      </c>
      <c r="I49" s="4">
        <f>IFERROR(__xludf.DUMMYFUNCTION("GOOGLEFINANCE(""CURRENCY:INRBRL"")*F49"),18.4406017452)</f>
        <v>18.44060175</v>
      </c>
      <c r="J49" s="1">
        <v>4.5</v>
      </c>
      <c r="K49" s="1">
        <v>426973.0</v>
      </c>
      <c r="L49" s="1" t="s">
        <v>212</v>
      </c>
      <c r="M49" s="6" t="s">
        <v>213</v>
      </c>
      <c r="N49" s="7" t="str">
        <f>VLOOKUP(A49, avaliacoes!A:G, 5, FALSE)</f>
        <v>It's quite good and value for money,Works well,Hdmi cable,Value for money,All good,Gets the job done,Delivery was good,This one was my need to purchase</v>
      </c>
      <c r="O49" s="7" t="str">
        <f>VLOOKUP(A49, avaliacoes!A:G,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row>
    <row r="50">
      <c r="A50" s="1" t="s">
        <v>214</v>
      </c>
      <c r="B50" s="1" t="s">
        <v>215</v>
      </c>
      <c r="C50" s="1" t="s">
        <v>216</v>
      </c>
      <c r="D50" s="1" t="str">
        <f t="shared" si="2"/>
        <v>Electronics</v>
      </c>
      <c r="E50" s="1" t="str">
        <f t="shared" si="3"/>
        <v>HomeTheater,TV&amp;Video</v>
      </c>
      <c r="F50" s="2">
        <v>399.0</v>
      </c>
      <c r="G50" s="2">
        <v>999.0</v>
      </c>
      <c r="H50" s="3">
        <f t="shared" si="4"/>
        <v>0.6006006006</v>
      </c>
      <c r="I50" s="4">
        <f>IFERROR(__xludf.DUMMYFUNCTION("GOOGLEFINANCE(""CURRENCY:INRBRL"")*F50"),23.8116507972)</f>
        <v>23.8116508</v>
      </c>
      <c r="J50" s="1">
        <v>4.51</v>
      </c>
      <c r="K50" s="1">
        <v>493.0</v>
      </c>
      <c r="L50" s="1" t="s">
        <v>217</v>
      </c>
      <c r="M50" s="6" t="s">
        <v>218</v>
      </c>
      <c r="N50" s="7" t="str">
        <f>VLOOKUP(A50, avaliacoes!A:G, 5, FALSE)</f>
        <v>Overall Good,Works well. Will comment on durability after using it for a few months.,Nice product,Channel button doesn't work,Compatible with every smart tv,functionality at a budget,Number keys not working,It's good to go ahead with this, for Samsung 6 series</v>
      </c>
      <c r="O50" s="7" t="str">
        <f>VLOOKUP(A50, avaliacoes!A:G, 6, FALSE)</f>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v>
      </c>
    </row>
    <row r="51">
      <c r="A51" s="1" t="s">
        <v>219</v>
      </c>
      <c r="B51" s="1" t="s">
        <v>220</v>
      </c>
      <c r="C51" s="1" t="s">
        <v>21</v>
      </c>
      <c r="D51" s="1" t="str">
        <f t="shared" si="2"/>
        <v>Computers&amp;Accessories</v>
      </c>
      <c r="E51" s="1" t="str">
        <f t="shared" si="3"/>
        <v>Accessories&amp;Peripherals</v>
      </c>
      <c r="F51" s="2">
        <v>199.0</v>
      </c>
      <c r="G51" s="2">
        <v>395.0</v>
      </c>
      <c r="H51" s="3">
        <f t="shared" si="4"/>
        <v>0.4962025316</v>
      </c>
      <c r="I51" s="4">
        <f>IFERROR(__xludf.DUMMYFUNCTION("GOOGLEFINANCE(""CURRENCY:INRBRL"")*F51"),11.8759862372)</f>
        <v>11.87598624</v>
      </c>
      <c r="J51" s="1">
        <v>4.5</v>
      </c>
      <c r="K51" s="1">
        <v>92595.0</v>
      </c>
      <c r="L51" s="1" t="s">
        <v>221</v>
      </c>
      <c r="M51" s="6" t="s">
        <v>222</v>
      </c>
      <c r="N51" s="7" t="str">
        <f>VLOOKUP(A51, avaliacoes!A:G,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51" s="7" t="str">
        <f>VLOOKUP(A51, avaliacoes!A:G,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row>
    <row r="52">
      <c r="A52" s="1" t="s">
        <v>223</v>
      </c>
      <c r="B52" s="1" t="s">
        <v>224</v>
      </c>
      <c r="C52" s="1" t="s">
        <v>54</v>
      </c>
      <c r="D52" s="1" t="str">
        <f t="shared" si="2"/>
        <v>Computers&amp;Accessories</v>
      </c>
      <c r="E52" s="1" t="str">
        <f t="shared" si="3"/>
        <v>NetworkingDevices</v>
      </c>
      <c r="F52" s="2">
        <v>1199.0</v>
      </c>
      <c r="G52" s="2">
        <v>2199.0</v>
      </c>
      <c r="H52" s="3">
        <f t="shared" si="4"/>
        <v>0.4547521601</v>
      </c>
      <c r="I52" s="4">
        <f>IFERROR(__xludf.DUMMYFUNCTION("GOOGLEFINANCE(""CURRENCY:INRBRL"")*F52"),71.5543090372)</f>
        <v>71.55430904</v>
      </c>
      <c r="J52" s="1">
        <v>4.5</v>
      </c>
      <c r="K52" s="1">
        <v>2478.0</v>
      </c>
      <c r="L52" s="1" t="s">
        <v>225</v>
      </c>
      <c r="M52" s="6" t="s">
        <v>226</v>
      </c>
      <c r="N52" s="7" t="str">
        <f>VLOOKUP(A52, avaliacoes!A:G, 5, FALSE)</f>
        <v>Works flawlessly on Ubuntu 22.04 (if installed correctly),Best for kali. Do not read another review.,Nice product,From 0 to 70 …,Good External Wifi Signal Provider,Superb,Awesome and easy to use,Good product</v>
      </c>
      <c r="O52" s="7" t="str">
        <f>VLOOKUP(A52, avaliacoes!A:G,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row>
    <row r="53">
      <c r="A53" s="1" t="s">
        <v>227</v>
      </c>
      <c r="B53" s="1" t="s">
        <v>228</v>
      </c>
      <c r="C53" s="1" t="s">
        <v>21</v>
      </c>
      <c r="D53" s="1" t="str">
        <f t="shared" si="2"/>
        <v>Computers&amp;Accessories</v>
      </c>
      <c r="E53" s="1" t="str">
        <f t="shared" si="3"/>
        <v>Accessories&amp;Peripherals</v>
      </c>
      <c r="F53" s="2">
        <v>179.0</v>
      </c>
      <c r="G53" s="2">
        <v>500.0</v>
      </c>
      <c r="H53" s="3">
        <f t="shared" si="4"/>
        <v>0.642</v>
      </c>
      <c r="I53" s="4">
        <f>IFERROR(__xludf.DUMMYFUNCTION("GOOGLEFINANCE(""CURRENCY:INRBRL"")*F53"),10.682419781199998)</f>
        <v>10.68241978</v>
      </c>
      <c r="J53" s="1">
        <v>4.5</v>
      </c>
      <c r="K53" s="1">
        <v>92595.0</v>
      </c>
      <c r="L53" s="1" t="s">
        <v>229</v>
      </c>
      <c r="M53" s="6" t="s">
        <v>230</v>
      </c>
      <c r="N53" s="7" t="str">
        <f>VLOOKUP(A53, avaliacoes!A:G,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53" s="7" t="str">
        <f>VLOOKUP(A53, avaliacoes!A:G,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row>
    <row r="54">
      <c r="A54" s="1" t="s">
        <v>231</v>
      </c>
      <c r="B54" s="1" t="s">
        <v>232</v>
      </c>
      <c r="C54" s="1" t="s">
        <v>21</v>
      </c>
      <c r="D54" s="1" t="str">
        <f t="shared" si="2"/>
        <v>Computers&amp;Accessories</v>
      </c>
      <c r="E54" s="1" t="str">
        <f t="shared" si="3"/>
        <v>Accessories&amp;Peripherals</v>
      </c>
      <c r="F54" s="2">
        <v>799.0</v>
      </c>
      <c r="G54" s="2">
        <v>2100.0</v>
      </c>
      <c r="H54" s="3">
        <f t="shared" si="4"/>
        <v>0.6195238095</v>
      </c>
      <c r="I54" s="4">
        <f>IFERROR(__xludf.DUMMYFUNCTION("GOOGLEFINANCE(""CURRENCY:INRBRL"")*F54"),47.682979917199994)</f>
        <v>47.68297992</v>
      </c>
      <c r="J54" s="1">
        <v>4.5</v>
      </c>
      <c r="K54" s="1">
        <v>8188.0</v>
      </c>
      <c r="L54" s="1" t="s">
        <v>233</v>
      </c>
      <c r="M54" s="6" t="s">
        <v>234</v>
      </c>
      <c r="N54" s="7" t="str">
        <f>VLOOKUP(A54, avaliacoes!A:G, 5, FALSE)</f>
        <v>Good product but costly,It’s really long n sturdy no homo 🔥,Takes longer to charge than the regular cable,Quality is really good,iPhone X pink charging cable long one ☝️,A good purchase,It charges fine for me,Absolutely fantastic USB👍👍👍</v>
      </c>
      <c r="O54" s="7" t="str">
        <f>VLOOKUP(A54, avaliacoes!A:G,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row>
    <row r="55">
      <c r="A55" s="1" t="s">
        <v>235</v>
      </c>
      <c r="B55" s="1" t="s">
        <v>236</v>
      </c>
      <c r="C55" s="1" t="s">
        <v>237</v>
      </c>
      <c r="D55" s="1" t="str">
        <f t="shared" si="2"/>
        <v>Electronics</v>
      </c>
      <c r="E55" s="1" t="str">
        <f t="shared" si="3"/>
        <v>HomeTheater,TV&amp;Video</v>
      </c>
      <c r="F55" s="2">
        <v>6999.0</v>
      </c>
      <c r="G55" s="2">
        <v>12999.0</v>
      </c>
      <c r="H55" s="3">
        <f t="shared" si="4"/>
        <v>0.4615739672</v>
      </c>
      <c r="I55" s="4">
        <f>IFERROR(__xludf.DUMMYFUNCTION("GOOGLEFINANCE(""CURRENCY:INRBRL"")*F55"),417.68858127719994)</f>
        <v>417.6885813</v>
      </c>
      <c r="J55" s="1">
        <v>4.5</v>
      </c>
      <c r="K55" s="1">
        <v>4003.0</v>
      </c>
      <c r="L55" s="1" t="s">
        <v>238</v>
      </c>
      <c r="M55" s="6" t="s">
        <v>239</v>
      </c>
      <c r="N55" s="7" t="str">
        <f>VLOOKUP(A55, avaliacoes!A:G, 5, FALSE)</f>
        <v>Firestick plugging in issue, otherwise a good deal,Cheap &amp; Best Product,Low budget led tv,Nice tv,Very. Good,Why is the installation guy asking for installation charge?,Good Budget Tv,Good TV but after using it for 9 days, has found a flaw</v>
      </c>
      <c r="O55" s="7" t="str">
        <f>VLOOKUP(A55, avaliacoes!A:G, 6, FALSE)</f>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v>
      </c>
    </row>
    <row r="56">
      <c r="A56" s="1" t="s">
        <v>240</v>
      </c>
      <c r="B56" s="1" t="s">
        <v>241</v>
      </c>
      <c r="C56" s="1" t="s">
        <v>21</v>
      </c>
      <c r="D56" s="1" t="str">
        <f t="shared" si="2"/>
        <v>Computers&amp;Accessories</v>
      </c>
      <c r="E56" s="1" t="str">
        <f t="shared" si="3"/>
        <v>Accessories&amp;Peripherals</v>
      </c>
      <c r="F56" s="2">
        <v>199.0</v>
      </c>
      <c r="G56" s="2">
        <v>349.0</v>
      </c>
      <c r="H56" s="3">
        <f t="shared" si="4"/>
        <v>0.4297994269</v>
      </c>
      <c r="I56" s="4">
        <f>IFERROR(__xludf.DUMMYFUNCTION("GOOGLEFINANCE(""CURRENCY:INRBRL"")*F56"),11.8759862372)</f>
        <v>11.87598624</v>
      </c>
      <c r="J56" s="1">
        <v>4.49</v>
      </c>
      <c r="K56" s="1">
        <v>314.0</v>
      </c>
      <c r="L56" s="1" t="s">
        <v>242</v>
      </c>
      <c r="M56" s="6" t="s">
        <v>243</v>
      </c>
      <c r="N56" s="7" t="str">
        <f>VLOOKUP(A56, avaliacoes!A:G, 5, FALSE)</f>
        <v>Good product,Strong and powerful,Useful product.,Very nice 👌 👍 product,Good 👍🏻,Good,USB,Strong buid , study design , charging speed ☹️</v>
      </c>
      <c r="O56" s="7" t="str">
        <f>VLOOKUP(A56, avaliacoes!A:G, 6, FALSE)</f>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v>
      </c>
    </row>
    <row r="57">
      <c r="A57" s="1" t="s">
        <v>244</v>
      </c>
      <c r="B57" s="1" t="s">
        <v>245</v>
      </c>
      <c r="C57" s="1" t="s">
        <v>216</v>
      </c>
      <c r="D57" s="1" t="str">
        <f t="shared" si="2"/>
        <v>Electronics</v>
      </c>
      <c r="E57" s="1" t="str">
        <f t="shared" si="3"/>
        <v>HomeTheater,TV&amp;Video</v>
      </c>
      <c r="F57" s="2">
        <v>230.0</v>
      </c>
      <c r="G57" s="2">
        <v>499.0</v>
      </c>
      <c r="H57" s="3">
        <f t="shared" si="4"/>
        <v>0.5390781563</v>
      </c>
      <c r="I57" s="4">
        <f>IFERROR(__xludf.DUMMYFUNCTION("GOOGLEFINANCE(""CURRENCY:INRBRL"")*F57"),13.726014243999998)</f>
        <v>13.72601424</v>
      </c>
      <c r="J57" s="1">
        <v>4.51</v>
      </c>
      <c r="K57" s="1">
        <v>296.0</v>
      </c>
      <c r="L57" s="1" t="s">
        <v>246</v>
      </c>
      <c r="M57" s="6" t="s">
        <v>247</v>
      </c>
      <c r="N57" s="7" t="str">
        <f>VLOOKUP(A57, avaliacoes!A:G, 5, FALSE)</f>
        <v>The button contacts are not very good.,Okay for temporary use,Seller: Smart Place Store; Remote Not original,It's below average,Ok,Tata sky remote,Tatasky remote.,Working one, but parts are flimsy.</v>
      </c>
      <c r="O57" s="7" t="str">
        <f>VLOOKUP(A57, avaliacoes!A:G, 6, FALSE)</f>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v>
      </c>
    </row>
    <row r="58">
      <c r="A58" s="1" t="s">
        <v>248</v>
      </c>
      <c r="B58" s="1" t="s">
        <v>249</v>
      </c>
      <c r="C58" s="1" t="s">
        <v>54</v>
      </c>
      <c r="D58" s="1" t="str">
        <f t="shared" si="2"/>
        <v>Computers&amp;Accessories</v>
      </c>
      <c r="E58" s="1" t="str">
        <f t="shared" si="3"/>
        <v>NetworkingDevices</v>
      </c>
      <c r="F58" s="2">
        <v>649.0</v>
      </c>
      <c r="G58" s="2">
        <v>1399.0</v>
      </c>
      <c r="H58" s="3">
        <f t="shared" si="4"/>
        <v>0.5360972123</v>
      </c>
      <c r="I58" s="4">
        <f>IFERROR(__xludf.DUMMYFUNCTION("GOOGLEFINANCE(""CURRENCY:INRBRL"")*F58"),38.7312314972)</f>
        <v>38.7312315</v>
      </c>
      <c r="J58" s="1">
        <v>4.5</v>
      </c>
      <c r="K58" s="1">
        <v>179691.0</v>
      </c>
      <c r="L58" s="1" t="s">
        <v>250</v>
      </c>
      <c r="M58" s="6" t="s">
        <v>251</v>
      </c>
      <c r="N58" s="7" t="str">
        <f>VLOOKUP(A58, avaliacoes!A:G,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58" s="7" t="str">
        <f>VLOOKUP(A58, avaliacoes!A:G,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row>
    <row r="59">
      <c r="A59" s="1" t="s">
        <v>252</v>
      </c>
      <c r="B59" s="1" t="s">
        <v>253</v>
      </c>
      <c r="C59" s="1" t="s">
        <v>87</v>
      </c>
      <c r="D59" s="1" t="str">
        <f t="shared" si="2"/>
        <v>Electronics</v>
      </c>
      <c r="E59" s="1" t="str">
        <f t="shared" si="3"/>
        <v>HomeTheater,TV&amp;Video</v>
      </c>
      <c r="F59" s="2">
        <v>15999.0</v>
      </c>
      <c r="G59" s="2">
        <v>21999.0</v>
      </c>
      <c r="H59" s="3">
        <f t="shared" si="4"/>
        <v>0.27273967</v>
      </c>
      <c r="I59" s="4">
        <f>IFERROR(__xludf.DUMMYFUNCTION("GOOGLEFINANCE(""CURRENCY:INRBRL"")*F59"),954.7934864772)</f>
        <v>954.7934865</v>
      </c>
      <c r="J59" s="1">
        <v>4.5</v>
      </c>
      <c r="K59" s="1">
        <v>34899.0</v>
      </c>
      <c r="L59" s="1" t="s">
        <v>254</v>
      </c>
      <c r="M59" s="6" t="s">
        <v>255</v>
      </c>
      <c r="N59" s="7" t="str">
        <f>VLOOKUP(A59, avaliacoes!A:G, 5, FALSE)</f>
        <v>Worthy and most affordable - Great TV,Good product,It's really worth the money but,Better product in this budget,Product review,nice tv,Best product,Budget friendly TV</v>
      </c>
      <c r="O59" s="7" t="str">
        <f>VLOOKUP(A59, avaliacoes!A:G,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row>
    <row r="60">
      <c r="A60" s="1" t="s">
        <v>256</v>
      </c>
      <c r="B60" s="1" t="s">
        <v>257</v>
      </c>
      <c r="C60" s="1" t="s">
        <v>21</v>
      </c>
      <c r="D60" s="1" t="str">
        <f t="shared" si="2"/>
        <v>Computers&amp;Accessories</v>
      </c>
      <c r="E60" s="1" t="str">
        <f t="shared" si="3"/>
        <v>Accessories&amp;Peripherals</v>
      </c>
      <c r="F60" s="2">
        <v>348.0</v>
      </c>
      <c r="G60" s="2">
        <v>1499.0</v>
      </c>
      <c r="H60" s="3">
        <f t="shared" si="4"/>
        <v>0.7678452302</v>
      </c>
      <c r="I60" s="4">
        <f>IFERROR(__xludf.DUMMYFUNCTION("GOOGLEFINANCE(""CURRENCY:INRBRL"")*F60"),20.768056334399997)</f>
        <v>20.76805633</v>
      </c>
      <c r="J60" s="1">
        <v>4.5</v>
      </c>
      <c r="K60" s="1">
        <v>656.0</v>
      </c>
      <c r="L60" s="1" t="s">
        <v>258</v>
      </c>
      <c r="M60" s="6" t="s">
        <v>259</v>
      </c>
      <c r="N60" s="7" t="str">
        <f>VLOOKUP(A60, avaliacoes!A:G, 5, FALSE)</f>
        <v>Nice,Awesome,Quick not charger🤏,Expensive at this price,Multiple mobile can’t be charged at a time,THIS IS FAST CHARGING ON BOTH MY SAMSUNG PHONES AND IPHONE TOO. Go for it !!,Excellent quality!,CHARGING CABLE</v>
      </c>
      <c r="O60" s="7" t="str">
        <f>VLOOKUP(A60, avaliacoes!A:G, 6, FALSE)</f>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v>
      </c>
    </row>
    <row r="61">
      <c r="A61" s="1" t="s">
        <v>260</v>
      </c>
      <c r="B61" s="1" t="s">
        <v>261</v>
      </c>
      <c r="C61" s="1" t="s">
        <v>21</v>
      </c>
      <c r="D61" s="1" t="str">
        <f t="shared" si="2"/>
        <v>Computers&amp;Accessories</v>
      </c>
      <c r="E61" s="1" t="str">
        <f t="shared" si="3"/>
        <v>Accessories&amp;Peripherals</v>
      </c>
      <c r="F61" s="2">
        <v>154.0</v>
      </c>
      <c r="G61" s="2">
        <v>349.0</v>
      </c>
      <c r="H61" s="3">
        <f t="shared" si="4"/>
        <v>0.558739255</v>
      </c>
      <c r="I61" s="4">
        <f>IFERROR(__xludf.DUMMYFUNCTION("GOOGLEFINANCE(""CURRENCY:INRBRL"")*F61"),9.1904617112)</f>
        <v>9.190461711</v>
      </c>
      <c r="J61" s="1">
        <v>4.5</v>
      </c>
      <c r="K61" s="1">
        <v>7064.0</v>
      </c>
      <c r="L61" s="1" t="s">
        <v>262</v>
      </c>
      <c r="M61" s="6" t="s">
        <v>263</v>
      </c>
      <c r="N61" s="7" t="str">
        <f>VLOOKUP(A61, avaliacoes!A:G, 5, FALSE)</f>
        <v>It's working,It's gud 😳,Cable quality is good.,Durable and Works Well,Good data cable same as shown in pic,Portronics knonnect L 1.2 mtr Micro USB cable,Ok,Great quality</v>
      </c>
      <c r="O61" s="7" t="str">
        <f>VLOOKUP(A61, avaliacoes!A:G, 6, FALSE)</f>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v>
      </c>
    </row>
    <row r="62">
      <c r="A62" s="1" t="s">
        <v>264</v>
      </c>
      <c r="B62" s="1" t="s">
        <v>265</v>
      </c>
      <c r="C62" s="1" t="s">
        <v>216</v>
      </c>
      <c r="D62" s="1" t="str">
        <f t="shared" si="2"/>
        <v>Electronics</v>
      </c>
      <c r="E62" s="1" t="str">
        <f t="shared" si="3"/>
        <v>HomeTheater,TV&amp;Video</v>
      </c>
      <c r="F62" s="2">
        <v>179.0</v>
      </c>
      <c r="G62" s="2">
        <v>799.0</v>
      </c>
      <c r="H62" s="3">
        <f t="shared" si="4"/>
        <v>0.7759699625</v>
      </c>
      <c r="I62" s="4">
        <f>IFERROR(__xludf.DUMMYFUNCTION("GOOGLEFINANCE(""CURRENCY:INRBRL"")*F62"),10.682419781199998)</f>
        <v>10.68241978</v>
      </c>
      <c r="J62" s="1">
        <v>4.51</v>
      </c>
      <c r="K62" s="1">
        <v>2201.0</v>
      </c>
      <c r="L62" s="1" t="s">
        <v>266</v>
      </c>
      <c r="M62" s="6" t="s">
        <v>267</v>
      </c>
      <c r="N62" s="7" t="str">
        <f>VLOOKUP(A62, avaliacoes!A:G, 5, FALSE)</f>
        <v>Simple and good,Satisfied!,Good one,Light weight, good working,ok,Poor quality! Stopped working after a month!,Not able to connect,Works well with Airtel DTH</v>
      </c>
      <c r="O62" s="7" t="str">
        <f>VLOOKUP(A62, avaliacoes!A:G, 6, FALSE)</f>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v>
      </c>
    </row>
    <row r="63">
      <c r="A63" s="1" t="s">
        <v>268</v>
      </c>
      <c r="B63" s="1" t="s">
        <v>269</v>
      </c>
      <c r="C63" s="1" t="s">
        <v>87</v>
      </c>
      <c r="D63" s="1" t="str">
        <f t="shared" si="2"/>
        <v>Electronics</v>
      </c>
      <c r="E63" s="1" t="str">
        <f t="shared" si="3"/>
        <v>HomeTheater,TV&amp;Video</v>
      </c>
      <c r="F63" s="2">
        <v>32990.0</v>
      </c>
      <c r="G63" s="2">
        <v>47900.0</v>
      </c>
      <c r="H63" s="3">
        <f t="shared" si="4"/>
        <v>0.3112734864</v>
      </c>
      <c r="I63" s="4">
        <f>IFERROR(__xludf.DUMMYFUNCTION("GOOGLEFINANCE(""CURRENCY:INRBRL"")*F63"),1968.7878691719998)</f>
        <v>1968.787869</v>
      </c>
      <c r="J63" s="1">
        <v>4.5</v>
      </c>
      <c r="K63" s="1">
        <v>7109.0</v>
      </c>
      <c r="L63" s="1" t="s">
        <v>270</v>
      </c>
      <c r="M63" s="6" t="s">
        <v>271</v>
      </c>
      <c r="N63" s="7" t="str">
        <f>VLOOKUP(A63, avaliacoes!A:G, 5, FALSE)</f>
        <v>Best(Branded) Budget TV,A high-quality 4k Smart TV from Samsung,Received Defective,Got Replacement,Nice product but,Tv is good,Best budget tv,Value for money. Samsung is always good,Value for money product</v>
      </c>
      <c r="O63" s="7" t="str">
        <f>VLOOKUP(A63, avaliacoes!A:G,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row>
    <row r="64">
      <c r="A64" s="1" t="s">
        <v>272</v>
      </c>
      <c r="B64" s="1" t="s">
        <v>273</v>
      </c>
      <c r="C64" s="1" t="s">
        <v>21</v>
      </c>
      <c r="D64" s="1" t="str">
        <f t="shared" si="2"/>
        <v>Computers&amp;Accessories</v>
      </c>
      <c r="E64" s="1" t="str">
        <f t="shared" si="3"/>
        <v>Accessories&amp;Peripherals</v>
      </c>
      <c r="F64" s="2">
        <v>139.0</v>
      </c>
      <c r="G64" s="2">
        <v>999.0</v>
      </c>
      <c r="H64" s="3">
        <f t="shared" si="4"/>
        <v>0.8608608609</v>
      </c>
      <c r="I64" s="4">
        <f>IFERROR(__xludf.DUMMYFUNCTION("GOOGLEFINANCE(""CURRENCY:INRBRL"")*F64"),8.2952868692)</f>
        <v>8.295286869</v>
      </c>
      <c r="J64" s="1">
        <v>4.0</v>
      </c>
      <c r="K64" s="1">
        <v>1313.0</v>
      </c>
      <c r="L64" s="1" t="s">
        <v>274</v>
      </c>
      <c r="M64" s="6" t="s">
        <v>275</v>
      </c>
      <c r="N64" s="7" t="str">
        <f>VLOOKUP(A64, avaliacoes!A:G, 5, FALSE)</f>
        <v>A well-priced product.,Lenthy cord.,Product is working as expected.,Lengthy cable, works for car dashcam,Product is okay but they give 50rs for giving 5 stars.,Misleading length (1.2m), rest fine,Good Product,Good</v>
      </c>
      <c r="O64" s="7" t="str">
        <f>VLOOKUP(A64, avaliacoes!A:G,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row>
    <row r="65">
      <c r="A65" s="1" t="s">
        <v>276</v>
      </c>
      <c r="B65" s="1" t="s">
        <v>277</v>
      </c>
      <c r="C65" s="1" t="s">
        <v>21</v>
      </c>
      <c r="D65" s="1" t="str">
        <f t="shared" si="2"/>
        <v>Computers&amp;Accessories</v>
      </c>
      <c r="E65" s="1" t="str">
        <f t="shared" si="3"/>
        <v>Accessories&amp;Peripherals</v>
      </c>
      <c r="F65" s="2">
        <v>329.0</v>
      </c>
      <c r="G65" s="2">
        <v>845.0</v>
      </c>
      <c r="H65" s="3">
        <f t="shared" si="4"/>
        <v>0.6106508876</v>
      </c>
      <c r="I65" s="4">
        <f>IFERROR(__xludf.DUMMYFUNCTION("GOOGLEFINANCE(""CURRENCY:INRBRL"")*F65"),19.634168201199998)</f>
        <v>19.6341682</v>
      </c>
      <c r="J65" s="1">
        <v>4.5</v>
      </c>
      <c r="K65" s="1">
        <v>29746.0</v>
      </c>
      <c r="L65" s="1" t="s">
        <v>278</v>
      </c>
      <c r="M65" s="6" t="s">
        <v>279</v>
      </c>
      <c r="N65" s="7" t="str">
        <f>VLOOKUP(A65, avaliacoes!A:G, 5, FALSE)</f>
        <v>Its ok product not too good not bad,Cheap and best,Performance,Works well,Not working with Fast Charger,This Type-C cable is awesome😍.,Does not support display,Good</v>
      </c>
      <c r="O65" s="7" t="str">
        <f>VLOOKUP(A65, avaliacoes!A:G,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row>
    <row r="66">
      <c r="A66" s="1" t="s">
        <v>280</v>
      </c>
      <c r="B66" s="1" t="s">
        <v>281</v>
      </c>
      <c r="C66" s="1" t="s">
        <v>87</v>
      </c>
      <c r="D66" s="1" t="str">
        <f t="shared" si="2"/>
        <v>Electronics</v>
      </c>
      <c r="E66" s="1" t="str">
        <f t="shared" si="3"/>
        <v>HomeTheater,TV&amp;Video</v>
      </c>
      <c r="F66" s="2">
        <v>13999.0</v>
      </c>
      <c r="G66" s="2">
        <v>24999.0</v>
      </c>
      <c r="H66" s="3">
        <f t="shared" si="4"/>
        <v>0.4400176007</v>
      </c>
      <c r="I66" s="4">
        <f>IFERROR(__xludf.DUMMYFUNCTION("GOOGLEFINANCE(""CURRENCY:INRBRL"")*F66"),835.4368408772)</f>
        <v>835.4368409</v>
      </c>
      <c r="J66" s="1">
        <v>4.5</v>
      </c>
      <c r="K66" s="1">
        <v>45238.0</v>
      </c>
      <c r="L66" s="1" t="s">
        <v>282</v>
      </c>
      <c r="M66" s="6" t="s">
        <v>283</v>
      </c>
      <c r="N66" s="7" t="str">
        <f>VLOOKUP(A66, avaliacoes!A:G, 5, FALSE)</f>
        <v>Worth the price,Mi Smart Tv 32" :- 7/10 average.,Worth using since 1.5 years,expect more from mi,Worth for money.,Good product,It’s good,Go for it without thinking twice.</v>
      </c>
      <c r="O66" s="7" t="str">
        <f>VLOOKUP(A66, avaliacoes!A:G,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row>
    <row r="67">
      <c r="A67" s="1" t="s">
        <v>284</v>
      </c>
      <c r="B67" s="1" t="s">
        <v>285</v>
      </c>
      <c r="C67" s="1" t="s">
        <v>71</v>
      </c>
      <c r="D67" s="1" t="str">
        <f t="shared" si="2"/>
        <v>Electronics</v>
      </c>
      <c r="E67" s="1" t="str">
        <f t="shared" si="3"/>
        <v>HomeTheater,TV&amp;Video</v>
      </c>
      <c r="F67" s="2">
        <v>309.0</v>
      </c>
      <c r="G67" s="2">
        <v>1400.0</v>
      </c>
      <c r="H67" s="3">
        <f t="shared" si="4"/>
        <v>0.7792857143</v>
      </c>
      <c r="I67" s="4">
        <f>IFERROR(__xludf.DUMMYFUNCTION("GOOGLEFINANCE(""CURRENCY:INRBRL"")*F67"),18.4406017452)</f>
        <v>18.44060175</v>
      </c>
      <c r="J67" s="1">
        <v>4.5</v>
      </c>
      <c r="K67" s="1">
        <v>426973.0</v>
      </c>
      <c r="L67" s="1" t="s">
        <v>286</v>
      </c>
      <c r="M67" s="6" t="s">
        <v>287</v>
      </c>
      <c r="N67" s="7" t="str">
        <f>VLOOKUP(A67, avaliacoes!A:G, 5, FALSE)</f>
        <v>It's quite good and value for money,Works well,Hdmi cable,Value for money,All good,Gets the job done,Delivery was good,This one was my need to purchase</v>
      </c>
      <c r="O67" s="7" t="str">
        <f>VLOOKUP(A67, avaliacoes!A:G,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row>
    <row r="68">
      <c r="A68" s="1" t="s">
        <v>288</v>
      </c>
      <c r="B68" s="1" t="s">
        <v>289</v>
      </c>
      <c r="C68" s="1" t="s">
        <v>21</v>
      </c>
      <c r="D68" s="1" t="str">
        <f t="shared" si="2"/>
        <v>Computers&amp;Accessories</v>
      </c>
      <c r="E68" s="1" t="str">
        <f t="shared" si="3"/>
        <v>Accessories&amp;Peripherals</v>
      </c>
      <c r="F68" s="2">
        <v>263.0</v>
      </c>
      <c r="G68" s="2">
        <v>699.0</v>
      </c>
      <c r="H68" s="3">
        <f t="shared" si="4"/>
        <v>0.6237482117</v>
      </c>
      <c r="I68" s="4">
        <f>IFERROR(__xludf.DUMMYFUNCTION("GOOGLEFINANCE(""CURRENCY:INRBRL"")*F68"),15.695398896399999)</f>
        <v>15.6953989</v>
      </c>
      <c r="J68" s="1">
        <v>4.49</v>
      </c>
      <c r="K68" s="1">
        <v>450.0</v>
      </c>
      <c r="L68" s="1" t="s">
        <v>290</v>
      </c>
      <c r="M68" s="6" t="s">
        <v>291</v>
      </c>
      <c r="N68" s="7" t="str">
        <f>VLOOKUP(A68, avaliacoes!A:G, 5, FALSE)</f>
        <v>Iphone User,Overall good,Perfect price, perfect fit,Good,Worth,Perfect replacement for Apple cable,At this price it's a steal.,Good cable with decent price</v>
      </c>
      <c r="O68" s="7" t="str">
        <f>VLOOKUP(A68, avaliacoes!A:G, 6, FALSE)</f>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v>
      </c>
    </row>
    <row r="69">
      <c r="A69" s="1" t="s">
        <v>292</v>
      </c>
      <c r="B69" s="1" t="s">
        <v>293</v>
      </c>
      <c r="C69" s="1" t="s">
        <v>237</v>
      </c>
      <c r="D69" s="1" t="str">
        <f t="shared" si="2"/>
        <v>Electronics</v>
      </c>
      <c r="E69" s="1" t="str">
        <f t="shared" si="3"/>
        <v>HomeTheater,TV&amp;Video</v>
      </c>
      <c r="F69" s="2">
        <v>7999.0</v>
      </c>
      <c r="G69" s="2">
        <v>14990.0</v>
      </c>
      <c r="H69" s="3">
        <f t="shared" si="4"/>
        <v>0.4663775851</v>
      </c>
      <c r="I69" s="4">
        <f>IFERROR(__xludf.DUMMYFUNCTION("GOOGLEFINANCE(""CURRENCY:INRBRL"")*F69"),477.3669040772)</f>
        <v>477.3669041</v>
      </c>
      <c r="J69" s="1">
        <v>4.5</v>
      </c>
      <c r="K69" s="1">
        <v>457.0</v>
      </c>
      <c r="L69" s="1" t="s">
        <v>294</v>
      </c>
      <c r="M69" s="6" t="s">
        <v>295</v>
      </c>
      <c r="N69" s="7" t="str">
        <f>VLOOKUP(A69, avaliacoes!A:G, 5, FALSE)</f>
        <v>Value for Money,Good product,Great excellent picture quality,value for money,Worth for the money,Good,100% Value for money,Value for money</v>
      </c>
      <c r="O69" s="7" t="str">
        <f>VLOOKUP(A69, avaliacoes!A:G, 6, FALSE)</f>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v>
      </c>
    </row>
    <row r="70">
      <c r="A70" s="1" t="s">
        <v>296</v>
      </c>
      <c r="B70" s="1" t="s">
        <v>297</v>
      </c>
      <c r="C70" s="1" t="s">
        <v>298</v>
      </c>
      <c r="D70" s="1" t="str">
        <f t="shared" si="2"/>
        <v>Electronics</v>
      </c>
      <c r="E70" s="1" t="str">
        <f t="shared" si="3"/>
        <v>HomeTheater,TV&amp;Video</v>
      </c>
      <c r="F70" s="2">
        <v>1599.0</v>
      </c>
      <c r="G70" s="2">
        <v>2999.0</v>
      </c>
      <c r="H70" s="3">
        <f t="shared" si="4"/>
        <v>0.4668222741</v>
      </c>
      <c r="I70" s="4">
        <f>IFERROR(__xludf.DUMMYFUNCTION("GOOGLEFINANCE(""CURRENCY:INRBRL"")*F70"),95.4256381572)</f>
        <v>95.42563816</v>
      </c>
      <c r="J70" s="1">
        <v>4.5</v>
      </c>
      <c r="K70" s="1">
        <v>2727.0</v>
      </c>
      <c r="L70" s="1" t="s">
        <v>299</v>
      </c>
      <c r="M70" s="6" t="s">
        <v>300</v>
      </c>
      <c r="N70" s="7" t="str">
        <f>VLOOKUP(A70, avaliacoes!A:G, 5, FALSE)</f>
        <v>A nice &amp; sturdy product.,Assembly,nyc hairdryee,Good,Fits perfectly!!,Not suitable for 50inch and above 😟,Worth buying,Worth</v>
      </c>
      <c r="O70" s="7" t="str">
        <f>VLOOKUP(A70, avaliacoes!A:G, 6, FALSE)</f>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v>
      </c>
    </row>
    <row r="71">
      <c r="A71" s="1" t="s">
        <v>301</v>
      </c>
      <c r="B71" s="1" t="s">
        <v>302</v>
      </c>
      <c r="C71" s="1" t="s">
        <v>21</v>
      </c>
      <c r="D71" s="1" t="str">
        <f t="shared" si="2"/>
        <v>Computers&amp;Accessories</v>
      </c>
      <c r="E71" s="1" t="str">
        <f t="shared" si="3"/>
        <v>Accessories&amp;Peripherals</v>
      </c>
      <c r="F71" s="2">
        <v>219.0</v>
      </c>
      <c r="G71" s="2">
        <v>700.0</v>
      </c>
      <c r="H71" s="3">
        <f t="shared" si="4"/>
        <v>0.6871428571</v>
      </c>
      <c r="I71" s="4">
        <f>IFERROR(__xludf.DUMMYFUNCTION("GOOGLEFINANCE(""CURRENCY:INRBRL"")*F71"),13.069552693199999)</f>
        <v>13.06955269</v>
      </c>
      <c r="J71" s="1">
        <v>4.5</v>
      </c>
      <c r="K71" s="1">
        <v>20053.0</v>
      </c>
      <c r="L71" s="1" t="s">
        <v>303</v>
      </c>
      <c r="M71" s="6" t="s">
        <v>304</v>
      </c>
      <c r="N71" s="7" t="str">
        <f>VLOOKUP(A71, avaliacoes!A:G, 5, FALSE)</f>
        <v>You can trust on this one,The best usb cable,Wel build just like original .,Nice!!,Working perfectly,Basic,Good,No issues</v>
      </c>
      <c r="O71" s="7" t="str">
        <f>VLOOKUP(A71, avaliacoes!A:G,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row>
    <row r="72">
      <c r="A72" s="1" t="s">
        <v>305</v>
      </c>
      <c r="B72" s="1" t="s">
        <v>306</v>
      </c>
      <c r="C72" s="1" t="s">
        <v>21</v>
      </c>
      <c r="D72" s="1" t="str">
        <f t="shared" si="2"/>
        <v>Computers&amp;Accessories</v>
      </c>
      <c r="E72" s="1" t="str">
        <f t="shared" si="3"/>
        <v>Accessories&amp;Peripherals</v>
      </c>
      <c r="F72" s="2">
        <v>349.0</v>
      </c>
      <c r="G72" s="2">
        <v>899.0</v>
      </c>
      <c r="H72" s="3">
        <f t="shared" si="4"/>
        <v>0.6117908788</v>
      </c>
      <c r="I72" s="4">
        <f>IFERROR(__xludf.DUMMYFUNCTION("GOOGLEFINANCE(""CURRENCY:INRBRL"")*F72"),20.827734657199997)</f>
        <v>20.82773466</v>
      </c>
      <c r="J72" s="1">
        <v>4.51</v>
      </c>
      <c r="K72" s="1">
        <v>149.0</v>
      </c>
      <c r="L72" s="1" t="s">
        <v>307</v>
      </c>
      <c r="M72" s="6" t="s">
        <v>308</v>
      </c>
      <c r="N72" s="7" t="str">
        <f>VLOOKUP(A72, avaliacoes!A:G, 5, FALSE)</f>
        <v>It worked well for some days later it is not working , I want it to replace.,Extremely fine,Superb product,This is very decent, quality is super good!,Good,Awesome Product Quantity &amp; Value For Money,Go for it..,Be(a)st in the market.</v>
      </c>
      <c r="O72" s="7" t="str">
        <f>VLOOKUP(A72, avaliacoes!A:G, 6, FALSE)</f>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v>
      </c>
    </row>
    <row r="73">
      <c r="A73" s="1" t="s">
        <v>309</v>
      </c>
      <c r="B73" s="1" t="s">
        <v>310</v>
      </c>
      <c r="C73" s="1" t="s">
        <v>21</v>
      </c>
      <c r="D73" s="1" t="str">
        <f t="shared" si="2"/>
        <v>Computers&amp;Accessories</v>
      </c>
      <c r="E73" s="1" t="str">
        <f t="shared" si="3"/>
        <v>Accessories&amp;Peripherals</v>
      </c>
      <c r="F73" s="2">
        <v>349.0</v>
      </c>
      <c r="G73" s="2">
        <v>599.0</v>
      </c>
      <c r="H73" s="3">
        <f t="shared" si="4"/>
        <v>0.4173622705</v>
      </c>
      <c r="I73" s="4">
        <f>IFERROR(__xludf.DUMMYFUNCTION("GOOGLEFINANCE(""CURRENCY:INRBRL"")*F73"),20.827734657199997)</f>
        <v>20.82773466</v>
      </c>
      <c r="J73" s="1">
        <v>4.49</v>
      </c>
      <c r="K73" s="1">
        <v>210.0</v>
      </c>
      <c r="L73" s="1" t="s">
        <v>311</v>
      </c>
      <c r="M73" s="6" t="s">
        <v>312</v>
      </c>
      <c r="N73" s="7" t="str">
        <f>VLOOKUP(A73, avaliacoes!A:G, 5, FALSE)</f>
        <v>Good.,Good product,Ultimate product,Good Product,Not that good. But ok for the price.,Fast cable,Fast charging 👍,Best Alternative to Original Cable</v>
      </c>
      <c r="O73" s="7" t="str">
        <f>VLOOKUP(A73, avaliacoes!A:G, 6, FALSE)</f>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v>
      </c>
    </row>
    <row r="74">
      <c r="A74" s="1" t="s">
        <v>313</v>
      </c>
      <c r="B74" s="1" t="s">
        <v>314</v>
      </c>
      <c r="C74" s="1" t="s">
        <v>87</v>
      </c>
      <c r="D74" s="1" t="str">
        <f t="shared" si="2"/>
        <v>Electronics</v>
      </c>
      <c r="E74" s="1" t="str">
        <f t="shared" si="3"/>
        <v>HomeTheater,TV&amp;Video</v>
      </c>
      <c r="F74" s="2">
        <v>26999.0</v>
      </c>
      <c r="G74" s="2">
        <v>42999.0</v>
      </c>
      <c r="H74" s="3">
        <f t="shared" si="4"/>
        <v>0.3721016768</v>
      </c>
      <c r="I74" s="4">
        <f>IFERROR(__xludf.DUMMYFUNCTION("GOOGLEFINANCE(""CURRENCY:INRBRL"")*F74"),1611.2550372771998)</f>
        <v>1611.255037</v>
      </c>
      <c r="J74" s="1">
        <v>4.5</v>
      </c>
      <c r="K74" s="1">
        <v>45238.0</v>
      </c>
      <c r="L74" s="1" t="s">
        <v>315</v>
      </c>
      <c r="M74" s="6" t="s">
        <v>316</v>
      </c>
      <c r="N74" s="7" t="str">
        <f>VLOOKUP(A74, avaliacoes!A:G, 5, FALSE)</f>
        <v>Worth the price,Mi Smart Tv 32" :- 7/10 average.,Worth using since 1.5 years,expect more from mi,Worth for money.,Good product,It’s good,Go for it without thinking twice.</v>
      </c>
      <c r="O74" s="7" t="str">
        <f>VLOOKUP(A74, avaliacoes!A:G,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row>
    <row r="75">
      <c r="A75" s="1" t="s">
        <v>317</v>
      </c>
      <c r="B75" s="1" t="s">
        <v>318</v>
      </c>
      <c r="C75" s="1" t="s">
        <v>21</v>
      </c>
      <c r="D75" s="1" t="str">
        <f t="shared" si="2"/>
        <v>Computers&amp;Accessories</v>
      </c>
      <c r="E75" s="1" t="str">
        <f t="shared" si="3"/>
        <v>Accessories&amp;Peripherals</v>
      </c>
      <c r="F75" s="2">
        <v>115.0</v>
      </c>
      <c r="G75" s="2">
        <v>499.0</v>
      </c>
      <c r="H75" s="3">
        <f t="shared" si="4"/>
        <v>0.7695390782</v>
      </c>
      <c r="I75" s="4">
        <f>IFERROR(__xludf.DUMMYFUNCTION("GOOGLEFINANCE(""CURRENCY:INRBRL"")*F75"),6.863007121999999)</f>
        <v>6.863007122</v>
      </c>
      <c r="J75" s="1">
        <v>4.0</v>
      </c>
      <c r="K75" s="1">
        <v>7732.0</v>
      </c>
      <c r="L75" s="1" t="s">
        <v>319</v>
      </c>
      <c r="M75" s="6" t="s">
        <v>320</v>
      </c>
      <c r="N75" s="7" t="str">
        <f>VLOOKUP(A75, avaliacoes!A:G, 5, FALSE)</f>
        <v>Very good product and met my need.  Thanks,Decent value,Nice quality… trustable…,Just well in this price.,supports 2.4 amps fast charging,Nice,Nice.,Value for money</v>
      </c>
      <c r="O75" s="7" t="str">
        <f>VLOOKUP(A75, avaliacoes!A:G,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row>
    <row r="76">
      <c r="A76" s="1" t="s">
        <v>321</v>
      </c>
      <c r="B76" s="1" t="s">
        <v>322</v>
      </c>
      <c r="C76" s="1" t="s">
        <v>21</v>
      </c>
      <c r="D76" s="1" t="str">
        <f t="shared" si="2"/>
        <v>Computers&amp;Accessories</v>
      </c>
      <c r="E76" s="1" t="str">
        <f t="shared" si="3"/>
        <v>Accessories&amp;Peripherals</v>
      </c>
      <c r="F76" s="2">
        <v>399.0</v>
      </c>
      <c r="G76" s="2">
        <v>999.0</v>
      </c>
      <c r="H76" s="3">
        <f t="shared" si="4"/>
        <v>0.6006006006</v>
      </c>
      <c r="I76" s="4">
        <f>IFERROR(__xludf.DUMMYFUNCTION("GOOGLEFINANCE(""CURRENCY:INRBRL"")*F76"),23.8116507972)</f>
        <v>23.8116508</v>
      </c>
      <c r="J76" s="1">
        <v>4.49</v>
      </c>
      <c r="K76" s="1">
        <v>178.0</v>
      </c>
      <c r="L76" s="1" t="s">
        <v>323</v>
      </c>
      <c r="M76" s="6" t="s">
        <v>324</v>
      </c>
      <c r="N76" s="7" t="str">
        <f>VLOOKUP(A76, avaliacoes!A:G, 5, FALSE)</f>
        <v>Better..!!,Charging speed is not guaranteed!,Exactly as advertised,Excellent warp charge cable,Nice,Amazing cable,Best fast charging cable,Really a good cable, Recommend</v>
      </c>
      <c r="O76" s="7" t="str">
        <f>VLOOKUP(A76, avaliacoes!A:G,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row>
    <row r="77">
      <c r="A77" s="1" t="s">
        <v>325</v>
      </c>
      <c r="B77" s="1" t="s">
        <v>326</v>
      </c>
      <c r="C77" s="1" t="s">
        <v>21</v>
      </c>
      <c r="D77" s="1" t="str">
        <f t="shared" si="2"/>
        <v>Computers&amp;Accessories</v>
      </c>
      <c r="E77" s="1" t="str">
        <f t="shared" si="3"/>
        <v>Accessories&amp;Peripherals</v>
      </c>
      <c r="F77" s="2">
        <v>199.0</v>
      </c>
      <c r="G77" s="2">
        <v>499.0</v>
      </c>
      <c r="H77" s="3">
        <f t="shared" si="4"/>
        <v>0.6012024048</v>
      </c>
      <c r="I77" s="4">
        <f>IFERROR(__xludf.DUMMYFUNCTION("GOOGLEFINANCE(""CURRENCY:INRBRL"")*F77"),11.8759862372)</f>
        <v>11.87598624</v>
      </c>
      <c r="J77" s="1">
        <v>4.49</v>
      </c>
      <c r="K77" s="1">
        <v>602.0</v>
      </c>
      <c r="L77" s="1" t="s">
        <v>327</v>
      </c>
      <c r="M77" s="6" t="s">
        <v>328</v>
      </c>
      <c r="N77" s="7" t="str">
        <f>VLOOKUP(A77, avaliacoes!A:G, 5, FALSE)</f>
        <v>Good product,Its good, but micro usb doesn't fit my phone.,Good and useful item,It is very best cable,good,2 in 1 Charging Cable.,Sturdy cable overall,Nice &amp; Best Charger Cabel</v>
      </c>
      <c r="O77" s="7" t="str">
        <f>VLOOKUP(A77, avaliacoes!A:G,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row>
    <row r="78">
      <c r="A78" s="1" t="s">
        <v>329</v>
      </c>
      <c r="B78" s="1" t="s">
        <v>330</v>
      </c>
      <c r="C78" s="1" t="s">
        <v>21</v>
      </c>
      <c r="D78" s="1" t="str">
        <f t="shared" si="2"/>
        <v>Computers&amp;Accessories</v>
      </c>
      <c r="E78" s="1" t="str">
        <f t="shared" si="3"/>
        <v>Accessories&amp;Peripherals</v>
      </c>
      <c r="F78" s="2">
        <v>179.0</v>
      </c>
      <c r="G78" s="2">
        <v>399.0</v>
      </c>
      <c r="H78" s="3">
        <f t="shared" si="4"/>
        <v>0.5513784461</v>
      </c>
      <c r="I78" s="4">
        <f>IFERROR(__xludf.DUMMYFUNCTION("GOOGLEFINANCE(""CURRENCY:INRBRL"")*F78"),10.682419781199998)</f>
        <v>10.68241978</v>
      </c>
      <c r="J78" s="1">
        <v>4.0</v>
      </c>
      <c r="K78" s="1">
        <v>1423.0</v>
      </c>
      <c r="L78" s="1" t="s">
        <v>331</v>
      </c>
      <c r="M78" s="6" t="s">
        <v>332</v>
      </c>
      <c r="N78" s="7" t="str">
        <f>VLOOKUP(A78, avaliacoes!A:G, 5, FALSE)</f>
        <v>GOOD,Thank you  Amazon very good charging cable,Good,Very good product,good quality,Very Good Product,This is fast charging USB!,Simply perfect at the price of below 100</v>
      </c>
      <c r="O78" s="7" t="str">
        <f>VLOOKUP(A78,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row>
    <row r="79">
      <c r="A79" s="1" t="s">
        <v>333</v>
      </c>
      <c r="B79" s="1" t="s">
        <v>334</v>
      </c>
      <c r="C79" s="1" t="s">
        <v>87</v>
      </c>
      <c r="D79" s="1" t="str">
        <f t="shared" si="2"/>
        <v>Electronics</v>
      </c>
      <c r="E79" s="1" t="str">
        <f t="shared" si="3"/>
        <v>HomeTheater,TV&amp;Video</v>
      </c>
      <c r="F79" s="2">
        <v>10901.0</v>
      </c>
      <c r="G79" s="2">
        <v>30990.0</v>
      </c>
      <c r="H79" s="3">
        <f t="shared" si="4"/>
        <v>0.6482413682</v>
      </c>
      <c r="I79" s="4">
        <f>IFERROR(__xludf.DUMMYFUNCTION("GOOGLEFINANCE(""CURRENCY:INRBRL"")*F79"),650.5533968428)</f>
        <v>650.5533968</v>
      </c>
      <c r="J79" s="1">
        <v>4.49</v>
      </c>
      <c r="K79" s="1">
        <v>398.0</v>
      </c>
      <c r="L79" s="1" t="s">
        <v>335</v>
      </c>
      <c r="M79" s="6" t="s">
        <v>336</v>
      </c>
      <c r="N79" s="7" t="str">
        <f>VLOOKUP(A79, avaliacoes!A:G, 5, FALSE)</f>
        <v>Good, Value for Money,Picture quality was nice....over all product nice,Till today everything okay,Y,Good,Outstanding Performance,Must buy,Value for money</v>
      </c>
      <c r="O79" s="7" t="str">
        <f>VLOOKUP(A79, avaliacoes!A:G, 6, FALSE)</f>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v>
      </c>
    </row>
    <row r="80">
      <c r="A80" s="1" t="s">
        <v>337</v>
      </c>
      <c r="B80" s="1" t="s">
        <v>338</v>
      </c>
      <c r="C80" s="1" t="s">
        <v>21</v>
      </c>
      <c r="D80" s="1" t="str">
        <f t="shared" si="2"/>
        <v>Computers&amp;Accessories</v>
      </c>
      <c r="E80" s="1" t="str">
        <f t="shared" si="3"/>
        <v>Accessories&amp;Peripherals</v>
      </c>
      <c r="F80" s="2">
        <v>209.0</v>
      </c>
      <c r="G80" s="2">
        <v>499.0</v>
      </c>
      <c r="H80" s="3">
        <f t="shared" si="4"/>
        <v>0.5811623246</v>
      </c>
      <c r="I80" s="4">
        <f>IFERROR(__xludf.DUMMYFUNCTION("GOOGLEFINANCE(""CURRENCY:INRBRL"")*F80"),12.472769465199999)</f>
        <v>12.47276947</v>
      </c>
      <c r="J80" s="1">
        <v>4.52</v>
      </c>
      <c r="K80" s="1">
        <v>536.0</v>
      </c>
      <c r="L80" s="1" t="s">
        <v>339</v>
      </c>
      <c r="M80" s="6" t="s">
        <v>340</v>
      </c>
      <c r="N80" s="7" t="str">
        <f>VLOOKUP(A80, avaliacoes!A:G, 5, FALSE)</f>
        <v>Value for money,Nice product,timely delivered with good packeging,Good in quality,Quite nice cable,  Go for it,Good product , value for money,Worth buying,Nice</v>
      </c>
      <c r="O80" s="7" t="str">
        <f>VLOOKUP(A80, avaliacoes!A:G, 6, FALSE)</f>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v>
      </c>
    </row>
    <row r="81">
      <c r="A81" s="1" t="s">
        <v>341</v>
      </c>
      <c r="B81" s="1" t="s">
        <v>342</v>
      </c>
      <c r="C81" s="1" t="s">
        <v>216</v>
      </c>
      <c r="D81" s="1" t="str">
        <f t="shared" si="2"/>
        <v>Electronics</v>
      </c>
      <c r="E81" s="1" t="str">
        <f t="shared" si="3"/>
        <v>HomeTheater,TV&amp;Video</v>
      </c>
      <c r="F81" s="2">
        <v>1434.0</v>
      </c>
      <c r="G81" s="2">
        <v>3999.0</v>
      </c>
      <c r="H81" s="3">
        <f t="shared" si="4"/>
        <v>0.6414103526</v>
      </c>
      <c r="I81" s="4">
        <f>IFERROR(__xludf.DUMMYFUNCTION("GOOGLEFINANCE(""CURRENCY:INRBRL"")*F81"),85.5787148952)</f>
        <v>85.5787149</v>
      </c>
      <c r="J81" s="1">
        <v>4.0</v>
      </c>
      <c r="K81" s="1">
        <v>32.0</v>
      </c>
      <c r="L81" s="1" t="s">
        <v>343</v>
      </c>
      <c r="M81" s="6" t="s">
        <v>344</v>
      </c>
      <c r="N81" s="7" t="str">
        <f>VLOOKUP(A81, avaliacoes!A:G, 5, FALSE)</f>
        <v>Good Product,Good product for my fire Tv,Over-all food,Good product,Product quality is very good and so is the customer service,It’s good,worth buying,Remote is working fine</v>
      </c>
      <c r="O81" s="7" t="str">
        <f>VLOOKUP(A81, avaliacoes!A:G, 6, FALSE)</f>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v>
      </c>
    </row>
    <row r="82">
      <c r="A82" s="1" t="s">
        <v>345</v>
      </c>
      <c r="B82" s="1" t="s">
        <v>346</v>
      </c>
      <c r="C82" s="1" t="s">
        <v>21</v>
      </c>
      <c r="D82" s="1" t="str">
        <f t="shared" si="2"/>
        <v>Computers&amp;Accessories</v>
      </c>
      <c r="E82" s="1" t="str">
        <f t="shared" si="3"/>
        <v>Accessories&amp;Peripherals</v>
      </c>
      <c r="F82" s="2">
        <v>399.0</v>
      </c>
      <c r="G82" s="2">
        <v>1099.0</v>
      </c>
      <c r="H82" s="3">
        <f t="shared" si="4"/>
        <v>0.6369426752</v>
      </c>
      <c r="I82" s="4">
        <f>IFERROR(__xludf.DUMMYFUNCTION("GOOGLEFINANCE(""CURRENCY:INRBRL"")*F82"),23.8116507972)</f>
        <v>23.8116508</v>
      </c>
      <c r="J82" s="1">
        <v>4.5</v>
      </c>
      <c r="K82" s="1">
        <v>24269.0</v>
      </c>
      <c r="L82" s="1" t="s">
        <v>347</v>
      </c>
      <c r="M82" s="6" t="s">
        <v>348</v>
      </c>
      <c r="N82" s="7" t="str">
        <f>VLOOKUP(A82, avaliacoes!A:G, 5, FALSE)</f>
        <v>Satisfied,Charging is really fast,Value for money,Product review,Good quality,Good product,Good Product,As of now seems good</v>
      </c>
      <c r="O82" s="7" t="str">
        <f>VLOOKUP(A82,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v>
      </c>
    </row>
    <row r="83">
      <c r="A83" s="1" t="s">
        <v>349</v>
      </c>
      <c r="B83" s="1" t="s">
        <v>350</v>
      </c>
      <c r="C83" s="1" t="s">
        <v>21</v>
      </c>
      <c r="D83" s="1" t="str">
        <f t="shared" si="2"/>
        <v>Computers&amp;Accessories</v>
      </c>
      <c r="E83" s="1" t="str">
        <f t="shared" si="3"/>
        <v>Accessories&amp;Peripherals</v>
      </c>
      <c r="F83" s="2">
        <v>139.0</v>
      </c>
      <c r="G83" s="2">
        <v>249.0</v>
      </c>
      <c r="H83" s="3">
        <f t="shared" si="4"/>
        <v>0.4417670683</v>
      </c>
      <c r="I83" s="4">
        <f>IFERROR(__xludf.DUMMYFUNCTION("GOOGLEFINANCE(""CURRENCY:INRBRL"")*F83"),8.2952868692)</f>
        <v>8.295286869</v>
      </c>
      <c r="J83" s="1">
        <v>4.0</v>
      </c>
      <c r="K83" s="1">
        <v>9378.0</v>
      </c>
      <c r="L83" s="1" t="s">
        <v>351</v>
      </c>
      <c r="M83" s="6" t="s">
        <v>352</v>
      </c>
      <c r="N83" s="7" t="str">
        <f>VLOOKUP(A83, avaliacoes!A:G, 5, FALSE)</f>
        <v>Worked on iPhone 7 and didn’t work on XR,Good one,Dull Physical Looks,Just Buy it,Go for it,About the product,Get charging cable at the price,Working well.</v>
      </c>
      <c r="O83" s="7" t="str">
        <f>VLOOKUP(A83, avaliacoes!A:G, 6, FALSE)</f>
        <v>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84">
      <c r="A84" s="1" t="s">
        <v>353</v>
      </c>
      <c r="B84" s="1" t="s">
        <v>354</v>
      </c>
      <c r="C84" s="1" t="s">
        <v>87</v>
      </c>
      <c r="D84" s="1" t="str">
        <f t="shared" si="2"/>
        <v>Electronics</v>
      </c>
      <c r="E84" s="1" t="str">
        <f t="shared" si="3"/>
        <v>HomeTheater,TV&amp;Video</v>
      </c>
      <c r="F84" s="2">
        <v>7299.0</v>
      </c>
      <c r="G84" s="2">
        <v>19125.0</v>
      </c>
      <c r="H84" s="3">
        <f t="shared" si="4"/>
        <v>0.6183529412</v>
      </c>
      <c r="I84" s="4">
        <f>IFERROR(__xludf.DUMMYFUNCTION("GOOGLEFINANCE(""CURRENCY:INRBRL"")*F84"),435.59207811719995)</f>
        <v>435.5920781</v>
      </c>
      <c r="J84" s="1">
        <v>4.5</v>
      </c>
      <c r="K84" s="1">
        <v>902.0</v>
      </c>
      <c r="L84" s="1" t="s">
        <v>355</v>
      </c>
      <c r="M84" s="6" t="s">
        <v>356</v>
      </c>
      <c r="N84" s="7" t="str">
        <f>VLOOKUP(A84, avaliacoes!A:G, 5, FALSE)</f>
        <v>Good in this price,Speakers and sound next level,Bad remote,Remote problem,Good quality 👍,Skywall 32 smart TV,Phone se screen chalane fasta hai,YouTube me I'd nhi bana pa raha hun</v>
      </c>
      <c r="O84" s="7" t="str">
        <f>VLOOKUP(A84, avaliacoes!A:G, 6, FALSE)</f>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v>
      </c>
    </row>
    <row r="85">
      <c r="A85" s="1" t="s">
        <v>357</v>
      </c>
      <c r="B85" s="1" t="s">
        <v>358</v>
      </c>
      <c r="C85" s="1" t="s">
        <v>21</v>
      </c>
      <c r="D85" s="1" t="str">
        <f t="shared" si="2"/>
        <v>Computers&amp;Accessories</v>
      </c>
      <c r="E85" s="1" t="str">
        <f t="shared" si="3"/>
        <v>Accessories&amp;Peripherals</v>
      </c>
      <c r="F85" s="2">
        <v>299.0</v>
      </c>
      <c r="G85" s="2">
        <v>799.0</v>
      </c>
      <c r="H85" s="3">
        <f t="shared" si="4"/>
        <v>0.6257822278</v>
      </c>
      <c r="I85" s="4">
        <f>IFERROR(__xludf.DUMMYFUNCTION("GOOGLEFINANCE(""CURRENCY:INRBRL"")*F85"),17.8438185172)</f>
        <v>17.84381852</v>
      </c>
      <c r="J85" s="1">
        <v>4.5</v>
      </c>
      <c r="K85" s="1">
        <v>28791.0</v>
      </c>
      <c r="L85" s="1" t="s">
        <v>359</v>
      </c>
      <c r="M85" s="6" t="s">
        <v>360</v>
      </c>
      <c r="N85" s="7" t="str">
        <f>VLOOKUP(A85, avaliacoes!A:G, 5, FALSE)</f>
        <v>Good Stuff... Recommended!!!,Need better quality,एक मजबूत प्रोडक्ट है,Good,best buy of this cable,Best for,Tough,Nil</v>
      </c>
      <c r="O85" s="7" t="str">
        <f>VLOOKUP(A85, avaliacoes!A:G, 6, FALSE)</f>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v>
      </c>
    </row>
    <row r="86">
      <c r="A86" s="1" t="s">
        <v>361</v>
      </c>
      <c r="B86" s="1" t="s">
        <v>362</v>
      </c>
      <c r="C86" s="1" t="s">
        <v>21</v>
      </c>
      <c r="D86" s="1" t="str">
        <f t="shared" si="2"/>
        <v>Computers&amp;Accessories</v>
      </c>
      <c r="E86" s="1" t="str">
        <f t="shared" si="3"/>
        <v>Accessories&amp;Peripherals</v>
      </c>
      <c r="F86" s="2">
        <v>325.0</v>
      </c>
      <c r="G86" s="2">
        <v>1299.0</v>
      </c>
      <c r="H86" s="3">
        <f t="shared" si="4"/>
        <v>0.7498075443</v>
      </c>
      <c r="I86" s="4">
        <f>IFERROR(__xludf.DUMMYFUNCTION("GOOGLEFINANCE(""CURRENCY:INRBRL"")*F86"),19.395454909999998)</f>
        <v>19.39545491</v>
      </c>
      <c r="J86" s="1">
        <v>4.5</v>
      </c>
      <c r="K86" s="1">
        <v>10576.0</v>
      </c>
      <c r="L86" s="1" t="s">
        <v>363</v>
      </c>
      <c r="M86" s="6" t="s">
        <v>364</v>
      </c>
      <c r="N86" s="7" t="str">
        <f>VLOOKUP(A86, avaliacoes!A:G, 5, FALSE)</f>
        <v>Nice product .,Good quality Braided cable, VFM,Good cord, but has Earthing issue,Ok,Good product. Little bit fast charger for phones like redmi.,Fast charging is working properly,Money value product 👌,Cable a Nice product</v>
      </c>
      <c r="O86" s="7" t="str">
        <f>VLOOKUP(A86, avaliacoes!A:G,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row>
    <row r="87">
      <c r="A87" s="1" t="s">
        <v>365</v>
      </c>
      <c r="B87" s="1" t="s">
        <v>366</v>
      </c>
      <c r="C87" s="1" t="s">
        <v>87</v>
      </c>
      <c r="D87" s="1" t="str">
        <f t="shared" si="2"/>
        <v>Electronics</v>
      </c>
      <c r="E87" s="1" t="str">
        <f t="shared" si="3"/>
        <v>HomeTheater,TV&amp;Video</v>
      </c>
      <c r="F87" s="2">
        <v>29999.0</v>
      </c>
      <c r="G87" s="2">
        <v>39999.0</v>
      </c>
      <c r="H87" s="3">
        <f t="shared" si="4"/>
        <v>0.2500062502</v>
      </c>
      <c r="I87" s="4">
        <f>IFERROR(__xludf.DUMMYFUNCTION("GOOGLEFINANCE(""CURRENCY:INRBRL"")*F87"),1790.2900056771998)</f>
        <v>1790.290006</v>
      </c>
      <c r="J87" s="1">
        <v>4.5</v>
      </c>
      <c r="K87" s="1">
        <v>7298.0</v>
      </c>
      <c r="L87" s="1" t="s">
        <v>367</v>
      </c>
      <c r="M87" s="6" t="s">
        <v>368</v>
      </c>
      <c r="N87" s="7" t="str">
        <f>VLOOKUP(A87, avaliacoes!A:G, 5, FALSE)</f>
        <v>Decent product. Value for money.,Value for money,Improvements Needed,Everything thing good except the installation experience,Overall taking all aspects TV is good within the price point,Tv installation services,One among the good TVs in the market.,Picture</v>
      </c>
      <c r="O87" s="7" t="str">
        <f>VLOOKUP(A87, avaliacoes!A:G, 6, FALSE)</f>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v>
      </c>
    </row>
    <row r="88">
      <c r="A88" s="1" t="s">
        <v>369</v>
      </c>
      <c r="B88" s="1" t="s">
        <v>370</v>
      </c>
      <c r="C88" s="1" t="s">
        <v>87</v>
      </c>
      <c r="D88" s="1" t="str">
        <f t="shared" si="2"/>
        <v>Electronics</v>
      </c>
      <c r="E88" s="1" t="str">
        <f t="shared" si="3"/>
        <v>HomeTheater,TV&amp;Video</v>
      </c>
      <c r="F88" s="2">
        <v>27999.0</v>
      </c>
      <c r="G88" s="2">
        <v>40990.0</v>
      </c>
      <c r="H88" s="3">
        <f t="shared" si="4"/>
        <v>0.3169309588</v>
      </c>
      <c r="I88" s="4">
        <f>IFERROR(__xludf.DUMMYFUNCTION("GOOGLEFINANCE(""CURRENCY:INRBRL"")*F88"),1670.9333600772)</f>
        <v>1670.93336</v>
      </c>
      <c r="J88" s="1">
        <v>4.5</v>
      </c>
      <c r="K88" s="1">
        <v>4703.0</v>
      </c>
      <c r="L88" s="1" t="s">
        <v>371</v>
      </c>
      <c r="M88" s="6" t="s">
        <v>372</v>
      </c>
      <c r="N88" s="7" t="str">
        <f>VLOOKUP(A88, avaliacoes!A:G, 5, FALSE)</f>
        <v>Wonderful TV and Awful installation service from amazon,Acer Television Review,It's a good product for that price.,Good for the price,Almost a complete package,Nice Product,Good product,Super designed</v>
      </c>
      <c r="O88" s="7" t="str">
        <f>VLOOKUP(A88,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row>
    <row r="89">
      <c r="A89" s="1" t="s">
        <v>373</v>
      </c>
      <c r="B89" s="1" t="s">
        <v>374</v>
      </c>
      <c r="C89" s="1" t="s">
        <v>87</v>
      </c>
      <c r="D89" s="1" t="str">
        <f t="shared" si="2"/>
        <v>Electronics</v>
      </c>
      <c r="E89" s="1" t="str">
        <f t="shared" si="3"/>
        <v>HomeTheater,TV&amp;Video</v>
      </c>
      <c r="F89" s="2">
        <v>30990.0</v>
      </c>
      <c r="G89" s="2">
        <v>52990.0</v>
      </c>
      <c r="H89" s="3">
        <f t="shared" si="4"/>
        <v>0.4151726741</v>
      </c>
      <c r="I89" s="4">
        <f>IFERROR(__xludf.DUMMYFUNCTION("GOOGLEFINANCE(""CURRENCY:INRBRL"")*F89"),1849.431223572)</f>
        <v>1849.431224</v>
      </c>
      <c r="J89" s="1">
        <v>4.5</v>
      </c>
      <c r="K89" s="1">
        <v>7109.0</v>
      </c>
      <c r="L89" s="1" t="s">
        <v>375</v>
      </c>
      <c r="M89" s="6" t="s">
        <v>376</v>
      </c>
      <c r="N89" s="7" t="str">
        <f>VLOOKUP(A89, avaliacoes!A:G, 5, FALSE)</f>
        <v>Best(Branded) Budget TV,A high-quality 4k Smart TV from Samsung,Received Defective,Got Replacement,Nice product but,Tv is good,Best budget tv,Value for money. Samsung is always good,Value for money product</v>
      </c>
      <c r="O89" s="7" t="str">
        <f>VLOOKUP(A89, avaliacoes!A:G,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row>
    <row r="90">
      <c r="A90" s="1" t="s">
        <v>377</v>
      </c>
      <c r="B90" s="1" t="s">
        <v>378</v>
      </c>
      <c r="C90" s="1" t="s">
        <v>21</v>
      </c>
      <c r="D90" s="1" t="str">
        <f t="shared" si="2"/>
        <v>Computers&amp;Accessories</v>
      </c>
      <c r="E90" s="1" t="str">
        <f t="shared" si="3"/>
        <v>Accessories&amp;Peripherals</v>
      </c>
      <c r="F90" s="2">
        <v>199.0</v>
      </c>
      <c r="G90" s="2">
        <v>999.0</v>
      </c>
      <c r="H90" s="3">
        <f t="shared" si="4"/>
        <v>0.8008008008</v>
      </c>
      <c r="I90" s="4">
        <f>IFERROR(__xludf.DUMMYFUNCTION("GOOGLEFINANCE(""CURRENCY:INRBRL"")*F90"),11.8759862372)</f>
        <v>11.87598624</v>
      </c>
      <c r="J90" s="1">
        <v>4.51</v>
      </c>
      <c r="K90" s="1">
        <v>127.0</v>
      </c>
      <c r="L90" s="1" t="s">
        <v>379</v>
      </c>
      <c r="M90" s="6" t="s">
        <v>380</v>
      </c>
      <c r="N90" s="7" t="str">
        <f>VLOOKUP(A90, avaliacoes!A:G, 5, FALSE)</f>
        <v>Super charger in lapster,Best among the rest,Classy product and authentic one,Excellent product,Worked fine ,thank you,Stylish and flexible cable,Amazing,Value for money product</v>
      </c>
      <c r="O90" s="7" t="str">
        <f>VLOOKUP(A90, avaliacoes!A:G, 6, FALSE)</f>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v>
      </c>
    </row>
    <row r="91">
      <c r="A91" s="1" t="s">
        <v>381</v>
      </c>
      <c r="B91" s="1" t="s">
        <v>382</v>
      </c>
      <c r="C91" s="1" t="s">
        <v>21</v>
      </c>
      <c r="D91" s="1" t="str">
        <f t="shared" si="2"/>
        <v>Computers&amp;Accessories</v>
      </c>
      <c r="E91" s="1" t="str">
        <f t="shared" si="3"/>
        <v>Accessories&amp;Peripherals</v>
      </c>
      <c r="F91" s="2">
        <v>649.0</v>
      </c>
      <c r="G91" s="2">
        <v>1999.0</v>
      </c>
      <c r="H91" s="3">
        <f t="shared" si="4"/>
        <v>0.6753376688</v>
      </c>
      <c r="I91" s="4">
        <f>IFERROR(__xludf.DUMMYFUNCTION("GOOGLEFINANCE(""CURRENCY:INRBRL"")*F91"),38.7312314972)</f>
        <v>38.7312315</v>
      </c>
      <c r="J91" s="1">
        <v>4.5</v>
      </c>
      <c r="K91" s="1">
        <v>24269.0</v>
      </c>
      <c r="L91" s="1" t="s">
        <v>192</v>
      </c>
      <c r="M91" s="6" t="s">
        <v>383</v>
      </c>
      <c r="N91" s="7" t="str">
        <f>VLOOKUP(A91, avaliacoes!A:G, 5, FALSE)</f>
        <v>Satisfied,Charging is really fast,Value for money,Product review,Good quality,Good product,Good Product,As of now seems good</v>
      </c>
      <c r="O91" s="7" t="str">
        <f>VLOOKUP(A91, avaliacoes!A:G, 6, FALSE)</f>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v>
      </c>
    </row>
    <row r="92">
      <c r="A92" s="1" t="s">
        <v>384</v>
      </c>
      <c r="B92" s="1" t="s">
        <v>385</v>
      </c>
      <c r="C92" s="1" t="s">
        <v>54</v>
      </c>
      <c r="D92" s="1" t="str">
        <f t="shared" si="2"/>
        <v>Computers&amp;Accessories</v>
      </c>
      <c r="E92" s="1" t="str">
        <f t="shared" si="3"/>
        <v>NetworkingDevices</v>
      </c>
      <c r="F92" s="2">
        <v>269.0</v>
      </c>
      <c r="G92" s="2">
        <v>800.0</v>
      </c>
      <c r="H92" s="3">
        <f t="shared" si="4"/>
        <v>0.66375</v>
      </c>
      <c r="I92" s="4">
        <f>IFERROR(__xludf.DUMMYFUNCTION("GOOGLEFINANCE(""CURRENCY:INRBRL"")*F92"),16.0534688332)</f>
        <v>16.05346883</v>
      </c>
      <c r="J92" s="1">
        <v>4.51</v>
      </c>
      <c r="K92" s="1">
        <v>10134.0</v>
      </c>
      <c r="L92" s="1" t="s">
        <v>386</v>
      </c>
      <c r="M92" s="6" t="s">
        <v>387</v>
      </c>
      <c r="N92" s="7" t="str">
        <f>VLOOKUP(A92, avaliacoes!A:G, 5, FALSE)</f>
        <v>Will not work with new system,Veri good,Ok product,Access wifi signal.,👍,very good,Good Product,8139EU based okayish but low reception</v>
      </c>
      <c r="O92" s="7" t="str">
        <f>VLOOKUP(A92, avaliacoes!A:G, 6, FALSE)</f>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v>
      </c>
    </row>
    <row r="93">
      <c r="A93" s="1" t="s">
        <v>388</v>
      </c>
      <c r="B93" s="1" t="s">
        <v>389</v>
      </c>
      <c r="C93" s="1" t="s">
        <v>87</v>
      </c>
      <c r="D93" s="1" t="str">
        <f t="shared" si="2"/>
        <v>Electronics</v>
      </c>
      <c r="E93" s="1" t="str">
        <f t="shared" si="3"/>
        <v>HomeTheater,TV&amp;Video</v>
      </c>
      <c r="F93" s="2">
        <v>24999.0</v>
      </c>
      <c r="G93" s="2">
        <v>31999.0</v>
      </c>
      <c r="H93" s="3">
        <f t="shared" si="4"/>
        <v>0.2187568362</v>
      </c>
      <c r="I93" s="4">
        <f>IFERROR(__xludf.DUMMYFUNCTION("GOOGLEFINANCE(""CURRENCY:INRBRL"")*F93"),1491.8983916772)</f>
        <v>1491.898392</v>
      </c>
      <c r="J93" s="1">
        <v>4.5</v>
      </c>
      <c r="K93" s="1">
        <v>34899.0</v>
      </c>
      <c r="L93" s="1" t="s">
        <v>390</v>
      </c>
      <c r="M93" s="6" t="s">
        <v>391</v>
      </c>
      <c r="N93" s="7" t="str">
        <f>VLOOKUP(A93, avaliacoes!A:G, 5, FALSE)</f>
        <v>Worthy and most affordable - Great TV,Good product,It's really worth the money but,Better product in this budget,Product review,nice tv,Best product,Budget friendly TV</v>
      </c>
      <c r="O93" s="7" t="str">
        <f>VLOOKUP(A93, avaliacoes!A:G,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row>
    <row r="94">
      <c r="A94" s="1" t="s">
        <v>392</v>
      </c>
      <c r="B94" s="1" t="s">
        <v>393</v>
      </c>
      <c r="C94" s="1" t="s">
        <v>21</v>
      </c>
      <c r="D94" s="1" t="str">
        <f t="shared" si="2"/>
        <v>Computers&amp;Accessories</v>
      </c>
      <c r="E94" s="1" t="str">
        <f t="shared" si="3"/>
        <v>Accessories&amp;Peripherals</v>
      </c>
      <c r="F94" s="2">
        <v>299.0</v>
      </c>
      <c r="G94" s="2">
        <v>699.0</v>
      </c>
      <c r="H94" s="3">
        <f t="shared" si="4"/>
        <v>0.5722460658</v>
      </c>
      <c r="I94" s="4">
        <f>IFERROR(__xludf.DUMMYFUNCTION("GOOGLEFINANCE(""CURRENCY:INRBRL"")*F94"),17.8438185172)</f>
        <v>17.84381852</v>
      </c>
      <c r="J94" s="1">
        <v>4.5</v>
      </c>
      <c r="K94" s="1">
        <v>94363.0</v>
      </c>
      <c r="L94" s="1" t="s">
        <v>34</v>
      </c>
      <c r="M94" s="6" t="s">
        <v>394</v>
      </c>
      <c r="N94" s="7" t="str">
        <f>VLOOKUP(A94, avaliacoes!A:G, 5, FALSE)</f>
        <v>Good product,Good one,Nice,Really nice product,Very first time change,Good,Fine product but could be better,Very nice it's charging like jet</v>
      </c>
      <c r="O94" s="7" t="str">
        <f>VLOOKUP(A94,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row>
    <row r="95">
      <c r="A95" s="1" t="s">
        <v>395</v>
      </c>
      <c r="B95" s="1" t="s">
        <v>396</v>
      </c>
      <c r="C95" s="1" t="s">
        <v>21</v>
      </c>
      <c r="D95" s="1" t="str">
        <f t="shared" si="2"/>
        <v>Computers&amp;Accessories</v>
      </c>
      <c r="E95" s="1" t="str">
        <f t="shared" si="3"/>
        <v>Accessories&amp;Peripherals</v>
      </c>
      <c r="F95" s="2">
        <v>199.0</v>
      </c>
      <c r="G95" s="2">
        <v>999.0</v>
      </c>
      <c r="H95" s="3">
        <f t="shared" si="4"/>
        <v>0.8008008008</v>
      </c>
      <c r="I95" s="4">
        <f>IFERROR(__xludf.DUMMYFUNCTION("GOOGLEFINANCE(""CURRENCY:INRBRL"")*F95"),11.8759862372)</f>
        <v>11.87598624</v>
      </c>
      <c r="J95" s="1">
        <v>4.49</v>
      </c>
      <c r="K95" s="1">
        <v>425.0</v>
      </c>
      <c r="L95" s="1" t="s">
        <v>397</v>
      </c>
      <c r="M95" s="6" t="s">
        <v>398</v>
      </c>
      <c r="N95" s="7" t="str">
        <f>VLOOKUP(A95, avaliacoes!A:G, 5, FALSE)</f>
        <v>Does its Job fine,Working perfect,working fine,Disappointed,Does the job.,Nice product with good quality,Good product,Nice Product</v>
      </c>
      <c r="O95" s="7" t="str">
        <f>VLOOKUP(A95, avaliacoes!A:G, 6, FALSE)</f>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v>
      </c>
    </row>
    <row r="96">
      <c r="A96" s="1" t="s">
        <v>399</v>
      </c>
      <c r="B96" s="1" t="s">
        <v>400</v>
      </c>
      <c r="C96" s="1" t="s">
        <v>87</v>
      </c>
      <c r="D96" s="1" t="str">
        <f t="shared" si="2"/>
        <v>Electronics</v>
      </c>
      <c r="E96" s="1" t="str">
        <f t="shared" si="3"/>
        <v>HomeTheater,TV&amp;Video</v>
      </c>
      <c r="F96" s="2">
        <v>18990.0</v>
      </c>
      <c r="G96" s="2">
        <v>40990.0</v>
      </c>
      <c r="H96" s="3">
        <f t="shared" si="4"/>
        <v>0.5367162723</v>
      </c>
      <c r="I96" s="4">
        <f>IFERROR(__xludf.DUMMYFUNCTION("GOOGLEFINANCE(""CURRENCY:INRBRL"")*F96"),1133.2913499719998)</f>
        <v>1133.29135</v>
      </c>
      <c r="J96" s="1">
        <v>4.5</v>
      </c>
      <c r="K96" s="1">
        <v>6659.0</v>
      </c>
      <c r="L96" s="1" t="s">
        <v>401</v>
      </c>
      <c r="M96" s="6" t="s">
        <v>402</v>
      </c>
      <c r="N96" s="7" t="str">
        <f>VLOOKUP(A96, avaliacoes!A:G, 5, FALSE)</f>
        <v>TV looks fine, however I see some lag while selecting the applications,Best TV in the Price range,Good for value,Good build quality,I am satisfied it's service till now if this will continue then it is very good,Affordable price for all,Very good tv,It's good</v>
      </c>
      <c r="O96" s="7" t="str">
        <f>VLOOKUP(A96, avaliacoes!A:G, 6, FALSE)</f>
        <v>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v>
      </c>
    </row>
    <row r="97">
      <c r="A97" s="1" t="s">
        <v>403</v>
      </c>
      <c r="B97" s="1" t="s">
        <v>404</v>
      </c>
      <c r="C97" s="1" t="s">
        <v>54</v>
      </c>
      <c r="D97" s="1" t="str">
        <f t="shared" si="2"/>
        <v>Computers&amp;Accessories</v>
      </c>
      <c r="E97" s="1" t="str">
        <f t="shared" si="3"/>
        <v>NetworkingDevices</v>
      </c>
      <c r="F97" s="2">
        <v>290.0</v>
      </c>
      <c r="G97" s="2">
        <v>349.0</v>
      </c>
      <c r="H97" s="3">
        <f t="shared" si="4"/>
        <v>0.1690544413</v>
      </c>
      <c r="I97" s="4">
        <f>IFERROR(__xludf.DUMMYFUNCTION("GOOGLEFINANCE(""CURRENCY:INRBRL"")*F97"),17.306713612)</f>
        <v>17.30671361</v>
      </c>
      <c r="J97" s="1">
        <v>4.51</v>
      </c>
      <c r="K97" s="1">
        <v>1977.0</v>
      </c>
      <c r="L97" s="1" t="s">
        <v>405</v>
      </c>
      <c r="M97" s="6" t="s">
        <v>406</v>
      </c>
      <c r="N97" s="7" t="str">
        <f>VLOOKUP(A97, avaliacoes!A:G, 5, FALSE)</f>
        <v>Good product,Best produced,Working well as of now,Money worth,Good equipment,Writing after one month use. Working okay no issues till now,Nice product,Easy piece of great product</v>
      </c>
      <c r="O97" s="7" t="str">
        <f>VLOOKUP(A97, avaliacoes!A:G, 6, FALSE)</f>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v>
      </c>
    </row>
    <row r="98">
      <c r="A98" s="1" t="s">
        <v>407</v>
      </c>
      <c r="B98" s="1" t="s">
        <v>408</v>
      </c>
      <c r="C98" s="1" t="s">
        <v>216</v>
      </c>
      <c r="D98" s="1" t="str">
        <f t="shared" si="2"/>
        <v>Electronics</v>
      </c>
      <c r="E98" s="1" t="str">
        <f t="shared" si="3"/>
        <v>HomeTheater,TV&amp;Video</v>
      </c>
      <c r="F98" s="2">
        <v>249.0</v>
      </c>
      <c r="G98" s="2">
        <v>799.0</v>
      </c>
      <c r="H98" s="3">
        <f t="shared" si="4"/>
        <v>0.6883604506</v>
      </c>
      <c r="I98" s="4">
        <f>IFERROR(__xludf.DUMMYFUNCTION("GOOGLEFINANCE(""CURRENCY:INRBRL"")*F98"),14.8599023772)</f>
        <v>14.85990238</v>
      </c>
      <c r="J98" s="1">
        <v>4.51</v>
      </c>
      <c r="K98" s="1">
        <v>1079.0</v>
      </c>
      <c r="L98" s="1" t="s">
        <v>409</v>
      </c>
      <c r="M98" s="6" t="s">
        <v>410</v>
      </c>
      <c r="N98" s="7" t="str">
        <f>VLOOKUP(A98, avaliacoes!A:G, 5, FALSE)</f>
        <v>Very hard to use,Good,Required Replacement but replaced one is Good,Good product &amp; connectivity,Used remote delivered,VFM, Perfectly Compatible.,Working fine with mi tv4,I've bought it 4 times in a year</v>
      </c>
      <c r="O98" s="7" t="str">
        <f>VLOOKUP(A98, avaliacoes!A:G, 6, FALSE)</f>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v>
      </c>
    </row>
    <row r="99">
      <c r="A99" s="1" t="s">
        <v>411</v>
      </c>
      <c r="B99" s="1" t="s">
        <v>412</v>
      </c>
      <c r="C99" s="1" t="s">
        <v>21</v>
      </c>
      <c r="D99" s="1" t="str">
        <f t="shared" si="2"/>
        <v>Computers&amp;Accessories</v>
      </c>
      <c r="E99" s="1" t="str">
        <f t="shared" si="3"/>
        <v>Accessories&amp;Peripherals</v>
      </c>
      <c r="F99" s="2">
        <v>345.0</v>
      </c>
      <c r="G99" s="2">
        <v>999.0</v>
      </c>
      <c r="H99" s="3">
        <f t="shared" si="4"/>
        <v>0.6546546547</v>
      </c>
      <c r="I99" s="4">
        <f>IFERROR(__xludf.DUMMYFUNCTION("GOOGLEFINANCE(""CURRENCY:INRBRL"")*F99"),20.589021365999997)</f>
        <v>20.58902137</v>
      </c>
      <c r="J99" s="1">
        <v>4.51</v>
      </c>
      <c r="K99" s="1">
        <v>1097.0</v>
      </c>
      <c r="L99" s="1" t="s">
        <v>413</v>
      </c>
      <c r="M99" s="6" t="s">
        <v>414</v>
      </c>
      <c r="N99" s="7" t="str">
        <f>VLOOKUP(A99, avaliacoes!A:G, 5, FALSE)</f>
        <v>Product is nice,Decent cable,It charges all the three types,Value of money,Product is good and worth of money,Good material.... working good,Very good,ठीक ठीक है</v>
      </c>
      <c r="O99" s="7" t="str">
        <f>VLOOKUP(A99, avaliacoes!A:G, 6, FALSE)</f>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v>
      </c>
    </row>
    <row r="100">
      <c r="A100" s="1" t="s">
        <v>415</v>
      </c>
      <c r="B100" s="1" t="s">
        <v>416</v>
      </c>
      <c r="C100" s="1" t="s">
        <v>54</v>
      </c>
      <c r="D100" s="1" t="str">
        <f t="shared" si="2"/>
        <v>Computers&amp;Accessories</v>
      </c>
      <c r="E100" s="1" t="str">
        <f t="shared" si="3"/>
        <v>NetworkingDevices</v>
      </c>
      <c r="F100" s="2">
        <v>1099.0</v>
      </c>
      <c r="G100" s="2">
        <v>1899.0</v>
      </c>
      <c r="H100" s="3">
        <f t="shared" si="4"/>
        <v>0.4212743549</v>
      </c>
      <c r="I100" s="4">
        <f>IFERROR(__xludf.DUMMYFUNCTION("GOOGLEFINANCE(""CURRENCY:INRBRL"")*F100"),65.58647675719999)</f>
        <v>65.58647676</v>
      </c>
      <c r="J100" s="1">
        <v>4.51</v>
      </c>
      <c r="K100" s="1">
        <v>2242.0</v>
      </c>
      <c r="L100" s="1" t="s">
        <v>417</v>
      </c>
      <c r="M100" s="6" t="s">
        <v>418</v>
      </c>
      <c r="N100" s="7" t="str">
        <f>VLOOKUP(A100, avaliacoes!A:G, 5, FALSE)</f>
        <v>Easy to use,Working fine - but errors while using USB and Ethernet adapter together.,Speed is just awesome go for it,Best price to buy,Awesome product,Overall good,Drains battery if you use on smartphones,Excellent product but it has 1 major and 1 minor inconvenience</v>
      </c>
      <c r="O100" s="7" t="str">
        <f>VLOOKUP(A100, avaliacoes!A:G, 6, FALSE)</f>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v>
      </c>
    </row>
    <row r="101">
      <c r="A101" s="1" t="s">
        <v>419</v>
      </c>
      <c r="B101" s="1" t="s">
        <v>420</v>
      </c>
      <c r="C101" s="1" t="s">
        <v>21</v>
      </c>
      <c r="D101" s="1" t="str">
        <f t="shared" si="2"/>
        <v>Computers&amp;Accessories</v>
      </c>
      <c r="E101" s="1" t="str">
        <f t="shared" si="3"/>
        <v>Accessories&amp;Peripherals</v>
      </c>
      <c r="F101" s="2">
        <v>719.0</v>
      </c>
      <c r="G101" s="2">
        <v>1499.0</v>
      </c>
      <c r="H101" s="3">
        <f t="shared" si="4"/>
        <v>0.5203468979</v>
      </c>
      <c r="I101" s="4">
        <f>IFERROR(__xludf.DUMMYFUNCTION("GOOGLEFINANCE(""CURRENCY:INRBRL"")*F101"),42.9087140932)</f>
        <v>42.90871409</v>
      </c>
      <c r="J101" s="1">
        <v>4.49</v>
      </c>
      <c r="K101" s="1">
        <v>1045.0</v>
      </c>
      <c r="L101" s="1" t="s">
        <v>421</v>
      </c>
      <c r="M101" s="6" t="s">
        <v>422</v>
      </c>
      <c r="N101" s="7" t="str">
        <f>VLOOKUP(A101, avaliacoes!A:G, 5, FALSE)</f>
        <v>Good,I don’t like this product,Awesome product,Best cable for iphone xs .. works well with fast charging brick,Low quality pin but wire is fine,Excellent quality,Awesome quality and fast charging,Works fine</v>
      </c>
      <c r="O101" s="7" t="str">
        <f>VLOOKUP(A101, avaliacoes!A:G, 6, FALSE)</f>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v>
      </c>
    </row>
    <row r="102">
      <c r="A102" s="1" t="s">
        <v>423</v>
      </c>
      <c r="B102" s="1" t="s">
        <v>424</v>
      </c>
      <c r="C102" s="1" t="s">
        <v>216</v>
      </c>
      <c r="D102" s="1" t="str">
        <f t="shared" si="2"/>
        <v>Electronics</v>
      </c>
      <c r="E102" s="1" t="str">
        <f t="shared" si="3"/>
        <v>HomeTheater,TV&amp;Video</v>
      </c>
      <c r="F102" s="2">
        <v>349.0</v>
      </c>
      <c r="G102" s="2">
        <v>1499.0</v>
      </c>
      <c r="H102" s="3">
        <f t="shared" si="4"/>
        <v>0.7671781187</v>
      </c>
      <c r="I102" s="4">
        <f>IFERROR(__xludf.DUMMYFUNCTION("GOOGLEFINANCE(""CURRENCY:INRBRL"")*F102"),20.827734657199997)</f>
        <v>20.82773466</v>
      </c>
      <c r="J102" s="1">
        <v>4.5</v>
      </c>
      <c r="K102" s="1">
        <v>4145.0</v>
      </c>
      <c r="L102" s="1" t="s">
        <v>425</v>
      </c>
      <c r="M102" s="6" t="s">
        <v>426</v>
      </c>
      <c r="N102" s="7" t="str">
        <f>VLOOKUP(A102, avaliacoes!A:G, 5, FALSE)</f>
        <v>Nice cover,Good quality,Dealfreez Full Wrap Silicone Remote Cover Case is an excellent product,Remote Cover,Loved it!,Soft,Best product for the price,Look's good</v>
      </c>
      <c r="O102" s="7" t="str">
        <f>VLOOKUP(A102, avaliacoes!A:G, 6, FALSE)</f>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v>
      </c>
    </row>
    <row r="103">
      <c r="A103" s="1" t="s">
        <v>427</v>
      </c>
      <c r="B103" s="1" t="s">
        <v>428</v>
      </c>
      <c r="C103" s="1" t="s">
        <v>21</v>
      </c>
      <c r="D103" s="1" t="str">
        <f t="shared" si="2"/>
        <v>Computers&amp;Accessories</v>
      </c>
      <c r="E103" s="1" t="str">
        <f t="shared" si="3"/>
        <v>Accessories&amp;Peripherals</v>
      </c>
      <c r="F103" s="2">
        <v>849.0</v>
      </c>
      <c r="G103" s="2">
        <v>1809.0</v>
      </c>
      <c r="H103" s="3">
        <f t="shared" si="4"/>
        <v>0.5306799337</v>
      </c>
      <c r="I103" s="4">
        <f>IFERROR(__xludf.DUMMYFUNCTION("GOOGLEFINANCE(""CURRENCY:INRBRL"")*F103"),50.6668960572)</f>
        <v>50.66689606</v>
      </c>
      <c r="J103" s="1">
        <v>4.5</v>
      </c>
      <c r="K103" s="1">
        <v>6547.0</v>
      </c>
      <c r="L103" s="1" t="s">
        <v>233</v>
      </c>
      <c r="M103" s="6" t="s">
        <v>429</v>
      </c>
      <c r="N103" s="7" t="str">
        <f>VLOOKUP(A103, avaliacoes!A:G, 5, FALSE)</f>
        <v>Exchange of the cable,Go for it !!,It works and it is worth,Superab,Works Well and Durable,Very nice product.,Gud product,Stopped working in less than a month</v>
      </c>
      <c r="O103" s="7" t="str">
        <f>VLOOKUP(A103, avaliacoes!A:G, 6, FALSE)</f>
        <v>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v>
      </c>
    </row>
    <row r="104">
      <c r="A104" s="1" t="s">
        <v>430</v>
      </c>
      <c r="B104" s="1" t="s">
        <v>431</v>
      </c>
      <c r="C104" s="1" t="s">
        <v>216</v>
      </c>
      <c r="D104" s="1" t="str">
        <f t="shared" si="2"/>
        <v>Electronics</v>
      </c>
      <c r="E104" s="1" t="str">
        <f t="shared" si="3"/>
        <v>HomeTheater,TV&amp;Video</v>
      </c>
      <c r="F104" s="2">
        <v>299.0</v>
      </c>
      <c r="G104" s="2">
        <v>899.0</v>
      </c>
      <c r="H104" s="3">
        <f t="shared" si="4"/>
        <v>0.6674082314</v>
      </c>
      <c r="I104" s="4">
        <f>IFERROR(__xludf.DUMMYFUNCTION("GOOGLEFINANCE(""CURRENCY:INRBRL"")*F104"),17.8438185172)</f>
        <v>17.84381852</v>
      </c>
      <c r="J104" s="1">
        <v>4.0</v>
      </c>
      <c r="K104" s="1">
        <v>1588.0</v>
      </c>
      <c r="L104" s="1" t="s">
        <v>432</v>
      </c>
      <c r="M104" s="6" t="s">
        <v>433</v>
      </c>
      <c r="N104" s="7" t="str">
        <f>VLOOKUP(A104, avaliacoes!A:G, 5, FALSE)</f>
        <v>ভালই কাজ করছে, পয়সা উসুল।,Just what I wanted.. works perfect,Great 👍,Good,Works fine with my Samsung smart TV.,Works perfectly,Not OEM. But works as expected.,Its a good buy works</v>
      </c>
      <c r="O104" s="7" t="str">
        <f>VLOOKUP(A104, avaliacoes!A:G, 6, FALSE)</f>
        <v>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v>
      </c>
    </row>
    <row r="105">
      <c r="A105" s="1" t="s">
        <v>434</v>
      </c>
      <c r="B105" s="1" t="s">
        <v>435</v>
      </c>
      <c r="C105" s="1" t="s">
        <v>87</v>
      </c>
      <c r="D105" s="1" t="str">
        <f t="shared" si="2"/>
        <v>Electronics</v>
      </c>
      <c r="E105" s="1" t="str">
        <f t="shared" si="3"/>
        <v>HomeTheater,TV&amp;Video</v>
      </c>
      <c r="F105" s="2">
        <v>21999.0</v>
      </c>
      <c r="G105" s="2">
        <v>29999.0</v>
      </c>
      <c r="H105" s="3">
        <f t="shared" si="4"/>
        <v>0.2666755559</v>
      </c>
      <c r="I105" s="4">
        <f>IFERROR(__xludf.DUMMYFUNCTION("GOOGLEFINANCE(""CURRENCY:INRBRL"")*F105"),1312.8634232772)</f>
        <v>1312.863423</v>
      </c>
      <c r="J105" s="1">
        <v>4.5</v>
      </c>
      <c r="K105" s="1">
        <v>3284.0</v>
      </c>
      <c r="L105" s="1" t="s">
        <v>436</v>
      </c>
      <c r="M105" s="6" t="s">
        <v>437</v>
      </c>
      <c r="N105" s="7" t="str">
        <f>VLOOKUP(A105, avaliacoes!A:G, 5, FALSE)</f>
        <v>It is the best tv if you are getting it in 10-12k,Good price but the OS lags,GARBAGE QUALITY,Good product.,Good quality,Great experience everything is fantastic 🤠,Super picture quality and sound quality,Awesome</v>
      </c>
      <c r="O105" s="7" t="str">
        <f>VLOOKUP(A105,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v>
      </c>
    </row>
    <row r="106">
      <c r="A106" s="1" t="s">
        <v>438</v>
      </c>
      <c r="B106" s="1" t="s">
        <v>439</v>
      </c>
      <c r="C106" s="1" t="s">
        <v>21</v>
      </c>
      <c r="D106" s="1" t="str">
        <f t="shared" si="2"/>
        <v>Computers&amp;Accessories</v>
      </c>
      <c r="E106" s="1" t="str">
        <f t="shared" si="3"/>
        <v>Accessories&amp;Peripherals</v>
      </c>
      <c r="F106" s="2">
        <v>349.0</v>
      </c>
      <c r="G106" s="2">
        <v>999.0</v>
      </c>
      <c r="H106" s="3">
        <f t="shared" si="4"/>
        <v>0.6506506507</v>
      </c>
      <c r="I106" s="4">
        <f>IFERROR(__xludf.DUMMYFUNCTION("GOOGLEFINANCE(""CURRENCY:INRBRL"")*F106"),20.827734657199997)</f>
        <v>20.82773466</v>
      </c>
      <c r="J106" s="1">
        <v>4.5</v>
      </c>
      <c r="K106" s="1">
        <v>1312.0</v>
      </c>
      <c r="L106" s="1" t="s">
        <v>440</v>
      </c>
      <c r="M106" s="6" t="s">
        <v>441</v>
      </c>
      <c r="N106" s="7" t="str">
        <f>VLOOKUP(A106, avaliacoes!A:G, 5, FALSE)</f>
        <v>Good product,Is worth the money you are paying for it,Good quality cable,Go for it!,Nice product☑️,Good buy,You can trust Wayona,Quality product  , Life of product is good  .</v>
      </c>
      <c r="O106" s="7" t="str">
        <f>VLOOKUP(A106, avaliacoes!A:G, 6, FALSE)</f>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v>
      </c>
    </row>
    <row r="107">
      <c r="A107" s="1" t="s">
        <v>442</v>
      </c>
      <c r="B107" s="1" t="s">
        <v>443</v>
      </c>
      <c r="C107" s="1" t="s">
        <v>21</v>
      </c>
      <c r="D107" s="1" t="str">
        <f t="shared" si="2"/>
        <v>Computers&amp;Accessories</v>
      </c>
      <c r="E107" s="1" t="str">
        <f t="shared" si="3"/>
        <v>Accessories&amp;Peripherals</v>
      </c>
      <c r="F107" s="2">
        <v>399.0</v>
      </c>
      <c r="G107" s="2">
        <v>999.0</v>
      </c>
      <c r="H107" s="3">
        <f t="shared" si="4"/>
        <v>0.6006006006</v>
      </c>
      <c r="I107" s="4">
        <f>IFERROR(__xludf.DUMMYFUNCTION("GOOGLEFINANCE(""CURRENCY:INRBRL"")*F107"),23.8116507972)</f>
        <v>23.8116508</v>
      </c>
      <c r="J107" s="1">
        <v>4.5</v>
      </c>
      <c r="K107" s="1">
        <v>2806.0</v>
      </c>
      <c r="L107" s="1" t="s">
        <v>444</v>
      </c>
      <c r="M107" s="6" t="s">
        <v>445</v>
      </c>
      <c r="N107" s="7" t="str">
        <f>VLOOKUP(A107, avaliacoes!A:G, 5, FALSE)</f>
        <v>Good material, fast charging,Costly but good product,Support type c super fast charging,Good quality,Sturdy cable &amp; has decent charging capabilities.,Good buy.,Gud product.,Very good product</v>
      </c>
      <c r="O107" s="7" t="str">
        <f>VLOOKUP(A107, avaliacoes!A:G,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row>
    <row r="108">
      <c r="A108" s="1" t="s">
        <v>446</v>
      </c>
      <c r="B108" s="1" t="s">
        <v>447</v>
      </c>
      <c r="C108" s="1" t="s">
        <v>21</v>
      </c>
      <c r="D108" s="1" t="str">
        <f t="shared" si="2"/>
        <v>Computers&amp;Accessories</v>
      </c>
      <c r="E108" s="1" t="str">
        <f t="shared" si="3"/>
        <v>Accessories&amp;Peripherals</v>
      </c>
      <c r="F108" s="2">
        <v>449.0</v>
      </c>
      <c r="G108" s="2">
        <v>1299.0</v>
      </c>
      <c r="H108" s="3">
        <f t="shared" si="4"/>
        <v>0.6543494996</v>
      </c>
      <c r="I108" s="4">
        <f>IFERROR(__xludf.DUMMYFUNCTION("GOOGLEFINANCE(""CURRENCY:INRBRL"")*F108"),26.795566937199997)</f>
        <v>26.79556694</v>
      </c>
      <c r="J108" s="1">
        <v>4.5</v>
      </c>
      <c r="K108" s="1">
        <v>24269.0</v>
      </c>
      <c r="L108" s="1" t="s">
        <v>448</v>
      </c>
      <c r="M108" s="6" t="s">
        <v>449</v>
      </c>
      <c r="N108" s="7" t="str">
        <f>VLOOKUP(A108, avaliacoes!A:G, 5, FALSE)</f>
        <v>Satisfied,Charging is really fast,Value for money,Product review,Good quality,Good product,Good Product,As of now seems good</v>
      </c>
      <c r="O108" s="7" t="str">
        <f>VLOOKUP(A108,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row>
    <row r="109">
      <c r="A109" s="1" t="s">
        <v>450</v>
      </c>
      <c r="B109" s="1" t="s">
        <v>451</v>
      </c>
      <c r="C109" s="1" t="s">
        <v>21</v>
      </c>
      <c r="D109" s="1" t="str">
        <f t="shared" si="2"/>
        <v>Computers&amp;Accessories</v>
      </c>
      <c r="E109" s="1" t="str">
        <f t="shared" si="3"/>
        <v>Accessories&amp;Peripherals</v>
      </c>
      <c r="F109" s="2">
        <v>299.0</v>
      </c>
      <c r="G109" s="2">
        <v>999.0</v>
      </c>
      <c r="H109" s="3">
        <f t="shared" si="4"/>
        <v>0.7007007007</v>
      </c>
      <c r="I109" s="4">
        <f>IFERROR(__xludf.DUMMYFUNCTION("GOOGLEFINANCE(""CURRENCY:INRBRL"")*F109"),17.8438185172)</f>
        <v>17.84381852</v>
      </c>
      <c r="J109" s="1">
        <v>4.5</v>
      </c>
      <c r="K109" s="1">
        <v>766.0</v>
      </c>
      <c r="L109" s="1" t="s">
        <v>452</v>
      </c>
      <c r="M109" s="6" t="s">
        <v>453</v>
      </c>
      <c r="N109" s="7" t="str">
        <f>VLOOKUP(A109, avaliacoes!A:G, 5, FALSE)</f>
        <v>No reasons to complain,Value for money,Nice,Works,Value for money,Go For It,Nice,It's fast charging good quality priduct</v>
      </c>
      <c r="O109" s="7" t="str">
        <f>VLOOKUP(A109, avaliacoes!A:G, 6, FALSE)</f>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v>
      </c>
    </row>
    <row r="110">
      <c r="A110" s="1" t="s">
        <v>454</v>
      </c>
      <c r="B110" s="1" t="s">
        <v>455</v>
      </c>
      <c r="C110" s="1" t="s">
        <v>87</v>
      </c>
      <c r="D110" s="1" t="str">
        <f t="shared" si="2"/>
        <v>Electronics</v>
      </c>
      <c r="E110" s="1" t="str">
        <f t="shared" si="3"/>
        <v>HomeTheater,TV&amp;Video</v>
      </c>
      <c r="F110" s="2">
        <v>37999.0</v>
      </c>
      <c r="G110" s="2">
        <v>64999.0</v>
      </c>
      <c r="H110" s="3">
        <f t="shared" si="4"/>
        <v>0.415391006</v>
      </c>
      <c r="I110" s="4">
        <f>IFERROR(__xludf.DUMMYFUNCTION("GOOGLEFINANCE(""CURRENCY:INRBRL"")*F110"),2267.7165880772)</f>
        <v>2267.716588</v>
      </c>
      <c r="J110" s="1">
        <v>4.5</v>
      </c>
      <c r="K110" s="1">
        <v>3587.0</v>
      </c>
      <c r="L110" s="1" t="s">
        <v>456</v>
      </c>
      <c r="M110" s="6" t="s">
        <v>457</v>
      </c>
      <c r="N110" s="7" t="str">
        <f>VLOOKUP(A110, avaliacoes!A:G, 5, FALSE)</f>
        <v>Good TV for the price. (But my experience was not perfect),Good but not best  @!@,Decent tv for the price but misses on basic smart features,Perfect one in our budget. Speedy and customer friendly approach from vu</v>
      </c>
      <c r="O110" s="7" t="str">
        <f>VLOOKUP(A110, avaliacoes!A:G, 6, FALSE)</f>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v>
      </c>
    </row>
    <row r="111">
      <c r="A111" s="1" t="s">
        <v>458</v>
      </c>
      <c r="B111" s="1" t="s">
        <v>459</v>
      </c>
      <c r="C111" s="1" t="s">
        <v>21</v>
      </c>
      <c r="D111" s="1" t="str">
        <f t="shared" si="2"/>
        <v>Computers&amp;Accessories</v>
      </c>
      <c r="E111" s="1" t="str">
        <f t="shared" si="3"/>
        <v>Accessories&amp;Peripherals</v>
      </c>
      <c r="F111" s="2">
        <v>99.0</v>
      </c>
      <c r="G111" s="2">
        <v>800.0</v>
      </c>
      <c r="H111" s="3">
        <f t="shared" si="4"/>
        <v>0.87625</v>
      </c>
      <c r="I111" s="4">
        <f>IFERROR(__xludf.DUMMYFUNCTION("GOOGLEFINANCE(""CURRENCY:INRBRL"")*F111"),5.9081539572)</f>
        <v>5.908153957</v>
      </c>
      <c r="J111" s="1">
        <v>4.52</v>
      </c>
      <c r="K111" s="1">
        <v>24871.0</v>
      </c>
      <c r="L111" s="1" t="s">
        <v>460</v>
      </c>
      <c r="M111" s="6" t="s">
        <v>461</v>
      </c>
      <c r="N111" s="7" t="str">
        <f>VLOOKUP(A111, avaliacoes!A:G, 5, FALSE)</f>
        <v>It's pretty good,Average quality,very good and useful usb cable,Good USB cable. My experience was very good it is long lasting,Good,Nice product and useful,-,Sturdy but does not support 33w charging</v>
      </c>
      <c r="O111" s="7" t="str">
        <f>VLOOKUP(A111, avaliacoes!A:G, 6, FALSE)</f>
        <v>It's a good product.,Like,Very good item strong and useful USB cableValue for moneyThanks to amazon and producer,https://m.media-amazon.com/images/W/WEBP_402378-T2/images/I/51112ZRE-1L._SY88.jpg,Good,Nice product and useful product,-,Sturdy but does not support 33w charging</v>
      </c>
    </row>
    <row r="112">
      <c r="A112" s="1" t="s">
        <v>462</v>
      </c>
      <c r="B112" s="1" t="s">
        <v>463</v>
      </c>
      <c r="C112" s="1" t="s">
        <v>237</v>
      </c>
      <c r="D112" s="1" t="str">
        <f t="shared" si="2"/>
        <v>Electronics</v>
      </c>
      <c r="E112" s="1" t="str">
        <f t="shared" si="3"/>
        <v>HomeTheater,TV&amp;Video</v>
      </c>
      <c r="F112" s="2">
        <v>7389.0</v>
      </c>
      <c r="G112" s="2">
        <v>19999.0</v>
      </c>
      <c r="H112" s="3">
        <f t="shared" si="4"/>
        <v>0.6305315266</v>
      </c>
      <c r="I112" s="4">
        <f>IFERROR(__xludf.DUMMYFUNCTION("GOOGLEFINANCE(""CURRENCY:INRBRL"")*F112"),440.9631271692)</f>
        <v>440.9631272</v>
      </c>
      <c r="J112" s="1">
        <v>4.49</v>
      </c>
      <c r="K112" s="1">
        <v>2581.0</v>
      </c>
      <c r="L112" s="1" t="s">
        <v>464</v>
      </c>
      <c r="M112" s="6" t="s">
        <v>465</v>
      </c>
      <c r="N112" s="7" t="str">
        <f>VLOOKUP(A112, avaliacoes!A:G, 5, FALSE)</f>
        <v>Good.,Low price &amp; value for money,Value for money,As per price ,product is excellent 👌,The product is great but you might get scammed on Amazon,Very good 👍,Nice tv,Budget free</v>
      </c>
      <c r="O112" s="7" t="str">
        <f>VLOOKUP(A112, avaliacoes!A:G, 6, FALSE)</f>
        <v>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v>
      </c>
    </row>
    <row r="113">
      <c r="A113" s="1" t="s">
        <v>466</v>
      </c>
      <c r="B113" s="1" t="s">
        <v>467</v>
      </c>
      <c r="C113" s="1" t="s">
        <v>21</v>
      </c>
      <c r="D113" s="1" t="str">
        <f t="shared" si="2"/>
        <v>Computers&amp;Accessories</v>
      </c>
      <c r="E113" s="1" t="str">
        <f t="shared" si="3"/>
        <v>Accessories&amp;Peripherals</v>
      </c>
      <c r="F113" s="2">
        <v>273.1</v>
      </c>
      <c r="G113" s="2">
        <v>999.0</v>
      </c>
      <c r="H113" s="3">
        <f t="shared" si="4"/>
        <v>0.7266266266</v>
      </c>
      <c r="I113" s="4">
        <f>IFERROR(__xludf.DUMMYFUNCTION("GOOGLEFINANCE(""CURRENCY:INRBRL"")*F113"),16.29814995668)</f>
        <v>16.29814996</v>
      </c>
      <c r="J113" s="1">
        <v>4.5</v>
      </c>
      <c r="K113" s="1">
        <v>2085.0</v>
      </c>
      <c r="L113" s="1" t="s">
        <v>468</v>
      </c>
      <c r="M113" s="6" t="s">
        <v>469</v>
      </c>
      <c r="N113" s="7" t="str">
        <f>VLOOKUP(A113, avaliacoes!A:G, 5, FALSE)</f>
        <v>Just buy it dont even 2nd guess it,Quality is good,Nylon braided quiet sturdy,Amazing,Feels like steel harnessed wire - strong,Sturdy and durable. Useful for charging Power Banks,good,Nice quality</v>
      </c>
      <c r="O113" s="7" t="str">
        <f>VLOOKUP(A113,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row>
    <row r="114">
      <c r="A114" s="1" t="s">
        <v>470</v>
      </c>
      <c r="B114" s="1" t="s">
        <v>471</v>
      </c>
      <c r="C114" s="1" t="s">
        <v>87</v>
      </c>
      <c r="D114" s="1" t="str">
        <f t="shared" si="2"/>
        <v>Electronics</v>
      </c>
      <c r="E114" s="1" t="str">
        <f t="shared" si="3"/>
        <v>HomeTheater,TV&amp;Video</v>
      </c>
      <c r="F114" s="2">
        <v>15989.0</v>
      </c>
      <c r="G114" s="2">
        <v>23989.0</v>
      </c>
      <c r="H114" s="3">
        <f t="shared" si="4"/>
        <v>0.3334861812</v>
      </c>
      <c r="I114" s="4">
        <f>IFERROR(__xludf.DUMMYFUNCTION("GOOGLEFINANCE(""CURRENCY:INRBRL"")*F114"),954.1967032491999)</f>
        <v>954.1967032</v>
      </c>
      <c r="J114" s="1">
        <v>4.5</v>
      </c>
      <c r="K114" s="1">
        <v>1035.0</v>
      </c>
      <c r="L114" s="1" t="s">
        <v>472</v>
      </c>
      <c r="M114" s="6" t="s">
        <v>473</v>
      </c>
      <c r="N114" s="7" t="str">
        <f>VLOOKUP(A114, avaliacoes!A:G, 5, FALSE)</f>
        <v>Good tv and features in this budget.,Genuine products,Offers a lot of functionality for 32 inch,Best Buy under Rs. 16000/-,A perfect TV for your room,Super 👌 👍,Nice,It's amazing with this price 15.5K.</v>
      </c>
      <c r="O114" s="7" t="str">
        <f>VLOOKUP(A114, avaliacoes!A:G, 6, FALSE)</f>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v>
      </c>
    </row>
    <row r="115">
      <c r="A115" s="1" t="s">
        <v>474</v>
      </c>
      <c r="B115" s="1" t="s">
        <v>475</v>
      </c>
      <c r="C115" s="1" t="s">
        <v>21</v>
      </c>
      <c r="D115" s="1" t="str">
        <f t="shared" si="2"/>
        <v>Computers&amp;Accessories</v>
      </c>
      <c r="E115" s="1" t="str">
        <f t="shared" si="3"/>
        <v>Accessories&amp;Peripherals</v>
      </c>
      <c r="F115" s="2">
        <v>399.0</v>
      </c>
      <c r="G115" s="2">
        <v>999.0</v>
      </c>
      <c r="H115" s="3">
        <f t="shared" si="4"/>
        <v>0.6006006006</v>
      </c>
      <c r="I115" s="4">
        <f>IFERROR(__xludf.DUMMYFUNCTION("GOOGLEFINANCE(""CURRENCY:INRBRL"")*F115"),23.8116507972)</f>
        <v>23.8116508</v>
      </c>
      <c r="J115" s="1">
        <v>4.49</v>
      </c>
      <c r="K115" s="1">
        <v>178.0</v>
      </c>
      <c r="L115" s="1" t="s">
        <v>476</v>
      </c>
      <c r="M115" s="6" t="s">
        <v>477</v>
      </c>
      <c r="N115" s="7" t="str">
        <f>VLOOKUP(A115, avaliacoes!A:G, 5, FALSE)</f>
        <v>Better..!!,Charging speed is not guaranteed!,Exactly as advertised,Excellent warp charge cable,Nice,Amazing cable,Best fast charging cable,Really a good cable, Recommend</v>
      </c>
      <c r="O115" s="7" t="str">
        <f>VLOOKUP(A115, avaliacoes!A:G,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row>
    <row r="116">
      <c r="A116" s="1" t="s">
        <v>478</v>
      </c>
      <c r="B116" s="1" t="s">
        <v>479</v>
      </c>
      <c r="C116" s="1" t="s">
        <v>216</v>
      </c>
      <c r="D116" s="1" t="str">
        <f t="shared" si="2"/>
        <v>Electronics</v>
      </c>
      <c r="E116" s="1" t="str">
        <f t="shared" si="3"/>
        <v>HomeTheater,TV&amp;Video</v>
      </c>
      <c r="F116" s="2">
        <v>399.0</v>
      </c>
      <c r="G116" s="2">
        <v>1999.0</v>
      </c>
      <c r="H116" s="3">
        <f t="shared" si="4"/>
        <v>0.8004002001</v>
      </c>
      <c r="I116" s="4">
        <f>IFERROR(__xludf.DUMMYFUNCTION("GOOGLEFINANCE(""CURRENCY:INRBRL"")*F116"),23.8116507972)</f>
        <v>23.8116508</v>
      </c>
      <c r="J116" s="1">
        <v>4.51</v>
      </c>
      <c r="K116" s="1">
        <v>505.0</v>
      </c>
      <c r="L116" s="1" t="s">
        <v>480</v>
      </c>
      <c r="M116" s="6" t="s">
        <v>481</v>
      </c>
      <c r="N116" s="7" t="str">
        <f>VLOOKUP(A116, avaliacoes!A:G, 5, FALSE)</f>
        <v>Good,Good,Nice Product,Good looking 👌 good protection for remote control,It's a very good cover..I liked it.,Good,Expensive,Nice</v>
      </c>
      <c r="O116" s="7" t="str">
        <f>VLOOKUP(A116, avaliacoes!A:G, 6, FALSE)</f>
        <v>Good product,Good,Nice product, fits exactly.,Good product,Fantastic remote cover to buy. It fits the LG 2022 model's UQ80 as well...A very good product.,Done the job but value high.,Product isn't bad, but the rate is very Expensive.,Nice</v>
      </c>
    </row>
    <row r="117">
      <c r="A117" s="1" t="s">
        <v>482</v>
      </c>
      <c r="B117" s="1" t="s">
        <v>483</v>
      </c>
      <c r="C117" s="1" t="s">
        <v>21</v>
      </c>
      <c r="D117" s="1" t="str">
        <f t="shared" si="2"/>
        <v>Computers&amp;Accessories</v>
      </c>
      <c r="E117" s="1" t="str">
        <f t="shared" si="3"/>
        <v>Accessories&amp;Peripherals</v>
      </c>
      <c r="F117" s="2">
        <v>210.0</v>
      </c>
      <c r="G117" s="2">
        <v>399.0</v>
      </c>
      <c r="H117" s="3">
        <f t="shared" si="4"/>
        <v>0.4736842105</v>
      </c>
      <c r="I117" s="4">
        <f>IFERROR(__xludf.DUMMYFUNCTION("GOOGLEFINANCE(""CURRENCY:INRBRL"")*F117"),12.532447787999999)</f>
        <v>12.53244779</v>
      </c>
      <c r="J117" s="1">
        <v>4.49</v>
      </c>
      <c r="K117" s="1">
        <v>1717.0</v>
      </c>
      <c r="L117" s="1" t="s">
        <v>484</v>
      </c>
      <c r="M117" s="6" t="s">
        <v>485</v>
      </c>
      <c r="N117" s="7" t="str">
        <f>VLOOKUP(A117, avaliacoes!A:G, 5, FALSE)</f>
        <v>Fast charging cable,Good product,Don't buy,Excellent design and Material quality,  Amazing Charging speed,it support's fast charging and also support android auto for car,Good type c cable in less price,Fast charging not support,NOT A FAST CHARGING CABLE</v>
      </c>
      <c r="O117" s="7" t="str">
        <f>VLOOKUP(A117, avaliacoes!A:G, 6, FALSE)</f>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v>
      </c>
    </row>
    <row r="118">
      <c r="A118" s="1" t="s">
        <v>486</v>
      </c>
      <c r="B118" s="1" t="s">
        <v>487</v>
      </c>
      <c r="C118" s="1" t="s">
        <v>216</v>
      </c>
      <c r="D118" s="1" t="str">
        <f t="shared" si="2"/>
        <v>Electronics</v>
      </c>
      <c r="E118" s="1" t="str">
        <f t="shared" si="3"/>
        <v>HomeTheater,TV&amp;Video</v>
      </c>
      <c r="F118" s="2">
        <v>1299.0</v>
      </c>
      <c r="G118" s="2">
        <v>1999.0</v>
      </c>
      <c r="H118" s="3">
        <f t="shared" si="4"/>
        <v>0.3501750875</v>
      </c>
      <c r="I118" s="4">
        <f>IFERROR(__xludf.DUMMYFUNCTION("GOOGLEFINANCE(""CURRENCY:INRBRL"")*F118"),77.5221413172)</f>
        <v>77.52214132</v>
      </c>
      <c r="J118" s="1">
        <v>4.51</v>
      </c>
      <c r="K118" s="1">
        <v>590.0</v>
      </c>
      <c r="L118" s="1" t="s">
        <v>488</v>
      </c>
      <c r="M118" s="6" t="s">
        <v>489</v>
      </c>
      <c r="N118" s="7" t="str">
        <f>VLOOKUP(A118, avaliacoes!A:G, 5, FALSE)</f>
        <v>Average,As good as original,expensive,Bought it in aug and by oct it is not working.will i get a refund or replacement,A useful compatible product.,Volume button doesn't work at all,Works.,Best Remote,Connect Very Well</v>
      </c>
      <c r="O118" s="7" t="str">
        <f>VLOOKUP(A118, avaliacoes!A:G, 6, FALSE)</f>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v>
      </c>
    </row>
    <row r="119">
      <c r="A119" s="1" t="s">
        <v>490</v>
      </c>
      <c r="B119" s="1" t="s">
        <v>491</v>
      </c>
      <c r="C119" s="1" t="s">
        <v>21</v>
      </c>
      <c r="D119" s="1" t="str">
        <f t="shared" si="2"/>
        <v>Computers&amp;Accessories</v>
      </c>
      <c r="E119" s="1" t="str">
        <f t="shared" si="3"/>
        <v>Accessories&amp;Peripherals</v>
      </c>
      <c r="F119" s="2">
        <v>347.0</v>
      </c>
      <c r="G119" s="2">
        <v>999.0</v>
      </c>
      <c r="H119" s="3">
        <f t="shared" si="4"/>
        <v>0.6526526527</v>
      </c>
      <c r="I119" s="4">
        <f>IFERROR(__xludf.DUMMYFUNCTION("GOOGLEFINANCE(""CURRENCY:INRBRL"")*F119"),20.708378011599997)</f>
        <v>20.70837801</v>
      </c>
      <c r="J119" s="1">
        <v>4.5</v>
      </c>
      <c r="K119" s="1">
        <v>1121.0</v>
      </c>
      <c r="L119" s="1" t="s">
        <v>492</v>
      </c>
      <c r="M119" s="6" t="s">
        <v>493</v>
      </c>
      <c r="N119" s="7" t="str">
        <f>VLOOKUP(A119, avaliacoes!A:G, 5, FALSE)</f>
        <v>Good,Not happy with this product.,👍Quality,Not bad,good to charge at home, not in vehicles,Easy to store and use built in quality of plastic roll could have been better,Good,A useful device.</v>
      </c>
      <c r="O119" s="7" t="str">
        <f>VLOOKUP(A119, avaliacoes!A:G, 6, FALSE)</f>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v>
      </c>
    </row>
    <row r="120">
      <c r="A120" s="1" t="s">
        <v>494</v>
      </c>
      <c r="B120" s="1" t="s">
        <v>495</v>
      </c>
      <c r="C120" s="1" t="s">
        <v>21</v>
      </c>
      <c r="D120" s="1" t="str">
        <f t="shared" si="2"/>
        <v>Computers&amp;Accessories</v>
      </c>
      <c r="E120" s="1" t="str">
        <f t="shared" si="3"/>
        <v>Accessories&amp;Peripherals</v>
      </c>
      <c r="F120" s="2">
        <v>149.0</v>
      </c>
      <c r="G120" s="2">
        <v>999.0</v>
      </c>
      <c r="H120" s="3">
        <f t="shared" si="4"/>
        <v>0.8508508509</v>
      </c>
      <c r="I120" s="4">
        <f>IFERROR(__xludf.DUMMYFUNCTION("GOOGLEFINANCE(""CURRENCY:INRBRL"")*F120"),8.8920700972)</f>
        <v>8.892070097</v>
      </c>
      <c r="J120" s="1">
        <v>4.0</v>
      </c>
      <c r="K120" s="1">
        <v>1313.0</v>
      </c>
      <c r="L120" s="1" t="s">
        <v>496</v>
      </c>
      <c r="M120" s="6" t="s">
        <v>497</v>
      </c>
      <c r="N120" s="7" t="str">
        <f>VLOOKUP(A120, avaliacoes!A:G, 5, FALSE)</f>
        <v>A well-priced product.,Lenthy cord.,Product is working as expected.,Lengthy cable, works for car dashcam,Product is okay but they give 50rs for giving 5 stars.,Misleading length (1.2m), rest fine,Good Product,Good</v>
      </c>
      <c r="O120" s="7" t="str">
        <f>VLOOKUP(A120, avaliacoes!A:G,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row>
    <row r="121">
      <c r="A121" s="1" t="s">
        <v>498</v>
      </c>
      <c r="B121" s="1" t="s">
        <v>499</v>
      </c>
      <c r="C121" s="1" t="s">
        <v>21</v>
      </c>
      <c r="D121" s="1" t="str">
        <f t="shared" si="2"/>
        <v>Computers&amp;Accessories</v>
      </c>
      <c r="E121" s="1" t="str">
        <f t="shared" si="3"/>
        <v>Accessories&amp;Peripherals</v>
      </c>
      <c r="F121" s="2">
        <v>228.0</v>
      </c>
      <c r="G121" s="2">
        <v>899.0</v>
      </c>
      <c r="H121" s="3">
        <f t="shared" si="4"/>
        <v>0.7463848721</v>
      </c>
      <c r="I121" s="4">
        <f>IFERROR(__xludf.DUMMYFUNCTION("GOOGLEFINANCE(""CURRENCY:INRBRL"")*F121"),13.606657598399998)</f>
        <v>13.6066576</v>
      </c>
      <c r="J121" s="1">
        <v>4.51</v>
      </c>
      <c r="K121" s="1">
        <v>132.0</v>
      </c>
      <c r="L121" s="1" t="s">
        <v>500</v>
      </c>
      <c r="M121" s="6" t="s">
        <v>501</v>
      </c>
      <c r="N121" s="7" t="str">
        <f>VLOOKUP(A121, avaliacoes!A:G, 5, FALSE)</f>
        <v>its not for fast charging as per my use and this don't support in car for android auto.,Great,Can be used as spare in an emergency.,Good,good for car drives,Not worth Doesn't charge,Good one from portronics,Excellent cable</v>
      </c>
      <c r="O121" s="7" t="str">
        <f>VLOOKUP(A121, avaliacoes!A:G, 6, FALSE)</f>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v>
      </c>
    </row>
    <row r="122">
      <c r="A122" s="1" t="s">
        <v>502</v>
      </c>
      <c r="B122" s="1" t="s">
        <v>503</v>
      </c>
      <c r="C122" s="1" t="s">
        <v>21</v>
      </c>
      <c r="D122" s="1" t="str">
        <f t="shared" si="2"/>
        <v>Computers&amp;Accessories</v>
      </c>
      <c r="E122" s="1" t="str">
        <f t="shared" si="3"/>
        <v>Accessories&amp;Peripherals</v>
      </c>
      <c r="F122" s="2">
        <v>1599.0</v>
      </c>
      <c r="G122" s="2">
        <v>1999.0</v>
      </c>
      <c r="H122" s="3">
        <f t="shared" si="4"/>
        <v>0.20010005</v>
      </c>
      <c r="I122" s="4">
        <f>IFERROR(__xludf.DUMMYFUNCTION("GOOGLEFINANCE(""CURRENCY:INRBRL"")*F122"),95.4256381572)</f>
        <v>95.42563816</v>
      </c>
      <c r="J122" s="1">
        <v>4.5</v>
      </c>
      <c r="K122" s="1">
        <v>1951.0</v>
      </c>
      <c r="L122" s="1" t="s">
        <v>504</v>
      </c>
      <c r="M122" s="6" t="s">
        <v>505</v>
      </c>
      <c r="N122" s="7" t="str">
        <f>VLOOKUP(A122, avaliacoes!A:G, 5, FALSE)</f>
        <v>Perfect product,Better than the original cable,Better then original,Good,The Very Best,Works absolutely fine,Charging is very slow.,Best Product</v>
      </c>
      <c r="O122" s="7" t="str">
        <f>VLOOKUP(A122, avaliacoes!A:G, 6, FALSE)</f>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v>
      </c>
    </row>
    <row r="123">
      <c r="A123" s="1" t="s">
        <v>506</v>
      </c>
      <c r="B123" s="1" t="s">
        <v>507</v>
      </c>
      <c r="C123" s="1" t="s">
        <v>216</v>
      </c>
      <c r="D123" s="1" t="str">
        <f t="shared" si="2"/>
        <v>Electronics</v>
      </c>
      <c r="E123" s="1" t="str">
        <f t="shared" si="3"/>
        <v>HomeTheater,TV&amp;Video</v>
      </c>
      <c r="F123" s="2">
        <v>1499.0</v>
      </c>
      <c r="G123" s="2">
        <v>3999.0</v>
      </c>
      <c r="H123" s="3">
        <f t="shared" si="4"/>
        <v>0.6251562891</v>
      </c>
      <c r="I123" s="4">
        <f>IFERROR(__xludf.DUMMYFUNCTION("GOOGLEFINANCE(""CURRENCY:INRBRL"")*F123"),89.45780587719999)</f>
        <v>89.45780588</v>
      </c>
      <c r="J123" s="1">
        <v>4.51</v>
      </c>
      <c r="K123" s="1">
        <v>37.0</v>
      </c>
      <c r="L123" s="1" t="s">
        <v>508</v>
      </c>
      <c r="M123" s="6" t="s">
        <v>509</v>
      </c>
      <c r="N123" s="7" t="str">
        <f>VLOOKUP(A123, avaliacoes!A:G, 5, FALSE)</f>
        <v>Some buttons not working in first week of purchase,Good,4,Must buy product,Quality of product is wonderful,Very bad experience as I have received a working remove and not being able to return it,Orignal product,Good product and good customer service</v>
      </c>
      <c r="O123" s="7" t="str">
        <f>VLOOKUP(A123, avaliacoes!A:G, 6, FALSE)</f>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v>
      </c>
    </row>
    <row r="124">
      <c r="A124" s="1" t="s">
        <v>510</v>
      </c>
      <c r="B124" s="1" t="s">
        <v>511</v>
      </c>
      <c r="C124" s="1" t="s">
        <v>87</v>
      </c>
      <c r="D124" s="1" t="str">
        <f t="shared" si="2"/>
        <v>Electronics</v>
      </c>
      <c r="E124" s="1" t="str">
        <f t="shared" si="3"/>
        <v>HomeTheater,TV&amp;Video</v>
      </c>
      <c r="F124" s="2">
        <v>8499.0</v>
      </c>
      <c r="G124" s="2">
        <v>15999.0</v>
      </c>
      <c r="H124" s="3">
        <f t="shared" si="4"/>
        <v>0.4687792987</v>
      </c>
      <c r="I124" s="4">
        <f>IFERROR(__xludf.DUMMYFUNCTION("GOOGLEFINANCE(""CURRENCY:INRBRL"")*F124"),507.20606547719996)</f>
        <v>507.2060655</v>
      </c>
      <c r="J124" s="1">
        <v>4.5</v>
      </c>
      <c r="K124" s="1">
        <v>592.0</v>
      </c>
      <c r="L124" s="1" t="s">
        <v>512</v>
      </c>
      <c r="M124" s="6" t="s">
        <v>513</v>
      </c>
      <c r="N124" s="7" t="str">
        <f>VLOOKUP(A124, avaliacoes!A:G, 5, FALSE)</f>
        <v>Value for money!! But don't expect Flagship quality.,Good,Good product,Good,God,Value for money,Nice product,Youtub is slow but all perform best</v>
      </c>
      <c r="O124" s="7" t="str">
        <f>VLOOKUP(A124, avaliacoes!A:G, 6, FALSE)</f>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v>
      </c>
    </row>
    <row r="125">
      <c r="A125" s="1" t="s">
        <v>514</v>
      </c>
      <c r="B125" s="1" t="s">
        <v>515</v>
      </c>
      <c r="C125" s="1" t="s">
        <v>87</v>
      </c>
      <c r="D125" s="1" t="str">
        <f t="shared" si="2"/>
        <v>Electronics</v>
      </c>
      <c r="E125" s="1" t="str">
        <f t="shared" si="3"/>
        <v>HomeTheater,TV&amp;Video</v>
      </c>
      <c r="F125" s="2">
        <v>20989.0</v>
      </c>
      <c r="G125" s="2">
        <v>44989.0</v>
      </c>
      <c r="H125" s="3">
        <f t="shared" si="4"/>
        <v>0.5334637356</v>
      </c>
      <c r="I125" s="4">
        <f>IFERROR(__xludf.DUMMYFUNCTION("GOOGLEFINANCE(""CURRENCY:INRBRL"")*F125"),1252.5883172492)</f>
        <v>1252.588317</v>
      </c>
      <c r="J125" s="1">
        <v>4.49</v>
      </c>
      <c r="K125" s="1">
        <v>1259.0</v>
      </c>
      <c r="L125" s="1" t="s">
        <v>516</v>
      </c>
      <c r="M125" s="6" t="s">
        <v>517</v>
      </c>
      <c r="N125" s="7" t="str">
        <f>VLOOKUP(A125, avaliacoes!A:G, 5, FALSE)</f>
        <v>Hisense Vivid 4K TV Initial Impressions,Picture quality,Best in class Audio &amp; picture quality,Good products,Amazing,Good,Good product,Good size for small leaving room of 18'*9'6" ,sound quality is also good for small leaving room.</v>
      </c>
      <c r="O125" s="7" t="str">
        <f>VLOOKUP(A125, avaliacoes!A:G, 6, FALSE)</f>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v>
      </c>
    </row>
    <row r="126">
      <c r="A126" s="1" t="s">
        <v>518</v>
      </c>
      <c r="B126" s="1" t="s">
        <v>519</v>
      </c>
      <c r="C126" s="1" t="s">
        <v>87</v>
      </c>
      <c r="D126" s="1" t="str">
        <f t="shared" si="2"/>
        <v>Electronics</v>
      </c>
      <c r="E126" s="1" t="str">
        <f t="shared" si="3"/>
        <v>HomeTheater,TV&amp;Video</v>
      </c>
      <c r="F126" s="2">
        <v>32999.0</v>
      </c>
      <c r="G126" s="2">
        <v>44999.0</v>
      </c>
      <c r="H126" s="3">
        <f t="shared" si="4"/>
        <v>0.2666725927</v>
      </c>
      <c r="I126" s="4">
        <f>IFERROR(__xludf.DUMMYFUNCTION("GOOGLEFINANCE(""CURRENCY:INRBRL"")*F126"),1969.3249740771998)</f>
        <v>1969.324974</v>
      </c>
      <c r="J126" s="1">
        <v>4.5</v>
      </c>
      <c r="K126" s="1">
        <v>45238.0</v>
      </c>
      <c r="L126" s="1" t="s">
        <v>520</v>
      </c>
      <c r="M126" s="6" t="s">
        <v>521</v>
      </c>
      <c r="N126" s="7" t="str">
        <f>VLOOKUP(A126, avaliacoes!A:G, 5, FALSE)</f>
        <v>Worth the price,Mi Smart Tv 32" :- 7/10 average.,Worth using since 1.5 years,expect more from mi,Worth for money.,Good product,It’s good,Go for it without thinking twice.</v>
      </c>
      <c r="O126" s="7" t="str">
        <f>VLOOKUP(A126, avaliacoes!A:G,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row>
    <row r="127">
      <c r="A127" s="1" t="s">
        <v>522</v>
      </c>
      <c r="B127" s="1" t="s">
        <v>523</v>
      </c>
      <c r="C127" s="1" t="s">
        <v>71</v>
      </c>
      <c r="D127" s="1" t="str">
        <f t="shared" si="2"/>
        <v>Electronics</v>
      </c>
      <c r="E127" s="1" t="str">
        <f t="shared" si="3"/>
        <v>HomeTheater,TV&amp;Video</v>
      </c>
      <c r="F127" s="2">
        <v>799.0</v>
      </c>
      <c r="G127" s="2">
        <v>1700.0</v>
      </c>
      <c r="H127" s="3">
        <f t="shared" si="4"/>
        <v>0.53</v>
      </c>
      <c r="I127" s="4">
        <f>IFERROR(__xludf.DUMMYFUNCTION("GOOGLEFINANCE(""CURRENCY:INRBRL"")*F127"),47.682979917199994)</f>
        <v>47.68297992</v>
      </c>
      <c r="J127" s="1">
        <v>4.49</v>
      </c>
      <c r="K127" s="1">
        <v>28638.0</v>
      </c>
      <c r="L127" s="1" t="s">
        <v>524</v>
      </c>
      <c r="M127" s="6" t="s">
        <v>525</v>
      </c>
      <c r="N127" s="7" t="str">
        <f>VLOOKUP(A127, avaliacoes!A:G, 5, FALSE)</f>
        <v>Worth Buying,Good one!!,Very nice seller service.,Nice cable,Nice product 👍,Does not work universally for all devices,so far good can be a bit lower,It's a good product you can buy and trust.</v>
      </c>
      <c r="O127" s="7" t="str">
        <f>VLOOKUP(A127, avaliacoes!A:G, 6, FALSE)</f>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v>
      </c>
    </row>
    <row r="128">
      <c r="A128" s="1" t="s">
        <v>526</v>
      </c>
      <c r="B128" s="1" t="s">
        <v>527</v>
      </c>
      <c r="C128" s="1" t="s">
        <v>71</v>
      </c>
      <c r="D128" s="1" t="str">
        <f t="shared" si="2"/>
        <v>Electronics</v>
      </c>
      <c r="E128" s="1" t="str">
        <f t="shared" si="3"/>
        <v>HomeTheater,TV&amp;Video</v>
      </c>
      <c r="F128" s="2">
        <v>229.0</v>
      </c>
      <c r="G128" s="2">
        <v>595.0</v>
      </c>
      <c r="H128" s="3">
        <f t="shared" si="4"/>
        <v>0.6151260504</v>
      </c>
      <c r="I128" s="4">
        <f>IFERROR(__xludf.DUMMYFUNCTION("GOOGLEFINANCE(""CURRENCY:INRBRL"")*F128"),13.666335921199998)</f>
        <v>13.66633592</v>
      </c>
      <c r="J128" s="1">
        <v>4.5</v>
      </c>
      <c r="K128" s="1">
        <v>12835.0</v>
      </c>
      <c r="L128" s="1" t="s">
        <v>528</v>
      </c>
      <c r="M128" s="6" t="s">
        <v>529</v>
      </c>
      <c r="N128" s="7" t="str">
        <f>VLOOKUP(A128, avaliacoes!A:G, 5, FALSE)</f>
        <v>Good product,Hdmi cable,Nice,Do buy without any doubt,Working as expected,Thanks Amazon for its premium choice,Good product,Works well and good quality</v>
      </c>
      <c r="O128" s="7" t="str">
        <f>VLOOKUP(A128, avaliacoes!A:G, 6, FALSE)</f>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v>
      </c>
    </row>
    <row r="129">
      <c r="A129" s="1" t="s">
        <v>530</v>
      </c>
      <c r="B129" s="1" t="s">
        <v>531</v>
      </c>
      <c r="C129" s="1" t="s">
        <v>87</v>
      </c>
      <c r="D129" s="1" t="str">
        <f t="shared" si="2"/>
        <v>Electronics</v>
      </c>
      <c r="E129" s="1" t="str">
        <f t="shared" si="3"/>
        <v>HomeTheater,TV&amp;Video</v>
      </c>
      <c r="F129" s="2">
        <v>9999.0</v>
      </c>
      <c r="G129" s="2">
        <v>27990.0</v>
      </c>
      <c r="H129" s="3">
        <f t="shared" si="4"/>
        <v>0.6427652733</v>
      </c>
      <c r="I129" s="4">
        <f>IFERROR(__xludf.DUMMYFUNCTION("GOOGLEFINANCE(""CURRENCY:INRBRL"")*F129"),596.7235496771999)</f>
        <v>596.7235497</v>
      </c>
      <c r="J129" s="1">
        <v>4.5</v>
      </c>
      <c r="K129" s="1">
        <v>1269.0</v>
      </c>
      <c r="L129" s="1" t="s">
        <v>532</v>
      </c>
      <c r="M129" s="6" t="s">
        <v>533</v>
      </c>
      <c r="N129" s="7" t="str">
        <f>VLOOKUP(A129, avaliacoes!A:G, 5, FALSE)</f>
        <v>IFalcon 32inch smart TV,It's good,Good in Smart TV,Better,Smart android tv,Value for money,Meet expectations,Nice product .</v>
      </c>
      <c r="O129" s="7" t="str">
        <f>VLOOKUP(A129, avaliacoes!A:G, 6, FALSE)</f>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v>
      </c>
    </row>
    <row r="130">
      <c r="A130" s="1" t="s">
        <v>534</v>
      </c>
      <c r="B130" s="1" t="s">
        <v>535</v>
      </c>
      <c r="C130" s="1" t="s">
        <v>216</v>
      </c>
      <c r="D130" s="1" t="str">
        <f t="shared" si="2"/>
        <v>Electronics</v>
      </c>
      <c r="E130" s="1" t="str">
        <f t="shared" si="3"/>
        <v>HomeTheater,TV&amp;Video</v>
      </c>
      <c r="F130" s="2">
        <v>349.0</v>
      </c>
      <c r="G130" s="2">
        <v>599.0</v>
      </c>
      <c r="H130" s="3">
        <f t="shared" si="4"/>
        <v>0.4173622705</v>
      </c>
      <c r="I130" s="4">
        <f>IFERROR(__xludf.DUMMYFUNCTION("GOOGLEFINANCE(""CURRENCY:INRBRL"")*F130"),20.827734657199997)</f>
        <v>20.82773466</v>
      </c>
      <c r="J130" s="1">
        <v>4.5</v>
      </c>
      <c r="K130" s="1">
        <v>284.0</v>
      </c>
      <c r="L130" s="1" t="s">
        <v>536</v>
      </c>
      <c r="M130" s="6" t="s">
        <v>537</v>
      </c>
      <c r="N130" s="7" t="str">
        <f>VLOOKUP(A130, avaliacoes!A:G, 5, FALSE)</f>
        <v>Works for LG 4K LED,Awesome product,Good copy Remote,This remote works!!! A relief!,Good replacement for the original remote control,Timely helped me for my TV,It will work(for me😊),Just works</v>
      </c>
      <c r="O130" s="7" t="str">
        <f>VLOOKUP(A130, avaliacoes!A:G, 6, FALSE)</f>
        <v>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v>
      </c>
    </row>
    <row r="131">
      <c r="A131" s="1" t="s">
        <v>538</v>
      </c>
      <c r="B131" s="1" t="s">
        <v>539</v>
      </c>
      <c r="C131" s="1" t="s">
        <v>540</v>
      </c>
      <c r="D131" s="1" t="str">
        <f t="shared" si="2"/>
        <v>Electronics</v>
      </c>
      <c r="E131" s="1" t="str">
        <f t="shared" si="3"/>
        <v>HomeTheater,TV&amp;Video</v>
      </c>
      <c r="F131" s="2">
        <v>489.0</v>
      </c>
      <c r="G131" s="2">
        <v>1200.0</v>
      </c>
      <c r="H131" s="3">
        <f t="shared" si="4"/>
        <v>0.5925</v>
      </c>
      <c r="I131" s="4">
        <f>IFERROR(__xludf.DUMMYFUNCTION("GOOGLEFINANCE(""CURRENCY:INRBRL"")*F131"),29.1826998492)</f>
        <v>29.18269985</v>
      </c>
      <c r="J131" s="1">
        <v>4.5</v>
      </c>
      <c r="K131" s="1">
        <v>69538.0</v>
      </c>
      <c r="L131" s="1" t="s">
        <v>541</v>
      </c>
      <c r="M131" s="6" t="s">
        <v>542</v>
      </c>
      <c r="N131" s="7" t="str">
        <f>VLOOKUP(A131, avaliacoes!A:G, 5, FALSE)</f>
        <v>Solid and quality material,Good product, everything good to buy,Clear and Cristal clear sound,Good,Super,Value for money,Good cable but over priced,Decent quality and 4.6M long</v>
      </c>
      <c r="O131" s="7" t="str">
        <f>VLOOKUP(A131, avaliacoes!A:G, 6, FALSE)</f>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v>
      </c>
    </row>
    <row r="132">
      <c r="A132" s="1" t="s">
        <v>543</v>
      </c>
      <c r="B132" s="1" t="s">
        <v>544</v>
      </c>
      <c r="C132" s="1" t="s">
        <v>87</v>
      </c>
      <c r="D132" s="1" t="str">
        <f t="shared" si="2"/>
        <v>Electronics</v>
      </c>
      <c r="E132" s="1" t="str">
        <f t="shared" si="3"/>
        <v>HomeTheater,TV&amp;Video</v>
      </c>
      <c r="F132" s="2">
        <v>23999.0</v>
      </c>
      <c r="G132" s="2">
        <v>34990.0</v>
      </c>
      <c r="H132" s="3">
        <f t="shared" si="4"/>
        <v>0.3141183195</v>
      </c>
      <c r="I132" s="4">
        <f>IFERROR(__xludf.DUMMYFUNCTION("GOOGLEFINANCE(""CURRENCY:INRBRL"")*F132"),1432.2200688772)</f>
        <v>1432.220069</v>
      </c>
      <c r="J132" s="1">
        <v>4.5</v>
      </c>
      <c r="K132" s="1">
        <v>4703.0</v>
      </c>
      <c r="L132" s="1" t="s">
        <v>371</v>
      </c>
      <c r="M132" s="6" t="s">
        <v>545</v>
      </c>
      <c r="N132" s="7" t="str">
        <f>VLOOKUP(A132, avaliacoes!A:G, 5, FALSE)</f>
        <v>Wonderful TV and Awful installation service from amazon,Acer Television Review,It's a good product for that price.,Good for the price,Almost a complete package,Nice Product,Good product,Super designed</v>
      </c>
      <c r="O132" s="7" t="str">
        <f>VLOOKUP(A132,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row>
    <row r="133">
      <c r="A133" s="1" t="s">
        <v>546</v>
      </c>
      <c r="B133" s="1" t="s">
        <v>547</v>
      </c>
      <c r="C133" s="1" t="s">
        <v>21</v>
      </c>
      <c r="D133" s="1" t="str">
        <f t="shared" si="2"/>
        <v>Computers&amp;Accessories</v>
      </c>
      <c r="E133" s="1" t="str">
        <f t="shared" si="3"/>
        <v>Accessories&amp;Peripherals</v>
      </c>
      <c r="F133" s="2">
        <v>399.0</v>
      </c>
      <c r="G133" s="2">
        <v>999.0</v>
      </c>
      <c r="H133" s="3">
        <f t="shared" si="4"/>
        <v>0.6006006006</v>
      </c>
      <c r="I133" s="4">
        <f>IFERROR(__xludf.DUMMYFUNCTION("GOOGLEFINANCE(""CURRENCY:INRBRL"")*F133"),23.8116507972)</f>
        <v>23.8116508</v>
      </c>
      <c r="J133" s="1">
        <v>4.5</v>
      </c>
      <c r="K133" s="1">
        <v>2806.0</v>
      </c>
      <c r="L133" s="1" t="s">
        <v>548</v>
      </c>
      <c r="M133" s="6" t="s">
        <v>549</v>
      </c>
      <c r="N133" s="7" t="str">
        <f>VLOOKUP(A133, avaliacoes!A:G, 5, FALSE)</f>
        <v>Good material, fast charging,Costly but good product,Support type c super fast charging,Good quality,Sturdy cable &amp; has decent charging capabilities.,Good buy.,Gud product.,Very good product</v>
      </c>
      <c r="O133" s="7" t="str">
        <f>VLOOKUP(A133, avaliacoes!A:G,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row>
    <row r="134">
      <c r="A134" s="1" t="s">
        <v>550</v>
      </c>
      <c r="B134" s="1" t="s">
        <v>551</v>
      </c>
      <c r="C134" s="1" t="s">
        <v>552</v>
      </c>
      <c r="D134" s="1" t="str">
        <f t="shared" si="2"/>
        <v>Electronics</v>
      </c>
      <c r="E134" s="1" t="str">
        <f t="shared" si="3"/>
        <v>HomeAudio</v>
      </c>
      <c r="F134" s="2">
        <v>349.0</v>
      </c>
      <c r="G134" s="2">
        <v>1299.0</v>
      </c>
      <c r="H134" s="3">
        <f t="shared" si="4"/>
        <v>0.7313317937</v>
      </c>
      <c r="I134" s="4">
        <f>IFERROR(__xludf.DUMMYFUNCTION("GOOGLEFINANCE(""CURRENCY:INRBRL"")*F134"),20.827734657199997)</f>
        <v>20.82773466</v>
      </c>
      <c r="J134" s="1">
        <v>4.0</v>
      </c>
      <c r="K134" s="1">
        <v>3295.0</v>
      </c>
      <c r="L134" s="1" t="s">
        <v>553</v>
      </c>
      <c r="M134" s="6" t="s">
        <v>554</v>
      </c>
      <c r="N134" s="7" t="str">
        <f>VLOOKUP(A134, avaliacoes!A:G, 5, FALSE)</f>
        <v>Good Quality but cheap color,Good product ,at this price,Good product,अच्छा है।,Nice product with finishing issues,Perfect Gen 3 Echo Dot Holder,Happy,Your power outlet has to bear the weight</v>
      </c>
      <c r="O134" s="7" t="str">
        <f>VLOOKUP(A134, avaliacoes!A:G, 6, FALSE)</f>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v>
      </c>
    </row>
    <row r="135">
      <c r="A135" s="1" t="s">
        <v>555</v>
      </c>
      <c r="B135" s="1" t="s">
        <v>556</v>
      </c>
      <c r="C135" s="1" t="s">
        <v>21</v>
      </c>
      <c r="D135" s="1" t="str">
        <f t="shared" si="2"/>
        <v>Computers&amp;Accessories</v>
      </c>
      <c r="E135" s="1" t="str">
        <f t="shared" si="3"/>
        <v>Accessories&amp;Peripherals</v>
      </c>
      <c r="F135" s="2">
        <v>179.0</v>
      </c>
      <c r="G135" s="2">
        <v>299.0</v>
      </c>
      <c r="H135" s="3">
        <f t="shared" si="4"/>
        <v>0.4013377926</v>
      </c>
      <c r="I135" s="4">
        <f>IFERROR(__xludf.DUMMYFUNCTION("GOOGLEFINANCE(""CURRENCY:INRBRL"")*F135"),10.682419781199998)</f>
        <v>10.68241978</v>
      </c>
      <c r="J135" s="1">
        <v>4.52</v>
      </c>
      <c r="K135" s="1">
        <v>81.0</v>
      </c>
      <c r="L135" s="1" t="s">
        <v>557</v>
      </c>
      <c r="M135" s="6" t="s">
        <v>558</v>
      </c>
      <c r="N135" s="7" t="str">
        <f>VLOOKUP(A135, avaliacoes!A:G, 5, FALSE)</f>
        <v>Very useful,Good Product,Good,Very very short wire,Good quality, suitable to use with Powerbank,Great,Not satisfactory,bad not use no working usb cebels no replec prodacts</v>
      </c>
      <c r="O135" s="7" t="str">
        <f>VLOOKUP(A135, avaliacoes!A:G, 6, FALSE)</f>
        <v>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v>
      </c>
    </row>
    <row r="136">
      <c r="A136" s="1" t="s">
        <v>559</v>
      </c>
      <c r="B136" s="1" t="s">
        <v>560</v>
      </c>
      <c r="C136" s="1" t="s">
        <v>21</v>
      </c>
      <c r="D136" s="1" t="str">
        <f t="shared" si="2"/>
        <v>Computers&amp;Accessories</v>
      </c>
      <c r="E136" s="1" t="str">
        <f t="shared" si="3"/>
        <v>Accessories&amp;Peripherals</v>
      </c>
      <c r="F136" s="2">
        <v>689.0</v>
      </c>
      <c r="G136" s="2">
        <v>1499.0</v>
      </c>
      <c r="H136" s="3">
        <f t="shared" si="4"/>
        <v>0.5403602402</v>
      </c>
      <c r="I136" s="4">
        <f>IFERROR(__xludf.DUMMYFUNCTION("GOOGLEFINANCE(""CURRENCY:INRBRL"")*F136"),41.1183644092)</f>
        <v>41.11836441</v>
      </c>
      <c r="J136" s="1">
        <v>4.5</v>
      </c>
      <c r="K136" s="1">
        <v>42301.0</v>
      </c>
      <c r="L136" s="1" t="s">
        <v>561</v>
      </c>
      <c r="M136" s="6" t="s">
        <v>562</v>
      </c>
      <c r="N136" s="7" t="str">
        <f>VLOOKUP(A136, avaliacoes!A:G, 5, FALSE)</f>
        <v>Sturdy and good quality,Small cable, works fine,Average,Good one,It affects iPhones’ battery health,Did not like,awesome product,Good</v>
      </c>
      <c r="O136" s="7" t="str">
        <f>VLOOKUP(A136, avaliacoes!A:G, 6, FALSE)</f>
        <v>https://m.media-amazon.com/images/I/71SaXlf9TZL._SY88.jpg,Small cable otherwise good,,I like the product.,Quality is good but after a month immediately I lose 9% of battery health so that’s why I stop using it,Not sturdy, cable will break in just weeks,i suggest this product,Nice</v>
      </c>
    </row>
    <row r="137">
      <c r="A137" s="1" t="s">
        <v>563</v>
      </c>
      <c r="B137" s="1" t="s">
        <v>564</v>
      </c>
      <c r="C137" s="1" t="s">
        <v>87</v>
      </c>
      <c r="D137" s="1" t="str">
        <f t="shared" si="2"/>
        <v>Electronics</v>
      </c>
      <c r="E137" s="1" t="str">
        <f t="shared" si="3"/>
        <v>HomeTheater,TV&amp;Video</v>
      </c>
      <c r="F137" s="2">
        <v>30990.0</v>
      </c>
      <c r="G137" s="2">
        <v>49990.0</v>
      </c>
      <c r="H137" s="3">
        <f t="shared" si="4"/>
        <v>0.3800760152</v>
      </c>
      <c r="I137" s="4">
        <f>IFERROR(__xludf.DUMMYFUNCTION("GOOGLEFINANCE(""CURRENCY:INRBRL"")*F137"),1849.431223572)</f>
        <v>1849.431224</v>
      </c>
      <c r="J137" s="1">
        <v>4.5</v>
      </c>
      <c r="K137" s="1">
        <v>1376.0</v>
      </c>
      <c r="L137" s="1" t="s">
        <v>565</v>
      </c>
      <c r="M137" s="6" t="s">
        <v>566</v>
      </c>
      <c r="N137" s="7" t="str">
        <f>VLOOKUP(A137, avaliacoes!A:G, 5, FALSE)</f>
        <v>Love Amazon but lg is misleading,Amazing product,Worst service from LG,Good,Simply beautiful,Satisfied with the TV,Great deal,It is quite ok</v>
      </c>
      <c r="O137" s="7" t="str">
        <f>VLOOKUP(A137, avaliacoes!A:G, 6, FALSE)</f>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v>
      </c>
    </row>
    <row r="138">
      <c r="A138" s="1" t="s">
        <v>567</v>
      </c>
      <c r="B138" s="1" t="s">
        <v>568</v>
      </c>
      <c r="C138" s="1" t="s">
        <v>21</v>
      </c>
      <c r="D138" s="1" t="str">
        <f t="shared" si="2"/>
        <v>Computers&amp;Accessories</v>
      </c>
      <c r="E138" s="1" t="str">
        <f t="shared" si="3"/>
        <v>Accessories&amp;Peripherals</v>
      </c>
      <c r="F138" s="2">
        <v>249.0</v>
      </c>
      <c r="G138" s="2">
        <v>931.0</v>
      </c>
      <c r="H138" s="3">
        <f t="shared" si="4"/>
        <v>0.7325456498</v>
      </c>
      <c r="I138" s="4">
        <f>IFERROR(__xludf.DUMMYFUNCTION("GOOGLEFINANCE(""CURRENCY:INRBRL"")*F138"),14.8599023772)</f>
        <v>14.85990238</v>
      </c>
      <c r="J138" s="1">
        <v>4.52</v>
      </c>
      <c r="K138" s="1">
        <v>1075.0</v>
      </c>
      <c r="L138" s="1" t="s">
        <v>569</v>
      </c>
      <c r="M138" s="6" t="s">
        <v>570</v>
      </c>
      <c r="N138" s="7" t="str">
        <f>VLOOKUP(A138,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138" s="7" t="str">
        <f>VLOOKUP(A138, avaliacoes!A:G,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row>
    <row r="139">
      <c r="A139" s="1" t="s">
        <v>571</v>
      </c>
      <c r="B139" s="1" t="s">
        <v>572</v>
      </c>
      <c r="C139" s="1" t="s">
        <v>71</v>
      </c>
      <c r="D139" s="1" t="str">
        <f t="shared" si="2"/>
        <v>Electronics</v>
      </c>
      <c r="E139" s="1" t="str">
        <f t="shared" si="3"/>
        <v>HomeTheater,TV&amp;Video</v>
      </c>
      <c r="F139" s="2">
        <v>999.0</v>
      </c>
      <c r="G139" s="2">
        <v>2399.0</v>
      </c>
      <c r="H139" s="3">
        <f t="shared" si="4"/>
        <v>0.5835764902</v>
      </c>
      <c r="I139" s="4">
        <f>IFERROR(__xludf.DUMMYFUNCTION("GOOGLEFINANCE(""CURRENCY:INRBRL"")*F139"),59.61864447719999)</f>
        <v>59.61864448</v>
      </c>
      <c r="J139" s="1">
        <v>4.51</v>
      </c>
      <c r="K139" s="1">
        <v>3664.0</v>
      </c>
      <c r="L139" s="1" t="s">
        <v>573</v>
      </c>
      <c r="M139" s="6" t="s">
        <v>574</v>
      </c>
      <c r="N139" s="7" t="str">
        <f>VLOOKUP(A139, avaliacoes!A:G, 5, FALSE)</f>
        <v>Fantastic Ultra High Speed HDMI cable,Amazing product,Regarding cable</v>
      </c>
      <c r="O139" s="7" t="str">
        <f>VLOOKUP(A139, avaliacoes!A:G, 6, FALSE)</f>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v>
      </c>
    </row>
    <row r="140">
      <c r="A140" s="1" t="s">
        <v>575</v>
      </c>
      <c r="B140" s="1" t="s">
        <v>576</v>
      </c>
      <c r="C140" s="1" t="s">
        <v>216</v>
      </c>
      <c r="D140" s="1" t="str">
        <f t="shared" si="2"/>
        <v>Electronics</v>
      </c>
      <c r="E140" s="1" t="str">
        <f t="shared" si="3"/>
        <v>HomeTheater,TV&amp;Video</v>
      </c>
      <c r="F140" s="2">
        <v>399.0</v>
      </c>
      <c r="G140" s="2">
        <v>399.0</v>
      </c>
      <c r="H140" s="3">
        <f t="shared" si="4"/>
        <v>0</v>
      </c>
      <c r="I140" s="4">
        <f>IFERROR(__xludf.DUMMYFUNCTION("GOOGLEFINANCE(""CURRENCY:INRBRL"")*F140"),23.8116507972)</f>
        <v>23.8116508</v>
      </c>
      <c r="J140" s="1">
        <v>4.52</v>
      </c>
      <c r="K140" s="1">
        <v>1951.0</v>
      </c>
      <c r="L140" s="1" t="s">
        <v>577</v>
      </c>
      <c r="M140" s="6" t="s">
        <v>578</v>
      </c>
      <c r="N140" s="7" t="str">
        <f>VLOOKUP(A140, avaliacoes!A:G, 5, FALSE)</f>
        <v>Works like Charm,Useful,Good,Very nice,Doesn't perform like an original.,Working properly,Most of the functions work,It’s Working</v>
      </c>
      <c r="O140" s="7" t="str">
        <f>VLOOKUP(A140, avaliacoes!A:G, 6, FALSE)</f>
        <v>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v>
      </c>
    </row>
    <row r="141">
      <c r="A141" s="1" t="s">
        <v>579</v>
      </c>
      <c r="B141" s="1" t="s">
        <v>580</v>
      </c>
      <c r="C141" s="1" t="s">
        <v>21</v>
      </c>
      <c r="D141" s="1" t="str">
        <f t="shared" si="2"/>
        <v>Computers&amp;Accessories</v>
      </c>
      <c r="E141" s="1" t="str">
        <f t="shared" si="3"/>
        <v>Accessories&amp;Peripherals</v>
      </c>
      <c r="F141" s="2">
        <v>349.0</v>
      </c>
      <c r="G141" s="2">
        <v>699.0</v>
      </c>
      <c r="H141" s="3">
        <f t="shared" si="4"/>
        <v>0.5007153076</v>
      </c>
      <c r="I141" s="4">
        <f>IFERROR(__xludf.DUMMYFUNCTION("GOOGLEFINANCE(""CURRENCY:INRBRL"")*F141"),20.827734657199997)</f>
        <v>20.82773466</v>
      </c>
      <c r="J141" s="1">
        <v>4.5</v>
      </c>
      <c r="K141" s="1">
        <v>2085.0</v>
      </c>
      <c r="L141" s="1" t="s">
        <v>581</v>
      </c>
      <c r="M141" s="6" t="s">
        <v>582</v>
      </c>
      <c r="N141" s="7" t="str">
        <f>VLOOKUP(A141, avaliacoes!A:G, 5, FALSE)</f>
        <v>Just buy it dont even 2nd guess it,Quality is good,Nylon braided quiet sturdy,Amazing,Feels like steel harnessed wire - strong,Sturdy and durable. Useful for charging Power Banks,good,Nice quality</v>
      </c>
      <c r="O141" s="7" t="str">
        <f>VLOOKUP(A141,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row>
    <row r="142">
      <c r="A142" s="1" t="s">
        <v>583</v>
      </c>
      <c r="B142" s="1" t="s">
        <v>584</v>
      </c>
      <c r="C142" s="1" t="s">
        <v>21</v>
      </c>
      <c r="D142" s="1" t="str">
        <f t="shared" si="2"/>
        <v>Computers&amp;Accessories</v>
      </c>
      <c r="E142" s="1" t="str">
        <f t="shared" si="3"/>
        <v>Accessories&amp;Peripherals</v>
      </c>
      <c r="F142" s="2">
        <v>399.0</v>
      </c>
      <c r="G142" s="2">
        <v>1099.0</v>
      </c>
      <c r="H142" s="3">
        <f t="shared" si="4"/>
        <v>0.6369426752</v>
      </c>
      <c r="I142" s="4">
        <f>IFERROR(__xludf.DUMMYFUNCTION("GOOGLEFINANCE(""CURRENCY:INRBRL"")*F142"),23.8116507972)</f>
        <v>23.8116508</v>
      </c>
      <c r="J142" s="1">
        <v>4.49</v>
      </c>
      <c r="K142" s="1">
        <v>2685.0</v>
      </c>
      <c r="L142" s="1" t="s">
        <v>585</v>
      </c>
      <c r="M142" s="6" t="s">
        <v>586</v>
      </c>
      <c r="N142" s="7" t="str">
        <f>VLOOKUP(A142, avaliacoes!A:G, 5, FALSE)</f>
        <v>Changing speed,Make it better,Superb Build Quality,Highly satisfied,Best Charging Cable Ever,Good value for money option,Cable quality,Nice</v>
      </c>
      <c r="O142" s="7" t="str">
        <f>VLOOKUP(A142, avaliacoes!A:G, 6, FALSE)</f>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v>
      </c>
    </row>
    <row r="143">
      <c r="A143" s="1" t="s">
        <v>587</v>
      </c>
      <c r="B143" s="1" t="s">
        <v>588</v>
      </c>
      <c r="C143" s="1" t="s">
        <v>54</v>
      </c>
      <c r="D143" s="1" t="str">
        <f t="shared" si="2"/>
        <v>Computers&amp;Accessories</v>
      </c>
      <c r="E143" s="1" t="str">
        <f t="shared" si="3"/>
        <v>NetworkingDevices</v>
      </c>
      <c r="F143" s="2">
        <v>1699.0</v>
      </c>
      <c r="G143" s="2">
        <v>2999.0</v>
      </c>
      <c r="H143" s="3">
        <f t="shared" si="4"/>
        <v>0.4334778259</v>
      </c>
      <c r="I143" s="4">
        <f>IFERROR(__xludf.DUMMYFUNCTION("GOOGLEFINANCE(""CURRENCY:INRBRL"")*F143"),101.3934704372)</f>
        <v>101.3934704</v>
      </c>
      <c r="J143" s="1">
        <v>4.5</v>
      </c>
      <c r="K143" s="1">
        <v>2478.0</v>
      </c>
      <c r="L143" s="1" t="s">
        <v>589</v>
      </c>
      <c r="M143" s="6" t="s">
        <v>590</v>
      </c>
      <c r="N143" s="7" t="str">
        <f>VLOOKUP(A143, avaliacoes!A:G, 5, FALSE)</f>
        <v>Works flawlessly on Ubuntu 22.04 (if installed correctly),Best for kali. Do not read another review.,Nice product,From 0 to 70 …,Good External Wifi Signal Provider,Superb,Awesome and easy to use,Good product</v>
      </c>
      <c r="O143" s="7" t="str">
        <f>VLOOKUP(A143, avaliacoes!A:G,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row>
    <row r="144">
      <c r="A144" s="1" t="s">
        <v>591</v>
      </c>
      <c r="B144" s="1" t="s">
        <v>592</v>
      </c>
      <c r="C144" s="1" t="s">
        <v>216</v>
      </c>
      <c r="D144" s="1" t="str">
        <f t="shared" si="2"/>
        <v>Electronics</v>
      </c>
      <c r="E144" s="1" t="str">
        <f t="shared" si="3"/>
        <v>HomeTheater,TV&amp;Video</v>
      </c>
      <c r="F144" s="2">
        <v>655.0</v>
      </c>
      <c r="G144" s="2">
        <v>1099.0</v>
      </c>
      <c r="H144" s="3">
        <f t="shared" si="4"/>
        <v>0.4040036397</v>
      </c>
      <c r="I144" s="4">
        <f>IFERROR(__xludf.DUMMYFUNCTION("GOOGLEFINANCE(""CURRENCY:INRBRL"")*F144"),39.089301434)</f>
        <v>39.08930143</v>
      </c>
      <c r="J144" s="1">
        <v>4.5</v>
      </c>
      <c r="K144" s="1">
        <v>285.0</v>
      </c>
      <c r="L144" s="1" t="s">
        <v>593</v>
      </c>
      <c r="M144" s="6" t="s">
        <v>594</v>
      </c>
      <c r="N144" s="7" t="str">
        <f>VLOOKUP(A144, avaliacoes!A:G, 5, FALSE)</f>
        <v>Rmote for MI TV,Good,Good but low quality,Remote is faulty . It looses it's connectivity with the tv atleast 50 times in a day.,Failure of the Unit.,All good, except voice recognition,But for first time user. Manually switch on and then pair. After pairing it's good,working good</v>
      </c>
      <c r="O144" s="7" t="str">
        <f>VLOOKUP(A144, avaliacoes!A:G, 6, FALSE)</f>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v>
      </c>
    </row>
    <row r="145">
      <c r="A145" s="1" t="s">
        <v>595</v>
      </c>
      <c r="B145" s="1" t="s">
        <v>596</v>
      </c>
      <c r="C145" s="1" t="s">
        <v>54</v>
      </c>
      <c r="D145" s="1" t="str">
        <f t="shared" si="2"/>
        <v>Computers&amp;Accessories</v>
      </c>
      <c r="E145" s="1" t="str">
        <f t="shared" si="3"/>
        <v>NetworkingDevices</v>
      </c>
      <c r="F145" s="2">
        <v>749.0</v>
      </c>
      <c r="G145" s="2">
        <v>1339.0</v>
      </c>
      <c r="H145" s="3">
        <f t="shared" si="4"/>
        <v>0.4406273338</v>
      </c>
      <c r="I145" s="4">
        <f>IFERROR(__xludf.DUMMYFUNCTION("GOOGLEFINANCE(""CURRENCY:INRBRL"")*F145"),44.699063777199996)</f>
        <v>44.69906378</v>
      </c>
      <c r="J145" s="1">
        <v>4.5</v>
      </c>
      <c r="K145" s="1">
        <v>179692.0</v>
      </c>
      <c r="L145" s="1" t="s">
        <v>597</v>
      </c>
      <c r="M145" s="6" t="s">
        <v>598</v>
      </c>
      <c r="N145" s="7" t="str">
        <f>VLOOKUP(A145, avaliacoes!A:G,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145" s="7" t="str">
        <f>VLOOKUP(A145, avaliacoes!A:G,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row>
    <row r="146">
      <c r="A146" s="1" t="s">
        <v>599</v>
      </c>
      <c r="B146" s="1" t="s">
        <v>600</v>
      </c>
      <c r="C146" s="1" t="s">
        <v>87</v>
      </c>
      <c r="D146" s="1" t="str">
        <f t="shared" si="2"/>
        <v>Electronics</v>
      </c>
      <c r="E146" s="1" t="str">
        <f t="shared" si="3"/>
        <v>HomeTheater,TV&amp;Video</v>
      </c>
      <c r="F146" s="2">
        <v>9999.0</v>
      </c>
      <c r="G146" s="2">
        <v>12999.0</v>
      </c>
      <c r="H146" s="3">
        <f t="shared" si="4"/>
        <v>0.2307869836</v>
      </c>
      <c r="I146" s="4">
        <f>IFERROR(__xludf.DUMMYFUNCTION("GOOGLEFINANCE(""CURRENCY:INRBRL"")*F146"),596.7235496771999)</f>
        <v>596.7235497</v>
      </c>
      <c r="J146" s="1">
        <v>4.5</v>
      </c>
      <c r="K146" s="1">
        <v>6088.0</v>
      </c>
      <c r="L146" s="1" t="s">
        <v>601</v>
      </c>
      <c r="M146" s="6" t="s">
        <v>602</v>
      </c>
      <c r="N146" s="7" t="str">
        <f>VLOOKUP(A146, avaliacoes!A:G, 5, FALSE)</f>
        <v>An unbiased look at the Kodak TV,Sound good,It's really worthy and the most affordable,Not bad!!!,a value TV for the price,Good in all respect,Kodak tv,Smart tv</v>
      </c>
      <c r="O146" s="7" t="str">
        <f>VLOOKUP(A146, avaliacoes!A:G, 6, FALSE)</f>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v>
      </c>
    </row>
    <row r="147">
      <c r="A147" s="1" t="s">
        <v>603</v>
      </c>
      <c r="B147" s="1" t="s">
        <v>604</v>
      </c>
      <c r="C147" s="1" t="s">
        <v>216</v>
      </c>
      <c r="D147" s="1" t="str">
        <f t="shared" si="2"/>
        <v>Electronics</v>
      </c>
      <c r="E147" s="1" t="str">
        <f t="shared" si="3"/>
        <v>HomeTheater,TV&amp;Video</v>
      </c>
      <c r="F147" s="2">
        <v>195.0</v>
      </c>
      <c r="G147" s="2">
        <v>499.0</v>
      </c>
      <c r="H147" s="3">
        <f t="shared" si="4"/>
        <v>0.6092184369</v>
      </c>
      <c r="I147" s="4">
        <f>IFERROR(__xludf.DUMMYFUNCTION("GOOGLEFINANCE(""CURRENCY:INRBRL"")*F147"),11.637272946)</f>
        <v>11.63727295</v>
      </c>
      <c r="J147" s="1">
        <v>4.51</v>
      </c>
      <c r="K147" s="1">
        <v>1383.0</v>
      </c>
      <c r="L147" s="1" t="s">
        <v>605</v>
      </c>
      <c r="M147" s="6" t="s">
        <v>606</v>
      </c>
      <c r="N147" s="7" t="str">
        <f>VLOOKUP(A147, avaliacoes!A:G, 5, FALSE)</f>
        <v>Good product,Not bad,WORKING WITH Airtel DTH,Good,Ok not bad,This was so old,Not bed !,Worst product</v>
      </c>
      <c r="O147" s="7" t="str">
        <f>VLOOKUP(A147, avaliacoes!A:G, 6, FALSE)</f>
        <v>Value of money,Usually  gd,Good Product,Good,Quality is poor and responce is late,This it what you've been looking for I guess,Quality is okk , not bed it all but it's body is not proper tight or fixed.,The product is of poor quality and seems like duplicate. Remote doesn’t work properly.</v>
      </c>
    </row>
    <row r="148">
      <c r="A148" s="1" t="s">
        <v>607</v>
      </c>
      <c r="B148" s="1" t="s">
        <v>608</v>
      </c>
      <c r="C148" s="1" t="s">
        <v>21</v>
      </c>
      <c r="D148" s="1" t="str">
        <f t="shared" si="2"/>
        <v>Computers&amp;Accessories</v>
      </c>
      <c r="E148" s="1" t="str">
        <f t="shared" si="3"/>
        <v>Accessories&amp;Peripherals</v>
      </c>
      <c r="F148" s="2">
        <v>999.0</v>
      </c>
      <c r="G148" s="2">
        <v>2100.0</v>
      </c>
      <c r="H148" s="3">
        <f t="shared" si="4"/>
        <v>0.5242857143</v>
      </c>
      <c r="I148" s="4">
        <f>IFERROR(__xludf.DUMMYFUNCTION("GOOGLEFINANCE(""CURRENCY:INRBRL"")*F148"),59.61864447719999)</f>
        <v>59.61864448</v>
      </c>
      <c r="J148" s="1">
        <v>4.51</v>
      </c>
      <c r="K148" s="1">
        <v>5492.0</v>
      </c>
      <c r="L148" s="1" t="s">
        <v>233</v>
      </c>
      <c r="M148" s="6" t="s">
        <v>609</v>
      </c>
      <c r="N148" s="7" t="str">
        <f>VLOOKUP(A148, avaliacoes!A:G, 5, FALSE)</f>
        <v>Good,QUALITY IS GOOD,Value for money product,Very nice,Not supporting for CarPlay,Good,1 month review,strong enough</v>
      </c>
      <c r="O148" s="7" t="str">
        <f>VLOOKUP(A148, avaliacoes!A:G, 6, FALSE)</f>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v>
      </c>
    </row>
    <row r="149">
      <c r="A149" s="1" t="s">
        <v>610</v>
      </c>
      <c r="B149" s="1" t="s">
        <v>611</v>
      </c>
      <c r="C149" s="1" t="s">
        <v>21</v>
      </c>
      <c r="D149" s="1" t="str">
        <f t="shared" si="2"/>
        <v>Computers&amp;Accessories</v>
      </c>
      <c r="E149" s="1" t="str">
        <f t="shared" si="3"/>
        <v>Accessories&amp;Peripherals</v>
      </c>
      <c r="F149" s="2">
        <v>499.0</v>
      </c>
      <c r="G149" s="2">
        <v>899.0</v>
      </c>
      <c r="H149" s="3">
        <f t="shared" si="4"/>
        <v>0.4449388209</v>
      </c>
      <c r="I149" s="4">
        <f>IFERROR(__xludf.DUMMYFUNCTION("GOOGLEFINANCE(""CURRENCY:INRBRL"")*F149"),29.7794830772)</f>
        <v>29.77948308</v>
      </c>
      <c r="J149" s="1">
        <v>4.5</v>
      </c>
      <c r="K149" s="1">
        <v>919.0</v>
      </c>
      <c r="L149" s="1" t="s">
        <v>612</v>
      </c>
      <c r="M149" s="6" t="s">
        <v>613</v>
      </c>
      <c r="N149" s="7" t="str">
        <f>VLOOKUP(A149, avaliacoes!A:G, 5, FALSE)</f>
        <v>Durable,Good Product,Okay 👌,So far so good,An absolute best,Good cable,Worth the money,Good for charging Not good for data transfer</v>
      </c>
      <c r="O149" s="7" t="str">
        <f>VLOOKUP(A149, avaliacoes!A:G, 6, FALSE)</f>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v>
      </c>
    </row>
    <row r="150">
      <c r="A150" s="1" t="s">
        <v>614</v>
      </c>
      <c r="B150" s="1" t="s">
        <v>615</v>
      </c>
      <c r="C150" s="1" t="s">
        <v>616</v>
      </c>
      <c r="D150" s="1" t="str">
        <f t="shared" si="2"/>
        <v>Electronics</v>
      </c>
      <c r="E150" s="1" t="str">
        <f t="shared" si="3"/>
        <v>HomeTheater,TV&amp;Video</v>
      </c>
      <c r="F150" s="2">
        <v>416.0</v>
      </c>
      <c r="G150" s="2">
        <v>599.0</v>
      </c>
      <c r="H150" s="3">
        <f t="shared" si="4"/>
        <v>0.305509182</v>
      </c>
      <c r="I150" s="4">
        <f>IFERROR(__xludf.DUMMYFUNCTION("GOOGLEFINANCE(""CURRENCY:INRBRL"")*F150"),24.826182284799998)</f>
        <v>24.82618228</v>
      </c>
      <c r="J150" s="1">
        <v>4.5</v>
      </c>
      <c r="K150" s="1">
        <v>30023.0</v>
      </c>
      <c r="L150" s="1" t="s">
        <v>617</v>
      </c>
      <c r="M150" s="6" t="s">
        <v>618</v>
      </c>
      <c r="N150" s="7" t="str">
        <f>VLOOKUP(A150, avaliacoes!A:G, 5, FALSE)</f>
        <v>Value for Money,A good upgrade from stock cable.,GOOD CABLE,Value for the money,Great buy,Overall good,Awesome experience,Worked as expected</v>
      </c>
      <c r="O150" s="7" t="str">
        <f>VLOOKUP(A150, avaliacoes!A:G, 6, FALSE)</f>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v>
      </c>
    </row>
    <row r="151">
      <c r="A151" s="1" t="s">
        <v>619</v>
      </c>
      <c r="B151" s="1" t="s">
        <v>620</v>
      </c>
      <c r="C151" s="1" t="s">
        <v>21</v>
      </c>
      <c r="D151" s="1" t="str">
        <f t="shared" si="2"/>
        <v>Computers&amp;Accessories</v>
      </c>
      <c r="E151" s="1" t="str">
        <f t="shared" si="3"/>
        <v>Accessories&amp;Peripherals</v>
      </c>
      <c r="F151" s="2">
        <v>368.0</v>
      </c>
      <c r="G151" s="2">
        <v>699.0</v>
      </c>
      <c r="H151" s="3">
        <f t="shared" si="4"/>
        <v>0.4735336195</v>
      </c>
      <c r="I151" s="4">
        <f>IFERROR(__xludf.DUMMYFUNCTION("GOOGLEFINANCE(""CURRENCY:INRBRL"")*F151"),21.9616227904)</f>
        <v>21.96162279</v>
      </c>
      <c r="J151" s="1">
        <v>4.5</v>
      </c>
      <c r="K151" s="1">
        <v>387.0</v>
      </c>
      <c r="L151" s="1" t="s">
        <v>621</v>
      </c>
      <c r="M151" s="6" t="s">
        <v>622</v>
      </c>
      <c r="N151" s="7" t="str">
        <f>VLOOKUP(A151, avaliacoes!A:G, 5, FALSE)</f>
        <v>Superb,Reviewing after 3 months of use,Good braided cable.,The best cable. Very useful.,0k,Does The Job,superb  Product !!!,It's fast charging cable.</v>
      </c>
      <c r="O151" s="7" t="str">
        <f>VLOOKUP(A151, avaliacoes!A:G, 6, FALSE)</f>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v>
      </c>
    </row>
    <row r="152">
      <c r="A152" s="1" t="s">
        <v>623</v>
      </c>
      <c r="B152" s="1" t="s">
        <v>624</v>
      </c>
      <c r="C152" s="1" t="s">
        <v>87</v>
      </c>
      <c r="D152" s="1" t="str">
        <f t="shared" si="2"/>
        <v>Electronics</v>
      </c>
      <c r="E152" s="1" t="str">
        <f t="shared" si="3"/>
        <v>HomeTheater,TV&amp;Video</v>
      </c>
      <c r="F152" s="2">
        <v>29990.0</v>
      </c>
      <c r="G152" s="2">
        <v>65000.0</v>
      </c>
      <c r="H152" s="3">
        <f t="shared" si="4"/>
        <v>0.5386153846</v>
      </c>
      <c r="I152" s="4">
        <f>IFERROR(__xludf.DUMMYFUNCTION("GOOGLEFINANCE(""CURRENCY:INRBRL"")*F152"),1789.752900772)</f>
        <v>1789.752901</v>
      </c>
      <c r="J152" s="1">
        <v>4.49</v>
      </c>
      <c r="K152" s="1">
        <v>211.0</v>
      </c>
      <c r="L152" s="1" t="s">
        <v>625</v>
      </c>
      <c r="M152" s="6" t="s">
        <v>626</v>
      </c>
      <c r="N152" s="7" t="str">
        <f>VLOOKUP(A152, avaliacoes!A:G, 5, FALSE)</f>
        <v>Valume for money,Can’t turn off HDR in webOS while watching android apps,Webos, Magic remote &amp; LG like UI at 19k,Satisfied,Good,Value for money,Exchange Offer AND Extended Warranty of 2 Yrsnot been Given,Overall a good product and Value for money</v>
      </c>
      <c r="O152" s="7" t="str">
        <f>VLOOKUP(A152, avaliacoes!A:G, 6, FALSE)</f>
        <v>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v>
      </c>
    </row>
    <row r="153">
      <c r="A153" s="1" t="s">
        <v>627</v>
      </c>
      <c r="B153" s="1" t="s">
        <v>628</v>
      </c>
      <c r="C153" s="1" t="s">
        <v>21</v>
      </c>
      <c r="D153" s="1" t="str">
        <f t="shared" si="2"/>
        <v>Computers&amp;Accessories</v>
      </c>
      <c r="E153" s="1" t="str">
        <f t="shared" si="3"/>
        <v>Accessories&amp;Peripherals</v>
      </c>
      <c r="F153" s="2">
        <v>339.0</v>
      </c>
      <c r="G153" s="2">
        <v>1099.0</v>
      </c>
      <c r="H153" s="3">
        <f t="shared" si="4"/>
        <v>0.6915377616</v>
      </c>
      <c r="I153" s="4">
        <f>IFERROR(__xludf.DUMMYFUNCTION("GOOGLEFINANCE(""CURRENCY:INRBRL"")*F153"),20.230951429199997)</f>
        <v>20.23095143</v>
      </c>
      <c r="J153" s="1">
        <v>4.5</v>
      </c>
      <c r="K153" s="1">
        <v>974.0</v>
      </c>
      <c r="L153" s="1" t="s">
        <v>629</v>
      </c>
      <c r="M153" s="6" t="s">
        <v>630</v>
      </c>
      <c r="N153" s="7" t="str">
        <f>VLOOKUP(A153, avaliacoes!A:G, 5, FALSE)</f>
        <v>Great Cable, Charging Speeds Could Be Better,Good,A good cable.,One of the best type c cable,Works as intended.,A good buy. The extra length helps a lot.,Good,Ok</v>
      </c>
      <c r="O153" s="7" t="str">
        <f>VLOOKUP(A153, avaliacoes!A:G,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row>
    <row r="154">
      <c r="A154" s="1" t="s">
        <v>631</v>
      </c>
      <c r="B154" s="1" t="s">
        <v>632</v>
      </c>
      <c r="C154" s="1" t="s">
        <v>87</v>
      </c>
      <c r="D154" s="1" t="str">
        <f t="shared" si="2"/>
        <v>Electronics</v>
      </c>
      <c r="E154" s="1" t="str">
        <f t="shared" si="3"/>
        <v>HomeTheater,TV&amp;Video</v>
      </c>
      <c r="F154" s="2">
        <v>15490.0</v>
      </c>
      <c r="G154" s="2">
        <v>20900.0</v>
      </c>
      <c r="H154" s="3">
        <f t="shared" si="4"/>
        <v>0.2588516746</v>
      </c>
      <c r="I154" s="4">
        <f>IFERROR(__xludf.DUMMYFUNCTION("GOOGLEFINANCE(""CURRENCY:INRBRL"")*F154"),924.4172201719999)</f>
        <v>924.4172202</v>
      </c>
      <c r="J154" s="1">
        <v>4.5</v>
      </c>
      <c r="K154" s="1">
        <v>16299.0</v>
      </c>
      <c r="L154" s="1" t="s">
        <v>633</v>
      </c>
      <c r="M154" s="6" t="s">
        <v>634</v>
      </c>
      <c r="N154" s="7" t="str">
        <f>VLOOKUP(A154, avaliacoes!A:G, 5, FALSE)</f>
        <v>Good,Sound is very low another brand comparing in better,Service provider not meet my home refuse, tv i am not using bad service,Good product,Ok super,Floor stand does not come with it ...,Good,A budget friendly TV with a clumsy UI and Remote</v>
      </c>
      <c r="O154" s="7" t="str">
        <f>VLOOKUP(A154, avaliacoes!A:G,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row>
    <row r="155">
      <c r="A155" s="1" t="s">
        <v>635</v>
      </c>
      <c r="B155" s="1" t="s">
        <v>636</v>
      </c>
      <c r="C155" s="1" t="s">
        <v>21</v>
      </c>
      <c r="D155" s="1" t="str">
        <f t="shared" si="2"/>
        <v>Computers&amp;Accessories</v>
      </c>
      <c r="E155" s="1" t="str">
        <f t="shared" si="3"/>
        <v>Accessories&amp;Peripherals</v>
      </c>
      <c r="F155" s="2">
        <v>499.0</v>
      </c>
      <c r="G155" s="2">
        <v>1299.0</v>
      </c>
      <c r="H155" s="3">
        <f t="shared" si="4"/>
        <v>0.6158583526</v>
      </c>
      <c r="I155" s="4">
        <f>IFERROR(__xludf.DUMMYFUNCTION("GOOGLEFINANCE(""CURRENCY:INRBRL"")*F155"),29.7794830772)</f>
        <v>29.77948308</v>
      </c>
      <c r="J155" s="1">
        <v>4.5</v>
      </c>
      <c r="K155" s="1">
        <v>30411.0</v>
      </c>
      <c r="L155" s="1" t="s">
        <v>637</v>
      </c>
      <c r="M155" s="6" t="s">
        <v>638</v>
      </c>
      <c r="N155" s="7" t="str">
        <f>VLOOKUP(A155, avaliacoes!A:G, 5, FALSE)</f>
        <v>Worth for money - suitable for Android auto,Good Product,Length,Nice,Original,Very good quay Cable support fast charging.,Original MI cable for charging upto 33 watt,I am veri happy with this product as it provide turbo charging.</v>
      </c>
      <c r="O155" s="7" t="str">
        <f>VLOOKUP(A155, avaliacoes!A:G,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row>
    <row r="156">
      <c r="A156" s="1" t="s">
        <v>639</v>
      </c>
      <c r="B156" s="1" t="s">
        <v>640</v>
      </c>
      <c r="C156" s="1" t="s">
        <v>54</v>
      </c>
      <c r="D156" s="1" t="str">
        <f t="shared" si="2"/>
        <v>Computers&amp;Accessories</v>
      </c>
      <c r="E156" s="1" t="str">
        <f t="shared" si="3"/>
        <v>NetworkingDevices</v>
      </c>
      <c r="F156" s="2">
        <v>249.0</v>
      </c>
      <c r="G156" s="2">
        <v>399.0</v>
      </c>
      <c r="H156" s="3">
        <f t="shared" si="4"/>
        <v>0.3759398496</v>
      </c>
      <c r="I156" s="4">
        <f>IFERROR(__xludf.DUMMYFUNCTION("GOOGLEFINANCE(""CURRENCY:INRBRL"")*F156"),14.8599023772)</f>
        <v>14.85990238</v>
      </c>
      <c r="J156" s="1">
        <v>4.5</v>
      </c>
      <c r="K156" s="1">
        <v>4642.0</v>
      </c>
      <c r="L156" s="1" t="s">
        <v>641</v>
      </c>
      <c r="M156" s="6" t="s">
        <v>642</v>
      </c>
      <c r="N156" s="7" t="str">
        <f>VLOOKUP(A156, avaliacoes!A:G, 5, FALSE)</f>
        <v>Install CSR Driver For Advanced Features + Stability (More Than Just Bluetooth),Thik h,Driver installation CD was missing from the package.,Not compatible for office usage,Spr,THIS IS MY 2ND ORDER,Waste of time &amp; Money , Not recommend,Wrong product delivered.</v>
      </c>
      <c r="O156" s="7" t="str">
        <f>VLOOKUP(A156, avaliacoes!A:G, 6, FALSE)</f>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v>
      </c>
    </row>
    <row r="157">
      <c r="A157" s="1" t="s">
        <v>643</v>
      </c>
      <c r="B157" s="1" t="s">
        <v>644</v>
      </c>
      <c r="C157" s="1" t="s">
        <v>216</v>
      </c>
      <c r="D157" s="1" t="str">
        <f t="shared" si="2"/>
        <v>Electronics</v>
      </c>
      <c r="E157" s="1" t="str">
        <f t="shared" si="3"/>
        <v>HomeTheater,TV&amp;Video</v>
      </c>
      <c r="F157" s="2">
        <v>399.0</v>
      </c>
      <c r="G157" s="2">
        <v>799.0</v>
      </c>
      <c r="H157" s="3">
        <f t="shared" si="4"/>
        <v>0.5006257822</v>
      </c>
      <c r="I157" s="4">
        <f>IFERROR(__xludf.DUMMYFUNCTION("GOOGLEFINANCE(""CURRENCY:INRBRL"")*F157"),23.8116507972)</f>
        <v>23.8116508</v>
      </c>
      <c r="J157" s="1">
        <v>4.5</v>
      </c>
      <c r="K157" s="1">
        <v>12.0</v>
      </c>
      <c r="L157" s="1" t="s">
        <v>645</v>
      </c>
      <c r="M157" s="6" t="s">
        <v>646</v>
      </c>
      <c r="N157" s="7" t="str">
        <f>VLOOKUP(A157, avaliacoes!A:G, 5, FALSE)</f>
        <v>do not buy</v>
      </c>
      <c r="O157" s="7" t="str">
        <f>VLOOKUP(A157, avaliacoes!A:G, 6, FALSE)</f>
        <v>tv on off not working, so difficult to battery really a bad product</v>
      </c>
    </row>
    <row r="158">
      <c r="A158" s="1" t="s">
        <v>647</v>
      </c>
      <c r="B158" s="1" t="s">
        <v>648</v>
      </c>
      <c r="C158" s="1" t="s">
        <v>21</v>
      </c>
      <c r="D158" s="1" t="str">
        <f t="shared" si="2"/>
        <v>Computers&amp;Accessories</v>
      </c>
      <c r="E158" s="1" t="str">
        <f t="shared" si="3"/>
        <v>Accessories&amp;Peripherals</v>
      </c>
      <c r="F158" s="2">
        <v>1499.0</v>
      </c>
      <c r="G158" s="2">
        <v>1999.0</v>
      </c>
      <c r="H158" s="3">
        <f t="shared" si="4"/>
        <v>0.2501250625</v>
      </c>
      <c r="I158" s="4">
        <f>IFERROR(__xludf.DUMMYFUNCTION("GOOGLEFINANCE(""CURRENCY:INRBRL"")*F158"),89.45780587719999)</f>
        <v>89.45780588</v>
      </c>
      <c r="J158" s="1">
        <v>4.5</v>
      </c>
      <c r="K158" s="1">
        <v>1951.0</v>
      </c>
      <c r="L158" s="1" t="s">
        <v>649</v>
      </c>
      <c r="M158" s="6" t="s">
        <v>650</v>
      </c>
      <c r="N158" s="7" t="str">
        <f>VLOOKUP(A158, avaliacoes!A:G, 5, FALSE)</f>
        <v>Perfect product,Better than the original cable,Better then original,Good,The Very Best,Works absolutely fine,Charging is very slow.,Best Product</v>
      </c>
      <c r="O158" s="7" t="str">
        <f>VLOOKUP(A158, avaliacoes!A:G, 6, FALSE)</f>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v>
      </c>
    </row>
    <row r="159">
      <c r="A159" s="1" t="s">
        <v>651</v>
      </c>
      <c r="B159" s="1" t="s">
        <v>652</v>
      </c>
      <c r="C159" s="1" t="s">
        <v>653</v>
      </c>
      <c r="D159" s="1" t="str">
        <f t="shared" si="2"/>
        <v>Electronics</v>
      </c>
      <c r="E159" s="1" t="str">
        <f t="shared" si="3"/>
        <v>HomeTheater,TV&amp;Video</v>
      </c>
      <c r="F159" s="2">
        <v>9490.0</v>
      </c>
      <c r="G159" s="2">
        <v>15990.0</v>
      </c>
      <c r="H159" s="3">
        <f t="shared" si="4"/>
        <v>0.406504065</v>
      </c>
      <c r="I159" s="4">
        <f>IFERROR(__xludf.DUMMYFUNCTION("GOOGLEFINANCE(""CURRENCY:INRBRL"")*F159"),566.347283372)</f>
        <v>566.3472834</v>
      </c>
      <c r="J159" s="1">
        <v>4.52</v>
      </c>
      <c r="K159" s="1">
        <v>1048.0</v>
      </c>
      <c r="L159" s="1" t="s">
        <v>654</v>
      </c>
      <c r="M159" s="6" t="s">
        <v>655</v>
      </c>
      <c r="N159" s="7" t="str">
        <f>VLOOKUP(A159, avaliacoes!A:G, 5, FALSE)</f>
        <v>VFM and kudos to egate to launch a fhd projector at the lowest price and it is not bad at all,Good Bluetooth Projector,What more can you ask for at this price!!?,Good for winter nights.,Nice purchase,Value for money,WORTH EVERY PENNY SPENT...,Value for money</v>
      </c>
      <c r="O159" s="7" t="str">
        <f>VLOOKUP(A159, avaliacoes!A:G, 6, FALSE)</f>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v>
      </c>
    </row>
    <row r="160">
      <c r="A160" s="1" t="s">
        <v>656</v>
      </c>
      <c r="B160" s="1" t="s">
        <v>657</v>
      </c>
      <c r="C160" s="1" t="s">
        <v>71</v>
      </c>
      <c r="D160" s="1" t="str">
        <f t="shared" si="2"/>
        <v>Electronics</v>
      </c>
      <c r="E160" s="1" t="str">
        <f t="shared" si="3"/>
        <v>HomeTheater,TV&amp;Video</v>
      </c>
      <c r="F160" s="2">
        <v>637.0</v>
      </c>
      <c r="G160" s="2">
        <v>1499.0</v>
      </c>
      <c r="H160" s="3">
        <f t="shared" si="4"/>
        <v>0.5750500334</v>
      </c>
      <c r="I160" s="4">
        <f>IFERROR(__xludf.DUMMYFUNCTION("GOOGLEFINANCE(""CURRENCY:INRBRL"")*F160"),38.0150916236)</f>
        <v>38.01509162</v>
      </c>
      <c r="J160" s="1">
        <v>4.49</v>
      </c>
      <c r="K160" s="1">
        <v>24.0</v>
      </c>
      <c r="L160" s="1" t="s">
        <v>658</v>
      </c>
      <c r="M160" s="6" t="s">
        <v>659</v>
      </c>
      <c r="N160" s="7" t="str">
        <f>VLOOKUP(A160, avaliacoes!A:G, 5, FALSE)</f>
        <v>good,Worth product,Good quality,Very good HDMI 2.1 cable,Best hdmi 2.1 cable 8k 60hz / 4k 120hz,Did not like the quality and when connected I see a red color picture,Value for money  must buy it for eArc</v>
      </c>
      <c r="O160" s="7" t="str">
        <f>VLOOKUP(A160, avaliacoes!A:G, 6, FALSE)</f>
        <v>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v>
      </c>
    </row>
    <row r="161">
      <c r="A161" s="1" t="s">
        <v>660</v>
      </c>
      <c r="B161" s="1" t="s">
        <v>661</v>
      </c>
      <c r="C161" s="1" t="s">
        <v>216</v>
      </c>
      <c r="D161" s="1" t="str">
        <f t="shared" si="2"/>
        <v>Electronics</v>
      </c>
      <c r="E161" s="1" t="str">
        <f t="shared" si="3"/>
        <v>HomeTheater,TV&amp;Video</v>
      </c>
      <c r="F161" s="2">
        <v>399.0</v>
      </c>
      <c r="G161" s="2">
        <v>899.0</v>
      </c>
      <c r="H161" s="3">
        <f t="shared" si="4"/>
        <v>0.5561735261</v>
      </c>
      <c r="I161" s="4">
        <f>IFERROR(__xludf.DUMMYFUNCTION("GOOGLEFINANCE(""CURRENCY:INRBRL"")*F161"),23.8116507972)</f>
        <v>23.8116508</v>
      </c>
      <c r="J161" s="1">
        <v>4.52</v>
      </c>
      <c r="K161" s="1">
        <v>254.0</v>
      </c>
      <c r="L161" s="1" t="s">
        <v>662</v>
      </c>
      <c r="M161" s="6" t="s">
        <v>663</v>
      </c>
      <c r="N161" s="7" t="str">
        <f>VLOOKUP(A161, avaliacoes!A:G, 5, FALSE)</f>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v>
      </c>
      <c r="O161" s="7" t="str">
        <f>VLOOKUP(A161, avaliacoes!A:G, 6, FALSE)</f>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v>
      </c>
    </row>
    <row r="162">
      <c r="A162" s="1" t="s">
        <v>664</v>
      </c>
      <c r="B162" s="1" t="s">
        <v>665</v>
      </c>
      <c r="C162" s="1" t="s">
        <v>616</v>
      </c>
      <c r="D162" s="1" t="str">
        <f t="shared" si="2"/>
        <v>Electronics</v>
      </c>
      <c r="E162" s="1" t="str">
        <f t="shared" si="3"/>
        <v>HomeTheater,TV&amp;Video</v>
      </c>
      <c r="F162" s="2">
        <v>1089.0</v>
      </c>
      <c r="G162" s="2">
        <v>1600.0</v>
      </c>
      <c r="H162" s="3">
        <f t="shared" si="4"/>
        <v>0.319375</v>
      </c>
      <c r="I162" s="4">
        <f>IFERROR(__xludf.DUMMYFUNCTION("GOOGLEFINANCE(""CURRENCY:INRBRL"")*F162"),64.9896935292)</f>
        <v>64.98969353</v>
      </c>
      <c r="J162" s="1">
        <v>4.0</v>
      </c>
      <c r="K162" s="1">
        <v>3565.0</v>
      </c>
      <c r="L162" s="1" t="s">
        <v>666</v>
      </c>
      <c r="M162" s="6" t="s">
        <v>667</v>
      </c>
      <c r="N162" s="7" t="str">
        <f>VLOOKUP(A162, avaliacoes!A:G, 5, FALSE)</f>
        <v>Satisfactory one,Optical cable loose contact,Digital to Analogue converter,Its a good Product to connect Home Theater Music System without optical audio port.,Very good product.,Good,High quality amezon basic top notch go for best sound quality,Good</v>
      </c>
      <c r="O162" s="7" t="str">
        <f>VLOOKUP(A162, avaliacoes!A:G, 6, FALSE)</f>
        <v>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v>
      </c>
    </row>
    <row r="163">
      <c r="A163" s="1" t="s">
        <v>668</v>
      </c>
      <c r="B163" s="1" t="s">
        <v>669</v>
      </c>
      <c r="C163" s="1" t="s">
        <v>21</v>
      </c>
      <c r="D163" s="1" t="str">
        <f t="shared" si="2"/>
        <v>Computers&amp;Accessories</v>
      </c>
      <c r="E163" s="1" t="str">
        <f t="shared" si="3"/>
        <v>Accessories&amp;Peripherals</v>
      </c>
      <c r="F163" s="2">
        <v>339.0</v>
      </c>
      <c r="G163" s="2">
        <v>999.0</v>
      </c>
      <c r="H163" s="3">
        <f t="shared" si="4"/>
        <v>0.6606606607</v>
      </c>
      <c r="I163" s="4">
        <f>IFERROR(__xludf.DUMMYFUNCTION("GOOGLEFINANCE(""CURRENCY:INRBRL"")*F163"),20.230951429199997)</f>
        <v>20.23095143</v>
      </c>
      <c r="J163" s="1">
        <v>4.5</v>
      </c>
      <c r="K163" s="1">
        <v>6255.0</v>
      </c>
      <c r="L163" s="1" t="s">
        <v>670</v>
      </c>
      <c r="M163" s="6" t="s">
        <v>671</v>
      </c>
      <c r="N163" s="7" t="str">
        <f>VLOOKUP(A163, avaliacoes!A:G, 5, FALSE)</f>
        <v>Good pick for Galaxy Note 9,Durable and quality product,Best Cable for Android Auto,The cable I will always carry when I pack my stuff for a ride.,Good charging capacity and data transfers,I bought it for my bike,Excellent,👍</v>
      </c>
      <c r="O163" s="7" t="str">
        <f>VLOOKUP(A163, avaliacoes!A:G, 6, FALSE)</f>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v>
      </c>
    </row>
    <row r="164">
      <c r="A164" s="1" t="s">
        <v>672</v>
      </c>
      <c r="B164" s="1" t="s">
        <v>673</v>
      </c>
      <c r="C164" s="1" t="s">
        <v>21</v>
      </c>
      <c r="D164" s="1" t="str">
        <f t="shared" si="2"/>
        <v>Computers&amp;Accessories</v>
      </c>
      <c r="E164" s="1" t="str">
        <f t="shared" si="3"/>
        <v>Accessories&amp;Peripherals</v>
      </c>
      <c r="F164" s="2">
        <v>149.0</v>
      </c>
      <c r="G164" s="2">
        <v>499.0</v>
      </c>
      <c r="H164" s="3">
        <f t="shared" si="4"/>
        <v>0.7014028056</v>
      </c>
      <c r="I164" s="4">
        <f>IFERROR(__xludf.DUMMYFUNCTION("GOOGLEFINANCE(""CURRENCY:INRBRL"")*F164"),8.8920700972)</f>
        <v>8.892070097</v>
      </c>
      <c r="J164" s="1">
        <v>4.0</v>
      </c>
      <c r="K164" s="1">
        <v>7732.0</v>
      </c>
      <c r="L164" s="1" t="s">
        <v>674</v>
      </c>
      <c r="M164" s="6" t="s">
        <v>675</v>
      </c>
      <c r="N164" s="7" t="str">
        <f>VLOOKUP(A164, avaliacoes!A:G, 5, FALSE)</f>
        <v>Very good product and met my need.  Thanks,Decent value,Nice quality… trustable…,Just well in this price.,supports 2.4 amps fast charging,Nice,Nice.,Value for money</v>
      </c>
      <c r="O164" s="7" t="str">
        <f>VLOOKUP(A164, avaliacoes!A:G,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row>
    <row r="165">
      <c r="A165" s="1" t="s">
        <v>676</v>
      </c>
      <c r="B165" s="1" t="s">
        <v>677</v>
      </c>
      <c r="C165" s="1" t="s">
        <v>21</v>
      </c>
      <c r="D165" s="1" t="str">
        <f t="shared" si="2"/>
        <v>Computers&amp;Accessories</v>
      </c>
      <c r="E165" s="1" t="str">
        <f t="shared" si="3"/>
        <v>Accessories&amp;Peripherals</v>
      </c>
      <c r="F165" s="2">
        <v>149.0</v>
      </c>
      <c r="G165" s="2">
        <v>399.0</v>
      </c>
      <c r="H165" s="3">
        <f t="shared" si="4"/>
        <v>0.626566416</v>
      </c>
      <c r="I165" s="4">
        <f>IFERROR(__xludf.DUMMYFUNCTION("GOOGLEFINANCE(""CURRENCY:INRBRL"")*F165"),8.8920700972)</f>
        <v>8.892070097</v>
      </c>
      <c r="J165" s="1">
        <v>4.52</v>
      </c>
      <c r="K165" s="1">
        <v>57.0</v>
      </c>
      <c r="L165" s="1" t="s">
        <v>678</v>
      </c>
      <c r="M165" s="6" t="s">
        <v>679</v>
      </c>
      <c r="N165" s="7" t="str">
        <f>VLOOKUP(A165, avaliacoes!A:G, 5, FALSE)</f>
        <v>Quality is good,Very sturdy,Very Good Item for the price offered,This lightening cable support data transfer as well got this at ₹99,Lightning cable,worst product.,Great,It's very good product I really happy it's quality was amazing thankyou Amazon</v>
      </c>
      <c r="O165" s="7" t="str">
        <f>VLOOKUP(A165, avaliacoes!A:G, 6, FALSE)</f>
        <v>Good one….,Very good sturdy,I am using this in the car and work fine for far, writing this review after 2 weeks.,This cable charge as well transfer data without even any mfi certified,Very Happy with this one,my cable stopped working in a week.,Worth🌱,This material was good</v>
      </c>
    </row>
    <row r="166">
      <c r="A166" s="1" t="s">
        <v>680</v>
      </c>
      <c r="B166" s="1" t="s">
        <v>681</v>
      </c>
      <c r="C166" s="1" t="s">
        <v>21</v>
      </c>
      <c r="D166" s="1" t="str">
        <f t="shared" si="2"/>
        <v>Computers&amp;Accessories</v>
      </c>
      <c r="E166" s="1" t="str">
        <f t="shared" si="3"/>
        <v>Accessories&amp;Peripherals</v>
      </c>
      <c r="F166" s="2">
        <v>599.0</v>
      </c>
      <c r="G166" s="2">
        <v>849.0</v>
      </c>
      <c r="H166" s="3">
        <f t="shared" si="4"/>
        <v>0.2944640754</v>
      </c>
      <c r="I166" s="4">
        <f>IFERROR(__xludf.DUMMYFUNCTION("GOOGLEFINANCE(""CURRENCY:INRBRL"")*F166"),35.747315357199994)</f>
        <v>35.74731536</v>
      </c>
      <c r="J166" s="1">
        <v>4.51</v>
      </c>
      <c r="K166" s="1">
        <v>577.0</v>
      </c>
      <c r="L166" s="1" t="s">
        <v>682</v>
      </c>
      <c r="M166" s="6" t="s">
        <v>683</v>
      </c>
      <c r="N166" s="7" t="str">
        <f>VLOOKUP(A166, avaliacoes!A:G, 5, FALSE)</f>
        <v>Good only for Charging,Well it's a great cable you can trust on,Another quality product from Belkin &amp; Amazon,60W support not clear,Become a belkin fan,Happy with performance,The only competitor to original cables,good</v>
      </c>
      <c r="O166" s="7" t="str">
        <f>VLOOKUP(A166, avaliacoes!A:G, 6, FALSE)</f>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v>
      </c>
    </row>
    <row r="167">
      <c r="A167" s="1" t="s">
        <v>684</v>
      </c>
      <c r="B167" s="1" t="s">
        <v>685</v>
      </c>
      <c r="C167" s="1" t="s">
        <v>216</v>
      </c>
      <c r="D167" s="1" t="str">
        <f t="shared" si="2"/>
        <v>Electronics</v>
      </c>
      <c r="E167" s="1" t="str">
        <f t="shared" si="3"/>
        <v>HomeTheater,TV&amp;Video</v>
      </c>
      <c r="F167" s="2">
        <v>299.0</v>
      </c>
      <c r="G167" s="2">
        <v>1199.0</v>
      </c>
      <c r="H167" s="3">
        <f t="shared" si="4"/>
        <v>0.7506255213</v>
      </c>
      <c r="I167" s="4">
        <f>IFERROR(__xludf.DUMMYFUNCTION("GOOGLEFINANCE(""CURRENCY:INRBRL"")*F167"),17.8438185172)</f>
        <v>17.84381852</v>
      </c>
      <c r="J167" s="1">
        <v>4.52</v>
      </c>
      <c r="K167" s="1">
        <v>1193.0</v>
      </c>
      <c r="L167" s="1" t="s">
        <v>686</v>
      </c>
      <c r="M167" s="6" t="s">
        <v>687</v>
      </c>
      <c r="N167" s="7" t="str">
        <f>VLOOKUP(A167, avaliacoes!A:G, 5, FALSE)</f>
        <v>Worthy product,Very good generic remote for Samsung LED/LCD TV.,Working👍,Overall good,Good built quality,Durability is my concern,It is perfect for Samsung smart tv,good</v>
      </c>
      <c r="O167" s="7" t="str">
        <f>VLOOKUP(A167, avaliacoes!A:G, 6, FALSE)</f>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v>
      </c>
    </row>
    <row r="168">
      <c r="A168" s="1" t="s">
        <v>688</v>
      </c>
      <c r="B168" s="1" t="s">
        <v>689</v>
      </c>
      <c r="C168" s="1" t="s">
        <v>21</v>
      </c>
      <c r="D168" s="1" t="str">
        <f t="shared" si="2"/>
        <v>Computers&amp;Accessories</v>
      </c>
      <c r="E168" s="1" t="str">
        <f t="shared" si="3"/>
        <v>Accessories&amp;Peripherals</v>
      </c>
      <c r="F168" s="2">
        <v>399.0</v>
      </c>
      <c r="G168" s="2">
        <v>1299.0</v>
      </c>
      <c r="H168" s="3">
        <f t="shared" si="4"/>
        <v>0.6928406467</v>
      </c>
      <c r="I168" s="4">
        <f>IFERROR(__xludf.DUMMYFUNCTION("GOOGLEFINANCE(""CURRENCY:INRBRL"")*F168"),23.8116507972)</f>
        <v>23.8116508</v>
      </c>
      <c r="J168" s="1">
        <v>4.5</v>
      </c>
      <c r="K168" s="1">
        <v>1312.0</v>
      </c>
      <c r="L168" s="1" t="s">
        <v>690</v>
      </c>
      <c r="M168" s="6" t="s">
        <v>691</v>
      </c>
      <c r="N168" s="7" t="str">
        <f>VLOOKUP(A168, avaliacoes!A:G, 5, FALSE)</f>
        <v>Good product,Is worth the money you are paying for it,Good quality cable,Go for it!,Nice product☑️,Good buy,You can trust Wayona,Quality product  , Life of product is good  .</v>
      </c>
      <c r="O168" s="7" t="str">
        <f>VLOOKUP(A168, avaliacoes!A:G, 6, FALSE)</f>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v>
      </c>
    </row>
    <row r="169">
      <c r="A169" s="1" t="s">
        <v>692</v>
      </c>
      <c r="B169" s="1" t="s">
        <v>693</v>
      </c>
      <c r="C169" s="1" t="s">
        <v>216</v>
      </c>
      <c r="D169" s="1" t="str">
        <f t="shared" si="2"/>
        <v>Electronics</v>
      </c>
      <c r="E169" s="1" t="str">
        <f t="shared" si="3"/>
        <v>HomeTheater,TV&amp;Video</v>
      </c>
      <c r="F169" s="2">
        <v>339.0</v>
      </c>
      <c r="G169" s="2">
        <v>1999.0</v>
      </c>
      <c r="H169" s="3">
        <f t="shared" si="4"/>
        <v>0.8304152076</v>
      </c>
      <c r="I169" s="4">
        <f>IFERROR(__xludf.DUMMYFUNCTION("GOOGLEFINANCE(""CURRENCY:INRBRL"")*F169"),20.230951429199997)</f>
        <v>20.23095143</v>
      </c>
      <c r="J169" s="1">
        <v>4.0</v>
      </c>
      <c r="K169" s="1">
        <v>343.0</v>
      </c>
      <c r="L169" s="1" t="s">
        <v>694</v>
      </c>
      <c r="M169" s="6" t="s">
        <v>695</v>
      </c>
      <c r="N169" s="7" t="str">
        <f>VLOOKUP(A169, avaliacoes!A:G, 5, FALSE)</f>
        <v>really good producers,Thompson smart tv remote control,Best for Kodak tv,I love it,Not feather touch,Working fine,Best without voice control,Value for Money</v>
      </c>
      <c r="O169" s="7" t="str">
        <f>VLOOKUP(A169, avaliacoes!A:G, 6, FALSE)</f>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v>
      </c>
    </row>
    <row r="170">
      <c r="A170" s="1" t="s">
        <v>696</v>
      </c>
      <c r="B170" s="1" t="s">
        <v>697</v>
      </c>
      <c r="C170" s="1" t="s">
        <v>87</v>
      </c>
      <c r="D170" s="1" t="str">
        <f t="shared" si="2"/>
        <v>Electronics</v>
      </c>
      <c r="E170" s="1" t="str">
        <f t="shared" si="3"/>
        <v>HomeTheater,TV&amp;Video</v>
      </c>
      <c r="F170" s="2">
        <v>12499.0</v>
      </c>
      <c r="G170" s="2">
        <v>22990.0</v>
      </c>
      <c r="H170" s="3">
        <f t="shared" si="4"/>
        <v>0.4563288386</v>
      </c>
      <c r="I170" s="4">
        <f>IFERROR(__xludf.DUMMYFUNCTION("GOOGLEFINANCE(""CURRENCY:INRBRL"")*F170"),745.9193566772)</f>
        <v>745.9193567</v>
      </c>
      <c r="J170" s="1">
        <v>4.5</v>
      </c>
      <c r="K170" s="1">
        <v>1611.0</v>
      </c>
      <c r="L170" s="1" t="s">
        <v>698</v>
      </c>
      <c r="M170" s="6" t="s">
        <v>699</v>
      </c>
      <c r="N170" s="7" t="str">
        <f>VLOOKUP(A170, avaliacoes!A:G, 5, FALSE)</f>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v>
      </c>
      <c r="O170" s="7" t="str">
        <f>VLOOKUP(A170, avaliacoes!A:G, 6, FALSE)</f>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v>
      </c>
    </row>
    <row r="171">
      <c r="A171" s="1" t="s">
        <v>700</v>
      </c>
      <c r="B171" s="1" t="s">
        <v>701</v>
      </c>
      <c r="C171" s="1" t="s">
        <v>21</v>
      </c>
      <c r="D171" s="1" t="str">
        <f t="shared" si="2"/>
        <v>Computers&amp;Accessories</v>
      </c>
      <c r="E171" s="1" t="str">
        <f t="shared" si="3"/>
        <v>Accessories&amp;Peripherals</v>
      </c>
      <c r="F171" s="2">
        <v>249.0</v>
      </c>
      <c r="G171" s="2">
        <v>399.0</v>
      </c>
      <c r="H171" s="3">
        <f t="shared" si="4"/>
        <v>0.3759398496</v>
      </c>
      <c r="I171" s="4">
        <f>IFERROR(__xludf.DUMMYFUNCTION("GOOGLEFINANCE(""CURRENCY:INRBRL"")*F171"),14.8599023772)</f>
        <v>14.85990238</v>
      </c>
      <c r="J171" s="1">
        <v>4.0</v>
      </c>
      <c r="K171" s="1">
        <v>6558.0</v>
      </c>
      <c r="L171" s="1" t="s">
        <v>702</v>
      </c>
      <c r="M171" s="6" t="s">
        <v>703</v>
      </c>
      <c r="N171" s="7" t="str">
        <f>VLOOKUP(A171, avaliacoes!A:G, 5, FALSE)</f>
        <v>Great to use, serves the purpose,Good Quality,Good,Good one,It's okay,Good original cable,Good quality,V good product</v>
      </c>
      <c r="O171" s="7" t="str">
        <f>VLOOKUP(A171, avaliacoes!A:G, 6, FALSE)</f>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v>
      </c>
    </row>
    <row r="172">
      <c r="A172" s="1" t="s">
        <v>704</v>
      </c>
      <c r="B172" s="1" t="s">
        <v>705</v>
      </c>
      <c r="C172" s="1" t="s">
        <v>54</v>
      </c>
      <c r="D172" s="1" t="str">
        <f t="shared" si="2"/>
        <v>Computers&amp;Accessories</v>
      </c>
      <c r="E172" s="1" t="str">
        <f t="shared" si="3"/>
        <v>NetworkingDevices</v>
      </c>
      <c r="F172" s="2">
        <v>1399.0</v>
      </c>
      <c r="G172" s="2">
        <v>2499.0</v>
      </c>
      <c r="H172" s="3">
        <f t="shared" si="4"/>
        <v>0.4401760704</v>
      </c>
      <c r="I172" s="4">
        <f>IFERROR(__xludf.DUMMYFUNCTION("GOOGLEFINANCE(""CURRENCY:INRBRL"")*F172"),83.48997359719999)</f>
        <v>83.4899736</v>
      </c>
      <c r="J172" s="1">
        <v>4.5</v>
      </c>
      <c r="K172" s="1">
        <v>23169.0</v>
      </c>
      <c r="L172" s="1" t="s">
        <v>706</v>
      </c>
      <c r="M172" s="6" t="s">
        <v>707</v>
      </c>
      <c r="N172" s="7" t="str">
        <f>VLOOKUP(A172, avaliacoes!A:G, 5, FALSE)</f>
        <v>Good device and makes your laptop to utilize maximum wifi speed.,Good Product, worth of buying,Best to recieve 5g or fiber speed,Good,This is really a good Wifi-Adpater and a life saver,Wifi 5 speeds are amazing!,Booster speed,Best Product to Buy</v>
      </c>
      <c r="O172" s="7" t="str">
        <f>VLOOKUP(A172, avaliacoes!A:G, 6, FALSE)</f>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v>
      </c>
    </row>
    <row r="173">
      <c r="A173" s="1" t="s">
        <v>708</v>
      </c>
      <c r="B173" s="1" t="s">
        <v>709</v>
      </c>
      <c r="C173" s="1" t="s">
        <v>87</v>
      </c>
      <c r="D173" s="1" t="str">
        <f t="shared" si="2"/>
        <v>Electronics</v>
      </c>
      <c r="E173" s="1" t="str">
        <f t="shared" si="3"/>
        <v>HomeTheater,TV&amp;Video</v>
      </c>
      <c r="F173" s="2">
        <v>32999.0</v>
      </c>
      <c r="G173" s="2">
        <v>47990.0</v>
      </c>
      <c r="H173" s="3">
        <f t="shared" si="4"/>
        <v>0.3123775787</v>
      </c>
      <c r="I173" s="4">
        <f>IFERROR(__xludf.DUMMYFUNCTION("GOOGLEFINANCE(""CURRENCY:INRBRL"")*F173"),1969.3249740771998)</f>
        <v>1969.324974</v>
      </c>
      <c r="J173" s="1">
        <v>4.5</v>
      </c>
      <c r="K173" s="1">
        <v>4703.0</v>
      </c>
      <c r="L173" s="1" t="s">
        <v>371</v>
      </c>
      <c r="M173" s="6" t="s">
        <v>710</v>
      </c>
      <c r="N173" s="7" t="str">
        <f>VLOOKUP(A173, avaliacoes!A:G, 5, FALSE)</f>
        <v>Wonderful TV and Awful installation service from amazon,Acer Television Review,It's a good product for that price.,Good for the price,Almost a complete package,Nice Product,Good product,Super designed</v>
      </c>
      <c r="O173" s="7" t="str">
        <f>VLOOKUP(A173,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row>
    <row r="174">
      <c r="A174" s="1" t="s">
        <v>711</v>
      </c>
      <c r="B174" s="1" t="s">
        <v>712</v>
      </c>
      <c r="C174" s="1" t="s">
        <v>21</v>
      </c>
      <c r="D174" s="1" t="str">
        <f t="shared" si="2"/>
        <v>Computers&amp;Accessories</v>
      </c>
      <c r="E174" s="1" t="str">
        <f t="shared" si="3"/>
        <v>Accessories&amp;Peripherals</v>
      </c>
      <c r="F174" s="2">
        <v>149.0</v>
      </c>
      <c r="G174" s="2">
        <v>399.0</v>
      </c>
      <c r="H174" s="3">
        <f t="shared" si="4"/>
        <v>0.626566416</v>
      </c>
      <c r="I174" s="4">
        <f>IFERROR(__xludf.DUMMYFUNCTION("GOOGLEFINANCE(""CURRENCY:INRBRL"")*F174"),8.8920700972)</f>
        <v>8.892070097</v>
      </c>
      <c r="J174" s="1">
        <v>4.0</v>
      </c>
      <c r="K174" s="1">
        <v>1423.0</v>
      </c>
      <c r="L174" s="1" t="s">
        <v>713</v>
      </c>
      <c r="M174" s="6" t="s">
        <v>714</v>
      </c>
      <c r="N174" s="7" t="str">
        <f>VLOOKUP(A174, avaliacoes!A:G, 5, FALSE)</f>
        <v>GOOD,Thank you  Amazon very good charging cable,Good,Very good product,good quality,Very Good Product,This is fast charging USB!,Simply perfect at the price of below 100</v>
      </c>
      <c r="O174" s="7" t="str">
        <f>VLOOKUP(A174,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row>
    <row r="175">
      <c r="A175" s="1" t="s">
        <v>715</v>
      </c>
      <c r="B175" s="1" t="s">
        <v>716</v>
      </c>
      <c r="C175" s="1" t="s">
        <v>21</v>
      </c>
      <c r="D175" s="1" t="str">
        <f t="shared" si="2"/>
        <v>Computers&amp;Accessories</v>
      </c>
      <c r="E175" s="1" t="str">
        <f t="shared" si="3"/>
        <v>Accessories&amp;Peripherals</v>
      </c>
      <c r="F175" s="2">
        <v>325.0</v>
      </c>
      <c r="G175" s="2">
        <v>999.0</v>
      </c>
      <c r="H175" s="3">
        <f t="shared" si="4"/>
        <v>0.6746746747</v>
      </c>
      <c r="I175" s="4">
        <f>IFERROR(__xludf.DUMMYFUNCTION("GOOGLEFINANCE(""CURRENCY:INRBRL"")*F175"),19.395454909999998)</f>
        <v>19.39545491</v>
      </c>
      <c r="J175" s="1">
        <v>4.5</v>
      </c>
      <c r="K175" s="1">
        <v>2651.0</v>
      </c>
      <c r="L175" s="1" t="s">
        <v>717</v>
      </c>
      <c r="M175" s="6" t="s">
        <v>718</v>
      </c>
      <c r="N175" s="7" t="str">
        <f>VLOOKUP(A175, avaliacoes!A:G, 5, FALSE)</f>
        <v>Worth the money spent,Nice product also the sterdiness good as expected.,Not the correct charger for Samsung S9,Nice product,Superb,Doubts on fast charging,One time purchase,Good Product</v>
      </c>
      <c r="O175" s="7" t="str">
        <f>VLOOKUP(A175, avaliacoes!A:G, 6, FALSE)</f>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v>
      </c>
    </row>
    <row r="176">
      <c r="A176" s="1" t="s">
        <v>719</v>
      </c>
      <c r="B176" s="1" t="s">
        <v>720</v>
      </c>
      <c r="C176" s="1" t="s">
        <v>21</v>
      </c>
      <c r="D176" s="1" t="str">
        <f t="shared" si="2"/>
        <v>Computers&amp;Accessories</v>
      </c>
      <c r="E176" s="1" t="str">
        <f t="shared" si="3"/>
        <v>Accessories&amp;Peripherals</v>
      </c>
      <c r="F176" s="2">
        <v>399.0</v>
      </c>
      <c r="G176" s="2">
        <v>1999.0</v>
      </c>
      <c r="H176" s="3">
        <f t="shared" si="4"/>
        <v>0.8004002001</v>
      </c>
      <c r="I176" s="4">
        <f>IFERROR(__xludf.DUMMYFUNCTION("GOOGLEFINANCE(""CURRENCY:INRBRL"")*F176"),23.8116507972)</f>
        <v>23.8116508</v>
      </c>
      <c r="J176" s="1">
        <v>5.0</v>
      </c>
      <c r="K176" s="1">
        <v>5.0</v>
      </c>
      <c r="L176" s="1" t="s">
        <v>721</v>
      </c>
      <c r="M176" s="6" t="s">
        <v>722</v>
      </c>
      <c r="N176" s="7" t="str">
        <f>VLOOKUP(A176, avaliacoes!A:G, 5, FALSE)</f>
        <v>Good,Superb quality,Good products  nice one,Working well with iphone11.,I always rely on this companys products , so very good. Thank you so much</v>
      </c>
      <c r="O176" s="7" t="str">
        <f>VLOOKUP(A176, avaliacoes!A:G, 6, FALSE)</f>
        <v>Product is good in quality. Working good with my i phone 7.,Good quality and really fast charging and packing is also like original one worth product,Good product and good quality,Working well with iphone11.,</v>
      </c>
    </row>
    <row r="177">
      <c r="A177" s="1" t="s">
        <v>723</v>
      </c>
      <c r="B177" s="1" t="s">
        <v>724</v>
      </c>
      <c r="C177" s="1" t="s">
        <v>54</v>
      </c>
      <c r="D177" s="1" t="str">
        <f t="shared" si="2"/>
        <v>Computers&amp;Accessories</v>
      </c>
      <c r="E177" s="1" t="str">
        <f t="shared" si="3"/>
        <v>NetworkingDevices</v>
      </c>
      <c r="F177" s="2">
        <v>199.0</v>
      </c>
      <c r="G177" s="2">
        <v>499.0</v>
      </c>
      <c r="H177" s="3">
        <f t="shared" si="4"/>
        <v>0.6012024048</v>
      </c>
      <c r="I177" s="4">
        <f>IFERROR(__xludf.DUMMYFUNCTION("GOOGLEFINANCE(""CURRENCY:INRBRL"")*F177"),11.8759862372)</f>
        <v>11.87598624</v>
      </c>
      <c r="J177" s="1">
        <v>4.51</v>
      </c>
      <c r="K177" s="1">
        <v>612.0</v>
      </c>
      <c r="L177" s="1" t="s">
        <v>725</v>
      </c>
      <c r="M177" s="6" t="s">
        <v>726</v>
      </c>
      <c r="N177" s="7" t="str">
        <f>VLOOKUP(A177, avaliacoes!A:G, 5, FALSE)</f>
        <v>Good,Very nice,Best quality,Not bad,Best WiFi module,good,Working fine,Good Product</v>
      </c>
      <c r="O177" s="7" t="str">
        <f>VLOOKUP(A177, avaliacoes!A:G, 6, FALSE)</f>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v>
      </c>
    </row>
    <row r="178">
      <c r="A178" s="1" t="s">
        <v>727</v>
      </c>
      <c r="B178" s="1" t="s">
        <v>728</v>
      </c>
      <c r="C178" s="1" t="s">
        <v>21</v>
      </c>
      <c r="D178" s="1" t="str">
        <f t="shared" si="2"/>
        <v>Computers&amp;Accessories</v>
      </c>
      <c r="E178" s="1" t="str">
        <f t="shared" si="3"/>
        <v>Accessories&amp;Peripherals</v>
      </c>
      <c r="F178" s="2">
        <v>88.0</v>
      </c>
      <c r="G178" s="2">
        <v>299.0</v>
      </c>
      <c r="H178" s="3">
        <f t="shared" si="4"/>
        <v>0.7056856187</v>
      </c>
      <c r="I178" s="4">
        <f>IFERROR(__xludf.DUMMYFUNCTION("GOOGLEFINANCE(""CURRENCY:INRBRL"")*F178"),5.251692406399999)</f>
        <v>5.251692406</v>
      </c>
      <c r="J178" s="1">
        <v>4.0</v>
      </c>
      <c r="K178" s="1">
        <v>9378.0</v>
      </c>
      <c r="L178" s="1" t="s">
        <v>729</v>
      </c>
      <c r="M178" s="6" t="s">
        <v>730</v>
      </c>
      <c r="N178" s="7" t="str">
        <f>VLOOKUP(A178, avaliacoes!A:G, 5, FALSE)</f>
        <v>Worked on iPhone 7 and didn’t work on XR,Good one,Dull Physical Looks,Just Buy it,Go for it,About the product,Get charging cable at the price,Working well.</v>
      </c>
      <c r="O178" s="7" t="str">
        <f>VLOOKUP(A178, avaliacoes!A:G, 6, FALSE)</f>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179">
      <c r="A179" s="1" t="s">
        <v>731</v>
      </c>
      <c r="B179" s="1" t="s">
        <v>732</v>
      </c>
      <c r="C179" s="1" t="s">
        <v>21</v>
      </c>
      <c r="D179" s="1" t="str">
        <f t="shared" si="2"/>
        <v>Computers&amp;Accessories</v>
      </c>
      <c r="E179" s="1" t="str">
        <f t="shared" si="3"/>
        <v>Accessories&amp;Peripherals</v>
      </c>
      <c r="F179" s="2">
        <v>399.0</v>
      </c>
      <c r="G179" s="2">
        <v>1099.0</v>
      </c>
      <c r="H179" s="3">
        <f t="shared" si="4"/>
        <v>0.6369426752</v>
      </c>
      <c r="I179" s="4">
        <f>IFERROR(__xludf.DUMMYFUNCTION("GOOGLEFINANCE(""CURRENCY:INRBRL"")*F179"),23.8116507972)</f>
        <v>23.8116508</v>
      </c>
      <c r="J179" s="1">
        <v>4.49</v>
      </c>
      <c r="K179" s="1">
        <v>2685.0</v>
      </c>
      <c r="L179" s="1" t="s">
        <v>733</v>
      </c>
      <c r="M179" s="6" t="s">
        <v>734</v>
      </c>
      <c r="N179" s="7" t="str">
        <f>VLOOKUP(A179, avaliacoes!A:G, 5, FALSE)</f>
        <v>Changing speed,Make it better,Superb Build Quality,Highly satisfied,Best Charging Cable Ever,Good value for money option,Cable quality,Nice</v>
      </c>
      <c r="O179" s="7" t="str">
        <f>VLOOKUP(A179, avaliacoes!A:G, 6, FALSE)</f>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v>
      </c>
    </row>
    <row r="180">
      <c r="A180" s="1" t="s">
        <v>735</v>
      </c>
      <c r="B180" s="1" t="s">
        <v>736</v>
      </c>
      <c r="C180" s="1" t="s">
        <v>21</v>
      </c>
      <c r="D180" s="1" t="str">
        <f t="shared" si="2"/>
        <v>Computers&amp;Accessories</v>
      </c>
      <c r="E180" s="1" t="str">
        <f t="shared" si="3"/>
        <v>Accessories&amp;Peripherals</v>
      </c>
      <c r="F180" s="2">
        <v>57.98</v>
      </c>
      <c r="G180" s="2">
        <v>199.0</v>
      </c>
      <c r="H180" s="3">
        <f t="shared" si="4"/>
        <v>0.7086432161</v>
      </c>
      <c r="I180" s="4">
        <f>IFERROR(__xludf.DUMMYFUNCTION("GOOGLEFINANCE(""CURRENCY:INRBRL"")*F180"),3.4601491559439994)</f>
        <v>3.460149156</v>
      </c>
      <c r="J180" s="1">
        <v>4.0</v>
      </c>
      <c r="K180" s="1">
        <v>9378.0</v>
      </c>
      <c r="L180" s="1" t="s">
        <v>737</v>
      </c>
      <c r="M180" s="6" t="s">
        <v>738</v>
      </c>
      <c r="N180" s="7" t="str">
        <f>VLOOKUP(A180, avaliacoes!A:G, 5, FALSE)</f>
        <v>Worked on iPhone 7 and didn’t work on XR,Good one,Dull Physical Looks,Just Buy it,Go for it,About the product,Get charging cable at the price,Working well.</v>
      </c>
      <c r="O180" s="7" t="str">
        <f>VLOOKUP(A180,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181">
      <c r="A181" s="1" t="s">
        <v>739</v>
      </c>
      <c r="B181" s="1" t="s">
        <v>740</v>
      </c>
      <c r="C181" s="1" t="s">
        <v>216</v>
      </c>
      <c r="D181" s="1" t="str">
        <f t="shared" si="2"/>
        <v>Electronics</v>
      </c>
      <c r="E181" s="1" t="str">
        <f t="shared" si="3"/>
        <v>HomeTheater,TV&amp;Video</v>
      </c>
      <c r="F181" s="2">
        <v>799.0</v>
      </c>
      <c r="G181" s="2">
        <v>1999.0</v>
      </c>
      <c r="H181" s="3">
        <f t="shared" si="4"/>
        <v>0.6003001501</v>
      </c>
      <c r="I181" s="4">
        <f>IFERROR(__xludf.DUMMYFUNCTION("GOOGLEFINANCE(""CURRENCY:INRBRL"")*F181"),47.682979917199994)</f>
        <v>47.68297992</v>
      </c>
      <c r="J181" s="1">
        <v>4.5</v>
      </c>
      <c r="K181" s="1">
        <v>576.0</v>
      </c>
      <c r="L181" s="1" t="s">
        <v>741</v>
      </c>
      <c r="M181" s="6" t="s">
        <v>742</v>
      </c>
      <c r="N181" s="7" t="str">
        <f>VLOOKUP(A181, avaliacoes!A:G, 5, FALSE)</f>
        <v>Compatibility,Good one but voice not working propoer,Good but needs improvement in quality,Not strong,Works good,Waste of money,Works well,Don't buy... This remote</v>
      </c>
      <c r="O181" s="7" t="str">
        <f>VLOOKUP(A181, avaliacoes!A:G, 6, FALSE)</f>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v>
      </c>
    </row>
    <row r="182">
      <c r="A182" s="1" t="s">
        <v>743</v>
      </c>
      <c r="B182" s="1" t="s">
        <v>744</v>
      </c>
      <c r="C182" s="1" t="s">
        <v>216</v>
      </c>
      <c r="D182" s="1" t="str">
        <f t="shared" si="2"/>
        <v>Electronics</v>
      </c>
      <c r="E182" s="1" t="str">
        <f t="shared" si="3"/>
        <v>HomeTheater,TV&amp;Video</v>
      </c>
      <c r="F182" s="2">
        <v>205.0</v>
      </c>
      <c r="G182" s="2">
        <v>499.0</v>
      </c>
      <c r="H182" s="3">
        <f t="shared" si="4"/>
        <v>0.5891783567</v>
      </c>
      <c r="I182" s="4">
        <f>IFERROR(__xludf.DUMMYFUNCTION("GOOGLEFINANCE(""CURRENCY:INRBRL"")*F182"),12.234056174)</f>
        <v>12.23405617</v>
      </c>
      <c r="J182" s="1">
        <v>4.51</v>
      </c>
      <c r="K182" s="1">
        <v>313.0</v>
      </c>
      <c r="L182" s="1" t="s">
        <v>745</v>
      </c>
      <c r="M182" s="6" t="s">
        <v>746</v>
      </c>
      <c r="N182" s="7" t="str">
        <f>VLOOKUP(A182, avaliacoes!A:G, 5, FALSE)</f>
        <v>Poor plastic Material but it works.,Very cheap material but it works...,Good one,Working on par with original,Working well , quality is okay,Value for money,Not for good,It looks like original</v>
      </c>
      <c r="O182" s="7" t="str">
        <f>VLOOKUP(A182, avaliacoes!A:G, 6, FALSE)</f>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v>
      </c>
    </row>
    <row r="183">
      <c r="A183" s="1" t="s">
        <v>747</v>
      </c>
      <c r="B183" s="1" t="s">
        <v>748</v>
      </c>
      <c r="C183" s="1" t="s">
        <v>21</v>
      </c>
      <c r="D183" s="1" t="str">
        <f t="shared" si="2"/>
        <v>Computers&amp;Accessories</v>
      </c>
      <c r="E183" s="1" t="str">
        <f t="shared" si="3"/>
        <v>Accessories&amp;Peripherals</v>
      </c>
      <c r="F183" s="2">
        <v>299.0</v>
      </c>
      <c r="G183" s="2">
        <v>699.0</v>
      </c>
      <c r="H183" s="3">
        <f t="shared" si="4"/>
        <v>0.5722460658</v>
      </c>
      <c r="I183" s="4">
        <f>IFERROR(__xludf.DUMMYFUNCTION("GOOGLEFINANCE(""CURRENCY:INRBRL"")*F183"),17.8438185172)</f>
        <v>17.84381852</v>
      </c>
      <c r="J183" s="1">
        <v>4.49</v>
      </c>
      <c r="K183" s="1">
        <v>2957.0</v>
      </c>
      <c r="L183" s="1" t="s">
        <v>749</v>
      </c>
      <c r="M183" s="6" t="s">
        <v>750</v>
      </c>
      <c r="N183" s="7" t="str">
        <f>VLOOKUP(A183, avaliacoes!A:G, 5, FALSE)</f>
        <v>Good quality product and long lasting.,Ok,Really fast.,Yes good,Cable speed,Goid,Working fine,Just worth it</v>
      </c>
      <c r="O183" s="7" t="str">
        <f>VLOOKUP(A183, avaliacoes!A:G, 6, FALSE)</f>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v>
      </c>
    </row>
    <row r="184">
      <c r="A184" s="1" t="s">
        <v>751</v>
      </c>
      <c r="B184" s="1" t="s">
        <v>752</v>
      </c>
      <c r="C184" s="1" t="s">
        <v>21</v>
      </c>
      <c r="D184" s="1" t="str">
        <f t="shared" si="2"/>
        <v>Computers&amp;Accessories</v>
      </c>
      <c r="E184" s="1" t="str">
        <f t="shared" si="3"/>
        <v>Accessories&amp;Peripherals</v>
      </c>
      <c r="F184" s="2">
        <v>849.0</v>
      </c>
      <c r="G184" s="2">
        <v>999.0</v>
      </c>
      <c r="H184" s="3">
        <f t="shared" si="4"/>
        <v>0.1501501502</v>
      </c>
      <c r="I184" s="4">
        <f>IFERROR(__xludf.DUMMYFUNCTION("GOOGLEFINANCE(""CURRENCY:INRBRL"")*F184"),50.6668960572)</f>
        <v>50.66689606</v>
      </c>
      <c r="J184" s="1">
        <v>4.49</v>
      </c>
      <c r="K184" s="1">
        <v>6736.0</v>
      </c>
      <c r="L184" s="1" t="s">
        <v>753</v>
      </c>
      <c r="M184" s="6" t="s">
        <v>754</v>
      </c>
      <c r="N184" s="7" t="str">
        <f>VLOOKUP(A184, avaliacoes!A:G, 5, FALSE)</f>
        <v>Reliability,Best non apple usb to lightning cable,Good,Good quality using since a year,Good,Very good product,Nice cable,Worth Your Money and best alternative</v>
      </c>
      <c r="O184" s="7" t="str">
        <f>VLOOKUP(A184, avaliacoes!A:G, 6, FALSE)</f>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v>
      </c>
    </row>
    <row r="185">
      <c r="A185" s="1" t="s">
        <v>755</v>
      </c>
      <c r="B185" s="1" t="s">
        <v>756</v>
      </c>
      <c r="C185" s="1" t="s">
        <v>21</v>
      </c>
      <c r="D185" s="1" t="str">
        <f t="shared" si="2"/>
        <v>Computers&amp;Accessories</v>
      </c>
      <c r="E185" s="1" t="str">
        <f t="shared" si="3"/>
        <v>Accessories&amp;Peripherals</v>
      </c>
      <c r="F185" s="2">
        <v>949.0</v>
      </c>
      <c r="G185" s="2">
        <v>1999.0</v>
      </c>
      <c r="H185" s="3">
        <f t="shared" si="4"/>
        <v>0.5252626313</v>
      </c>
      <c r="I185" s="4">
        <f>IFERROR(__xludf.DUMMYFUNCTION("GOOGLEFINANCE(""CURRENCY:INRBRL"")*F185"),56.634728337199995)</f>
        <v>56.63472834</v>
      </c>
      <c r="J185" s="1">
        <v>4.5</v>
      </c>
      <c r="K185" s="1">
        <v>13552.0</v>
      </c>
      <c r="L185" s="1" t="s">
        <v>757</v>
      </c>
      <c r="M185" s="6" t="s">
        <v>758</v>
      </c>
      <c r="N185" s="7" t="str">
        <f>VLOOKUP(A185, avaliacoes!A:G, 5, FALSE)</f>
        <v>Good,Worth to buy,Great value for price,Good product,Nice product.,Reliable and worth it!,Much more sturdy and durable than Apple cable,Good</v>
      </c>
      <c r="O185" s="7" t="str">
        <f>VLOOKUP(A185,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row>
    <row r="186">
      <c r="A186" s="1" t="s">
        <v>759</v>
      </c>
      <c r="B186" s="1" t="s">
        <v>760</v>
      </c>
      <c r="C186" s="1" t="s">
        <v>21</v>
      </c>
      <c r="D186" s="1" t="str">
        <f t="shared" si="2"/>
        <v>Computers&amp;Accessories</v>
      </c>
      <c r="E186" s="1" t="str">
        <f t="shared" si="3"/>
        <v>Accessories&amp;Peripherals</v>
      </c>
      <c r="F186" s="2">
        <v>499.0</v>
      </c>
      <c r="G186" s="2">
        <v>1200.0</v>
      </c>
      <c r="H186" s="3">
        <f t="shared" si="4"/>
        <v>0.5841666667</v>
      </c>
      <c r="I186" s="4">
        <f>IFERROR(__xludf.DUMMYFUNCTION("GOOGLEFINANCE(""CURRENCY:INRBRL"")*F186"),29.7794830772)</f>
        <v>29.77948308</v>
      </c>
      <c r="J186" s="1">
        <v>4.5</v>
      </c>
      <c r="K186" s="1">
        <v>5451.0</v>
      </c>
      <c r="L186" s="1" t="s">
        <v>761</v>
      </c>
      <c r="M186" s="6" t="s">
        <v>762</v>
      </c>
      <c r="N186" s="7" t="str">
        <f>VLOOKUP(A186, avaliacoes!A:G, 5, FALSE)</f>
        <v>Overall it's a good product for mobile charging.,Awesome 😎,Gud data cabel....,Very good USB C TO USB C Cable .The one does not entangle to develop fold leading to cracks and cuts,Best,Rigid and high quality,Super durable,Great i have been using for 6 month</v>
      </c>
      <c r="O186" s="7" t="str">
        <f>VLOOKUP(A186, avaliacoes!A:G, 6, FALSE)</f>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v>
      </c>
    </row>
    <row r="187">
      <c r="A187" s="1" t="s">
        <v>763</v>
      </c>
      <c r="B187" s="1" t="s">
        <v>764</v>
      </c>
      <c r="C187" s="1" t="s">
        <v>21</v>
      </c>
      <c r="D187" s="1" t="str">
        <f t="shared" si="2"/>
        <v>Computers&amp;Accessories</v>
      </c>
      <c r="E187" s="1" t="str">
        <f t="shared" si="3"/>
        <v>Accessories&amp;Peripherals</v>
      </c>
      <c r="F187" s="2">
        <v>299.0</v>
      </c>
      <c r="G187" s="2">
        <v>485.0</v>
      </c>
      <c r="H187" s="3">
        <f t="shared" si="4"/>
        <v>0.3835051546</v>
      </c>
      <c r="I187" s="4">
        <f>IFERROR(__xludf.DUMMYFUNCTION("GOOGLEFINANCE(""CURRENCY:INRBRL"")*F187"),17.8438185172)</f>
        <v>17.84381852</v>
      </c>
      <c r="J187" s="1">
        <v>4.5</v>
      </c>
      <c r="K187" s="1">
        <v>10911.0</v>
      </c>
      <c r="L187" s="1" t="s">
        <v>765</v>
      </c>
      <c r="M187" s="6" t="s">
        <v>766</v>
      </c>
      <c r="N187" s="7" t="str">
        <f>VLOOKUP(A187, avaliacoes!A:G, 5, FALSE)</f>
        <v>High price,Good quality,Go for it,3.0,Thank you Amazon,Awesome buy,Ok,Nice product</v>
      </c>
      <c r="O187" s="7" t="str">
        <f>VLOOKUP(A187, avaliacoes!A:G, 6, FALSE)</f>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v>
      </c>
    </row>
    <row r="188">
      <c r="A188" s="1" t="s">
        <v>767</v>
      </c>
      <c r="B188" s="1" t="s">
        <v>768</v>
      </c>
      <c r="C188" s="1" t="s">
        <v>21</v>
      </c>
      <c r="D188" s="1" t="str">
        <f t="shared" si="2"/>
        <v>Computers&amp;Accessories</v>
      </c>
      <c r="E188" s="1" t="str">
        <f t="shared" si="3"/>
        <v>Accessories&amp;Peripherals</v>
      </c>
      <c r="F188" s="2">
        <v>949.0</v>
      </c>
      <c r="G188" s="2">
        <v>1999.0</v>
      </c>
      <c r="H188" s="3">
        <f t="shared" si="4"/>
        <v>0.5252626313</v>
      </c>
      <c r="I188" s="4">
        <f>IFERROR(__xludf.DUMMYFUNCTION("GOOGLEFINANCE(""CURRENCY:INRBRL"")*F188"),56.634728337199995)</f>
        <v>56.63472834</v>
      </c>
      <c r="J188" s="1">
        <v>4.5</v>
      </c>
      <c r="K188" s="1">
        <v>13552.0</v>
      </c>
      <c r="L188" s="1" t="s">
        <v>769</v>
      </c>
      <c r="M188" s="6" t="s">
        <v>770</v>
      </c>
      <c r="N188" s="7" t="str">
        <f>VLOOKUP(A188, avaliacoes!A:G, 5, FALSE)</f>
        <v>Good,Worth to buy,Great value for price,Good product,Nice product.,Reliable and worth it!,Much more sturdy and durable than Apple cable,Good</v>
      </c>
      <c r="O188" s="7" t="str">
        <f>VLOOKUP(A188,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row>
    <row r="189">
      <c r="A189" s="1" t="s">
        <v>771</v>
      </c>
      <c r="B189" s="1" t="s">
        <v>772</v>
      </c>
      <c r="C189" s="1" t="s">
        <v>21</v>
      </c>
      <c r="D189" s="1" t="str">
        <f t="shared" si="2"/>
        <v>Computers&amp;Accessories</v>
      </c>
      <c r="E189" s="1" t="str">
        <f t="shared" si="3"/>
        <v>Accessories&amp;Peripherals</v>
      </c>
      <c r="F189" s="2">
        <v>379.0</v>
      </c>
      <c r="G189" s="2">
        <v>1099.0</v>
      </c>
      <c r="H189" s="3">
        <f t="shared" si="4"/>
        <v>0.6551410373</v>
      </c>
      <c r="I189" s="4">
        <f>IFERROR(__xludf.DUMMYFUNCTION("GOOGLEFINANCE(""CURRENCY:INRBRL"")*F189"),22.6180843412)</f>
        <v>22.61808434</v>
      </c>
      <c r="J189" s="1">
        <v>4.5</v>
      </c>
      <c r="K189" s="1">
        <v>2806.0</v>
      </c>
      <c r="L189" s="1" t="s">
        <v>773</v>
      </c>
      <c r="M189" s="6" t="s">
        <v>774</v>
      </c>
      <c r="N189" s="7" t="str">
        <f>VLOOKUP(A189, avaliacoes!A:G, 5, FALSE)</f>
        <v>Good material, fast charging,Costly but good product,Support type c super fast charging,Good quality,Sturdy cable &amp; has decent charging capabilities.,Good buy.,Gud product.,Very good product</v>
      </c>
      <c r="O189" s="7" t="str">
        <f>VLOOKUP(A189, avaliacoes!A:G,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row>
    <row r="190">
      <c r="A190" s="1" t="s">
        <v>775</v>
      </c>
      <c r="B190" s="1" t="s">
        <v>776</v>
      </c>
      <c r="C190" s="1" t="s">
        <v>87</v>
      </c>
      <c r="D190" s="1" t="str">
        <f t="shared" si="2"/>
        <v>Electronics</v>
      </c>
      <c r="E190" s="1" t="str">
        <f t="shared" si="3"/>
        <v>HomeTheater,TV&amp;Video</v>
      </c>
      <c r="F190" s="2">
        <v>8990.0</v>
      </c>
      <c r="G190" s="2">
        <v>18990.0</v>
      </c>
      <c r="H190" s="3">
        <f t="shared" si="4"/>
        <v>0.5265929437</v>
      </c>
      <c r="I190" s="4">
        <f>IFERROR(__xludf.DUMMYFUNCTION("GOOGLEFINANCE(""CURRENCY:INRBRL"")*F190"),536.5081219719999)</f>
        <v>536.508122</v>
      </c>
      <c r="J190" s="1">
        <v>4.52</v>
      </c>
      <c r="K190" s="1">
        <v>350.0</v>
      </c>
      <c r="L190" s="1" t="s">
        <v>777</v>
      </c>
      <c r="M190" s="6" t="s">
        <v>778</v>
      </c>
      <c r="N190" s="7" t="str">
        <f>VLOOKUP(A190, avaliacoes!A:G, 5, FALSE)</f>
        <v>A budget Android TV,Wall Mount was missing from tv pack,Good,Good product but installation service is not good,Nice product ☺️👍,i am very satisfied,Good,Very good product in this price</v>
      </c>
      <c r="O190" s="7" t="str">
        <f>VLOOKUP(A190, avaliacoes!A:G, 6, FALSE)</f>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v>
      </c>
    </row>
    <row r="191">
      <c r="A191" s="1" t="s">
        <v>779</v>
      </c>
      <c r="B191" s="1" t="s">
        <v>780</v>
      </c>
      <c r="C191" s="1" t="s">
        <v>616</v>
      </c>
      <c r="D191" s="1" t="str">
        <f t="shared" si="2"/>
        <v>Electronics</v>
      </c>
      <c r="E191" s="1" t="str">
        <f t="shared" si="3"/>
        <v>HomeTheater,TV&amp;Video</v>
      </c>
      <c r="F191" s="2">
        <v>486.0</v>
      </c>
      <c r="G191" s="2">
        <v>1999.0</v>
      </c>
      <c r="H191" s="3">
        <f t="shared" si="4"/>
        <v>0.7568784392</v>
      </c>
      <c r="I191" s="4">
        <f>IFERROR(__xludf.DUMMYFUNCTION("GOOGLEFINANCE(""CURRENCY:INRBRL"")*F191"),29.0036648808)</f>
        <v>29.00366488</v>
      </c>
      <c r="J191" s="1">
        <v>4.5</v>
      </c>
      <c r="K191" s="1">
        <v>30023.0</v>
      </c>
      <c r="L191" s="1" t="s">
        <v>781</v>
      </c>
      <c r="M191" s="6" t="s">
        <v>782</v>
      </c>
      <c r="N191" s="7" t="str">
        <f>VLOOKUP(A191, avaliacoes!A:G, 5, FALSE)</f>
        <v>Value for Money,A good upgrade from stock cable.,GOOD CABLE,Value for the money,Great buy,Overall good,Awesome experience,Worked as expected</v>
      </c>
      <c r="O191" s="7" t="str">
        <f>VLOOKUP(A191, avaliacoes!A:G, 6, FALSE)</f>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v>
      </c>
    </row>
    <row r="192">
      <c r="A192" s="1" t="s">
        <v>783</v>
      </c>
      <c r="B192" s="1" t="s">
        <v>784</v>
      </c>
      <c r="C192" s="1" t="s">
        <v>237</v>
      </c>
      <c r="D192" s="1" t="str">
        <f t="shared" si="2"/>
        <v>Electronics</v>
      </c>
      <c r="E192" s="1" t="str">
        <f t="shared" si="3"/>
        <v>HomeTheater,TV&amp;Video</v>
      </c>
      <c r="F192" s="2">
        <v>5699.0</v>
      </c>
      <c r="G192" s="2">
        <v>11000.0</v>
      </c>
      <c r="H192" s="3">
        <f t="shared" si="4"/>
        <v>0.4819090909</v>
      </c>
      <c r="I192" s="4">
        <f>IFERROR(__xludf.DUMMYFUNCTION("GOOGLEFINANCE(""CURRENCY:INRBRL"")*F192"),340.10676163719995)</f>
        <v>340.1067616</v>
      </c>
      <c r="J192" s="1">
        <v>4.5</v>
      </c>
      <c r="K192" s="1">
        <v>4003.0</v>
      </c>
      <c r="L192" s="1" t="s">
        <v>785</v>
      </c>
      <c r="M192" s="6" t="s">
        <v>786</v>
      </c>
      <c r="N192" s="7" t="str">
        <f>VLOOKUP(A192, avaliacoes!A:G, 5, FALSE)</f>
        <v>Firestick plugging in issue, otherwise a good deal,Cheap &amp; Best Product,Low budget led tv,Nice tv,Very. Good,Why is the installation guy asking for installation charge?,Good Budget Tv,Good TV but after using it for 9 days, has found a flaw</v>
      </c>
      <c r="O192" s="7" t="str">
        <f>VLOOKUP(A192, avaliacoes!A:G, 6, FALSE)</f>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v>
      </c>
    </row>
    <row r="193">
      <c r="A193" s="1" t="s">
        <v>787</v>
      </c>
      <c r="B193" s="1" t="s">
        <v>788</v>
      </c>
      <c r="C193" s="1" t="s">
        <v>21</v>
      </c>
      <c r="D193" s="1" t="str">
        <f t="shared" si="2"/>
        <v>Computers&amp;Accessories</v>
      </c>
      <c r="E193" s="1" t="str">
        <f t="shared" si="3"/>
        <v>Accessories&amp;Peripherals</v>
      </c>
      <c r="F193" s="2">
        <v>709.0</v>
      </c>
      <c r="G193" s="2">
        <v>1999.0</v>
      </c>
      <c r="H193" s="3">
        <f t="shared" si="4"/>
        <v>0.6453226613</v>
      </c>
      <c r="I193" s="4">
        <f>IFERROR(__xludf.DUMMYFUNCTION("GOOGLEFINANCE(""CURRENCY:INRBRL"")*F193"),42.3119308652)</f>
        <v>42.31193087</v>
      </c>
      <c r="J193" s="1">
        <v>4.49</v>
      </c>
      <c r="K193" s="1">
        <v>178817.0</v>
      </c>
      <c r="L193" s="1" t="s">
        <v>789</v>
      </c>
      <c r="M193" s="6" t="s">
        <v>790</v>
      </c>
      <c r="N193" s="7" t="str">
        <f>VLOOKUP(A193, avaliacoes!A:G, 5, FALSE)</f>
        <v>Data transfer not the best,Good cable for iphone,Working Good,Best quality,Fast charging,Genuine product,Nice product,Good</v>
      </c>
      <c r="O193" s="7" t="str">
        <f>VLOOKUP(A193, avaliacoes!A:G, 6, FALSE)</f>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v>
      </c>
    </row>
    <row r="194">
      <c r="A194" s="1" t="s">
        <v>791</v>
      </c>
      <c r="B194" s="1" t="s">
        <v>792</v>
      </c>
      <c r="C194" s="1" t="s">
        <v>87</v>
      </c>
      <c r="D194" s="1" t="str">
        <f t="shared" si="2"/>
        <v>Electronics</v>
      </c>
      <c r="E194" s="1" t="str">
        <f t="shared" si="3"/>
        <v>HomeTheater,TV&amp;Video</v>
      </c>
      <c r="F194" s="2">
        <v>47990.0</v>
      </c>
      <c r="G194" s="2">
        <v>70900.0</v>
      </c>
      <c r="H194" s="3">
        <f t="shared" si="4"/>
        <v>0.3231311707</v>
      </c>
      <c r="I194" s="4">
        <f>IFERROR(__xludf.DUMMYFUNCTION("GOOGLEFINANCE(""CURRENCY:INRBRL"")*F194"),2863.9627111719997)</f>
        <v>2863.962711</v>
      </c>
      <c r="J194" s="1">
        <v>4.5</v>
      </c>
      <c r="K194" s="1">
        <v>7109.0</v>
      </c>
      <c r="L194" s="1" t="s">
        <v>270</v>
      </c>
      <c r="M194" s="6" t="s">
        <v>793</v>
      </c>
      <c r="N194" s="7" t="str">
        <f>VLOOKUP(A194, avaliacoes!A:G, 5, FALSE)</f>
        <v>Best(Branded) Budget TV,A high-quality 4k Smart TV from Samsung,Received Defective,Got Replacement,Nice product but,Tv is good,Best budget tv,Value for money. Samsung is always good,Value for money product</v>
      </c>
      <c r="O194" s="7" t="str">
        <f>VLOOKUP(A194, avaliacoes!A:G,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row>
    <row r="195">
      <c r="A195" s="1" t="s">
        <v>794</v>
      </c>
      <c r="B195" s="1" t="s">
        <v>795</v>
      </c>
      <c r="C195" s="1" t="s">
        <v>216</v>
      </c>
      <c r="D195" s="1" t="str">
        <f t="shared" si="2"/>
        <v>Electronics</v>
      </c>
      <c r="E195" s="1" t="str">
        <f t="shared" si="3"/>
        <v>HomeTheater,TV&amp;Video</v>
      </c>
      <c r="F195" s="2">
        <v>299.0</v>
      </c>
      <c r="G195" s="2">
        <v>1199.0</v>
      </c>
      <c r="H195" s="3">
        <f t="shared" si="4"/>
        <v>0.7506255213</v>
      </c>
      <c r="I195" s="4">
        <f>IFERROR(__xludf.DUMMYFUNCTION("GOOGLEFINANCE(""CURRENCY:INRBRL"")*F195"),17.8438185172)</f>
        <v>17.84381852</v>
      </c>
      <c r="J195" s="1">
        <v>4.51</v>
      </c>
      <c r="K195" s="1">
        <v>490.0</v>
      </c>
      <c r="L195" s="1" t="s">
        <v>796</v>
      </c>
      <c r="M195" s="6" t="s">
        <v>797</v>
      </c>
      <c r="N195" s="7" t="str">
        <f>VLOOKUP(A195, avaliacoes!A:G, 5, FALSE)</f>
        <v>Works just fine for my vu tv,Quality to be improve,Good,Good product,Value for money 👍,Works fine with Vu smart TV,Good Product. Suitable for VU,Ok, Quality can be improved</v>
      </c>
      <c r="O195" s="7" t="str">
        <f>VLOOKUP(A195, avaliacoes!A:G, 6, FALSE)</f>
        <v>Not as good as the original remote, but does the job. Really happy with this product,Very light,Good one, working as expected.,Good product,Nice product.....👌 value for money,The quality of the buttons is average, but it does the job. Works fine with Vu smart TV.,Perfect fit for VU tv,Ok</v>
      </c>
    </row>
    <row r="196">
      <c r="A196" s="1" t="s">
        <v>798</v>
      </c>
      <c r="B196" s="1" t="s">
        <v>799</v>
      </c>
      <c r="C196" s="1" t="s">
        <v>21</v>
      </c>
      <c r="D196" s="1" t="str">
        <f t="shared" si="2"/>
        <v>Computers&amp;Accessories</v>
      </c>
      <c r="E196" s="1" t="str">
        <f t="shared" si="3"/>
        <v>Accessories&amp;Peripherals</v>
      </c>
      <c r="F196" s="2">
        <v>320.0</v>
      </c>
      <c r="G196" s="2">
        <v>599.0</v>
      </c>
      <c r="H196" s="3">
        <f t="shared" si="4"/>
        <v>0.4657762938</v>
      </c>
      <c r="I196" s="4">
        <f>IFERROR(__xludf.DUMMYFUNCTION("GOOGLEFINANCE(""CURRENCY:INRBRL"")*F196"),19.097063295999998)</f>
        <v>19.0970633</v>
      </c>
      <c r="J196" s="1">
        <v>4.49</v>
      </c>
      <c r="K196" s="1">
        <v>491.0</v>
      </c>
      <c r="L196" s="1" t="s">
        <v>800</v>
      </c>
      <c r="M196" s="6" t="s">
        <v>801</v>
      </c>
      <c r="N196" s="7" t="str">
        <f>VLOOKUP(A196, avaliacoes!A:G, 5, FALSE)</f>
        <v>Good product,Good product,Built and charge power,Nice product Happy to buy,Not recommended,Good quality but charge little slow,Stopped working within 6 months,Value for money</v>
      </c>
      <c r="O196" s="7" t="str">
        <f>VLOOKUP(A196, avaliacoes!A:G, 6, FALSE)</f>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v>
      </c>
    </row>
    <row r="197">
      <c r="A197" s="1" t="s">
        <v>802</v>
      </c>
      <c r="B197" s="1" t="s">
        <v>803</v>
      </c>
      <c r="C197" s="1" t="s">
        <v>21</v>
      </c>
      <c r="D197" s="1" t="str">
        <f t="shared" si="2"/>
        <v>Computers&amp;Accessories</v>
      </c>
      <c r="E197" s="1" t="str">
        <f t="shared" si="3"/>
        <v>Accessories&amp;Peripherals</v>
      </c>
      <c r="F197" s="2">
        <v>139.0</v>
      </c>
      <c r="G197" s="2">
        <v>549.0</v>
      </c>
      <c r="H197" s="3">
        <f t="shared" si="4"/>
        <v>0.7468123862</v>
      </c>
      <c r="I197" s="4">
        <f>IFERROR(__xludf.DUMMYFUNCTION("GOOGLEFINANCE(""CURRENCY:INRBRL"")*F197"),8.2952868692)</f>
        <v>8.295286869</v>
      </c>
      <c r="J197" s="1">
        <v>4.52</v>
      </c>
      <c r="K197" s="1">
        <v>61.0</v>
      </c>
      <c r="L197" s="1" t="s">
        <v>804</v>
      </c>
      <c r="M197" s="6" t="s">
        <v>805</v>
      </c>
      <c r="N197" s="7" t="str">
        <f>VLOOKUP(A197, avaliacoes!A:G, 5, FALSE)</f>
        <v>Terrible,Charging status,Good quality,good charging,Nice product,Waste of Money.,Fast Charging Cable,Charching</v>
      </c>
      <c r="O197" s="7" t="str">
        <f>VLOOKUP(A197, avaliacoes!A:G, 6, FALSE)</f>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v>
      </c>
    </row>
    <row r="198">
      <c r="A198" s="1" t="s">
        <v>806</v>
      </c>
      <c r="B198" s="1" t="s">
        <v>807</v>
      </c>
      <c r="C198" s="1" t="s">
        <v>21</v>
      </c>
      <c r="D198" s="1" t="str">
        <f t="shared" si="2"/>
        <v>Computers&amp;Accessories</v>
      </c>
      <c r="E198" s="1" t="str">
        <f t="shared" si="3"/>
        <v>Accessories&amp;Peripherals</v>
      </c>
      <c r="F198" s="2">
        <v>129.0</v>
      </c>
      <c r="G198" s="2">
        <v>249.0</v>
      </c>
      <c r="H198" s="3">
        <f t="shared" si="4"/>
        <v>0.4819277108</v>
      </c>
      <c r="I198" s="4">
        <f>IFERROR(__xludf.DUMMYFUNCTION("GOOGLEFINANCE(""CURRENCY:INRBRL"")*F198"),7.698503641199999)</f>
        <v>7.698503641</v>
      </c>
      <c r="J198" s="1">
        <v>4.0</v>
      </c>
      <c r="K198" s="1">
        <v>9378.0</v>
      </c>
      <c r="L198" s="1" t="s">
        <v>808</v>
      </c>
      <c r="M198" s="6" t="s">
        <v>809</v>
      </c>
      <c r="N198" s="7" t="str">
        <f>VLOOKUP(A198, avaliacoes!A:G, 5, FALSE)</f>
        <v>Worked on iPhone 7 and didn’t work on XR,Good one,Dull Physical Looks,Just Buy it,Go for it,About the product,Get charging cable at the price,Working well.</v>
      </c>
      <c r="O198" s="7" t="str">
        <f>VLOOKUP(A198,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199">
      <c r="A199" s="1" t="s">
        <v>810</v>
      </c>
      <c r="B199" s="1" t="s">
        <v>811</v>
      </c>
      <c r="C199" s="1" t="s">
        <v>87</v>
      </c>
      <c r="D199" s="1" t="str">
        <f t="shared" si="2"/>
        <v>Electronics</v>
      </c>
      <c r="E199" s="1" t="str">
        <f t="shared" si="3"/>
        <v>HomeTheater,TV&amp;Video</v>
      </c>
      <c r="F199" s="2">
        <v>24999.0</v>
      </c>
      <c r="G199" s="2">
        <v>35999.0</v>
      </c>
      <c r="H199" s="3">
        <f t="shared" si="4"/>
        <v>0.3055640434</v>
      </c>
      <c r="I199" s="4">
        <f>IFERROR(__xludf.DUMMYFUNCTION("GOOGLEFINANCE(""CURRENCY:INRBRL"")*F199"),1491.8983916772)</f>
        <v>1491.898392</v>
      </c>
      <c r="J199" s="1">
        <v>4.5</v>
      </c>
      <c r="K199" s="1">
        <v>3284.0</v>
      </c>
      <c r="L199" s="1" t="s">
        <v>436</v>
      </c>
      <c r="M199" s="6" t="s">
        <v>812</v>
      </c>
      <c r="N199" s="7" t="str">
        <f>VLOOKUP(A199, avaliacoes!A:G, 5, FALSE)</f>
        <v>It is the best tv if you are getting it in 10-12k,Good price but the OS lags,GARBAGE QUALITY,Good product.,Good quality,Great experience everything is fantastic 🤠,Super picture quality and sound quality,Awesome</v>
      </c>
      <c r="O199" s="7" t="str">
        <f>VLOOKUP(A199,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v>
      </c>
    </row>
    <row r="200">
      <c r="A200" s="1" t="s">
        <v>813</v>
      </c>
      <c r="B200" s="1" t="s">
        <v>814</v>
      </c>
      <c r="C200" s="1" t="s">
        <v>21</v>
      </c>
      <c r="D200" s="1" t="str">
        <f t="shared" si="2"/>
        <v>Computers&amp;Accessories</v>
      </c>
      <c r="E200" s="1" t="str">
        <f t="shared" si="3"/>
        <v>Accessories&amp;Peripherals</v>
      </c>
      <c r="F200" s="2">
        <v>999.0</v>
      </c>
      <c r="G200" s="2">
        <v>1699.0</v>
      </c>
      <c r="H200" s="3">
        <f t="shared" si="4"/>
        <v>0.412007063</v>
      </c>
      <c r="I200" s="4">
        <f>IFERROR(__xludf.DUMMYFUNCTION("GOOGLEFINANCE(""CURRENCY:INRBRL"")*F200"),59.61864447719999)</f>
        <v>59.61864448</v>
      </c>
      <c r="J200" s="1">
        <v>4.5</v>
      </c>
      <c r="K200" s="1">
        <v>7318.0</v>
      </c>
      <c r="L200" s="1" t="s">
        <v>815</v>
      </c>
      <c r="M200" s="6" t="s">
        <v>816</v>
      </c>
      <c r="N200" s="7" t="str">
        <f>VLOOKUP(A200, avaliacoes!A:G, 5, FALSE)</f>
        <v>You might be able to get away by using other usb too,Built well but there are flaws.,Good alternative for Apple cable,Good alternative,Best buy,Good,Value for Money,Works as advertised.</v>
      </c>
      <c r="O200" s="7" t="str">
        <f>VLOOKUP(A200, avaliacoes!A:G, 6, FALSE)</f>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v>
      </c>
    </row>
    <row r="201">
      <c r="A201" s="1" t="s">
        <v>817</v>
      </c>
      <c r="B201" s="1" t="s">
        <v>818</v>
      </c>
      <c r="C201" s="1" t="s">
        <v>21</v>
      </c>
      <c r="D201" s="1" t="str">
        <f t="shared" si="2"/>
        <v>Computers&amp;Accessories</v>
      </c>
      <c r="E201" s="1" t="str">
        <f t="shared" si="3"/>
        <v>Accessories&amp;Peripherals</v>
      </c>
      <c r="F201" s="2">
        <v>225.0</v>
      </c>
      <c r="G201" s="2">
        <v>499.0</v>
      </c>
      <c r="H201" s="3">
        <f t="shared" si="4"/>
        <v>0.5490981964</v>
      </c>
      <c r="I201" s="4">
        <f>IFERROR(__xludf.DUMMYFUNCTION("GOOGLEFINANCE(""CURRENCY:INRBRL"")*F201"),13.427622629999998)</f>
        <v>13.42762263</v>
      </c>
      <c r="J201" s="1">
        <v>4.49</v>
      </c>
      <c r="K201" s="1">
        <v>789.0</v>
      </c>
      <c r="L201" s="1" t="s">
        <v>819</v>
      </c>
      <c r="M201" s="6" t="s">
        <v>820</v>
      </c>
      <c r="N201" s="7" t="str">
        <f>VLOOKUP(A201, avaliacoes!A:G, 5, FALSE)</f>
        <v>Good product,Working,Something is better than nothing,Average,Good,good product,Good work,Good</v>
      </c>
      <c r="O201" s="7" t="str">
        <f>VLOOKUP(A201, avaliacoes!A:G, 6, FALSE)</f>
        <v>Good product n it works fine,It's good one but price more than quality,Connecting to sensor for using is slightly a headache...... after Connecting sensor you need to use it in a delicate way,Useful itom,Good,good product and good responce,Good work,Worth for money</v>
      </c>
    </row>
    <row r="202">
      <c r="A202" s="1" t="s">
        <v>821</v>
      </c>
      <c r="B202" s="1" t="s">
        <v>822</v>
      </c>
      <c r="C202" s="1" t="s">
        <v>216</v>
      </c>
      <c r="D202" s="1" t="str">
        <f t="shared" si="2"/>
        <v>Electronics</v>
      </c>
      <c r="E202" s="1" t="str">
        <f t="shared" si="3"/>
        <v>HomeTheater,TV&amp;Video</v>
      </c>
      <c r="F202" s="2">
        <v>547.0</v>
      </c>
      <c r="G202" s="2">
        <v>2999.0</v>
      </c>
      <c r="H202" s="3">
        <f t="shared" si="4"/>
        <v>0.8176058686</v>
      </c>
      <c r="I202" s="4">
        <f>IFERROR(__xludf.DUMMYFUNCTION("GOOGLEFINANCE(""CURRENCY:INRBRL"")*F202"),32.6440425716)</f>
        <v>32.64404257</v>
      </c>
      <c r="J202" s="1">
        <v>4.5</v>
      </c>
      <c r="K202" s="1">
        <v>407.0</v>
      </c>
      <c r="L202" s="1" t="s">
        <v>823</v>
      </c>
      <c r="M202" s="6" t="s">
        <v>824</v>
      </c>
      <c r="N202" s="7" t="str">
        <f>VLOOKUP(A202, avaliacoes!A:G, 5, FALSE)</f>
        <v>Fitting issue,Perfect fit good quality product,good product,👌🏻Fit, 👍🏻cost wise, 👍🏻👍🏻material.,Wonderful product,Good for. New remote.,Nice product,Perfect for samsung frame series solar remote</v>
      </c>
      <c r="O202" s="7" t="str">
        <f>VLOOKUP(A202, avaliacoes!A:G, 6, FALSE)</f>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v>
      </c>
    </row>
    <row r="203">
      <c r="A203" s="1" t="s">
        <v>825</v>
      </c>
      <c r="B203" s="1" t="s">
        <v>826</v>
      </c>
      <c r="C203" s="1" t="s">
        <v>21</v>
      </c>
      <c r="D203" s="1" t="str">
        <f t="shared" si="2"/>
        <v>Computers&amp;Accessories</v>
      </c>
      <c r="E203" s="1" t="str">
        <f t="shared" si="3"/>
        <v>Accessories&amp;Peripherals</v>
      </c>
      <c r="F203" s="2">
        <v>259.0</v>
      </c>
      <c r="G203" s="2">
        <v>699.0</v>
      </c>
      <c r="H203" s="3">
        <f t="shared" si="4"/>
        <v>0.6294706724</v>
      </c>
      <c r="I203" s="4">
        <f>IFERROR(__xludf.DUMMYFUNCTION("GOOGLEFINANCE(""CURRENCY:INRBRL"")*F203"),15.456685605199999)</f>
        <v>15.45668561</v>
      </c>
      <c r="J203" s="1">
        <v>4.51</v>
      </c>
      <c r="K203" s="1">
        <v>2399.0</v>
      </c>
      <c r="L203" s="1" t="s">
        <v>827</v>
      </c>
      <c r="M203" s="6" t="s">
        <v>828</v>
      </c>
      <c r="N203" s="7" t="str">
        <f>VLOOKUP(A203, avaliacoes!A:G, 5, FALSE)</f>
        <v>Useful but the length is a bit short,This product is overpriced,Not proper,good,Happy to get it,USB Cable,good,Theek hi h</v>
      </c>
      <c r="O203" s="7" t="str">
        <f>VLOOKUP(A203, avaliacoes!A:G, 6, FALSE)</f>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v>
      </c>
    </row>
    <row r="204">
      <c r="A204" s="1" t="s">
        <v>829</v>
      </c>
      <c r="B204" s="1" t="s">
        <v>830</v>
      </c>
      <c r="C204" s="1" t="s">
        <v>216</v>
      </c>
      <c r="D204" s="1" t="str">
        <f t="shared" si="2"/>
        <v>Electronics</v>
      </c>
      <c r="E204" s="1" t="str">
        <f t="shared" si="3"/>
        <v>HomeTheater,TV&amp;Video</v>
      </c>
      <c r="F204" s="2">
        <v>239.0</v>
      </c>
      <c r="G204" s="2">
        <v>699.0</v>
      </c>
      <c r="H204" s="3">
        <f t="shared" si="4"/>
        <v>0.6580829757</v>
      </c>
      <c r="I204" s="4">
        <f>IFERROR(__xludf.DUMMYFUNCTION("GOOGLEFINANCE(""CURRENCY:INRBRL"")*F204"),14.2631191492)</f>
        <v>14.26311915</v>
      </c>
      <c r="J204" s="1">
        <v>4.5</v>
      </c>
      <c r="K204" s="1">
        <v>264.0</v>
      </c>
      <c r="L204" s="1" t="s">
        <v>831</v>
      </c>
      <c r="M204" s="6" t="s">
        <v>832</v>
      </c>
      <c r="N204" s="7" t="str">
        <f>VLOOKUP(A204, avaliacoes!A:G, 5, FALSE)</f>
        <v>Excellent solution for Sony TVs,Worth purchase,Very bad,Bad product,Remote,Good quality</v>
      </c>
      <c r="O204" s="7" t="str">
        <f>VLOOKUP(A204, avaliacoes!A:G, 6, FALSE)</f>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v>
      </c>
    </row>
    <row r="205">
      <c r="A205" s="1" t="s">
        <v>833</v>
      </c>
      <c r="B205" s="1" t="s">
        <v>834</v>
      </c>
      <c r="C205" s="1" t="s">
        <v>216</v>
      </c>
      <c r="D205" s="1" t="str">
        <f t="shared" si="2"/>
        <v>Electronics</v>
      </c>
      <c r="E205" s="1" t="str">
        <f t="shared" si="3"/>
        <v>HomeTheater,TV&amp;Video</v>
      </c>
      <c r="F205" s="2">
        <v>349.0</v>
      </c>
      <c r="G205" s="2">
        <v>999.0</v>
      </c>
      <c r="H205" s="3">
        <f t="shared" si="4"/>
        <v>0.6506506507</v>
      </c>
      <c r="I205" s="4">
        <f>IFERROR(__xludf.DUMMYFUNCTION("GOOGLEFINANCE(""CURRENCY:INRBRL"")*F205"),20.827734657199997)</f>
        <v>20.82773466</v>
      </c>
      <c r="J205" s="1">
        <v>4.0</v>
      </c>
      <c r="K205" s="1">
        <v>839.0</v>
      </c>
      <c r="L205" s="1" t="s">
        <v>835</v>
      </c>
      <c r="M205" s="6" t="s">
        <v>836</v>
      </c>
      <c r="N205" s="7" t="str">
        <f>VLOOKUP(A205, avaliacoes!A:G, 5, FALSE)</f>
        <v>Damaged product,Good quality aa well as fit,Good but fits loose at top, bit tight at bottom.,Fits the Samsung Smart TV Remote Perfectly!!,Perfectly fitted,Costly but good,Average product,A worthy product</v>
      </c>
      <c r="O205" s="7" t="str">
        <f>VLOOKUP(A205, avaliacoes!A:G, 6, FALSE)</f>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v>
      </c>
    </row>
    <row r="206">
      <c r="A206" s="1" t="s">
        <v>837</v>
      </c>
      <c r="B206" s="1" t="s">
        <v>838</v>
      </c>
      <c r="C206" s="1" t="s">
        <v>71</v>
      </c>
      <c r="D206" s="1" t="str">
        <f t="shared" si="2"/>
        <v>Electronics</v>
      </c>
      <c r="E206" s="1" t="str">
        <f t="shared" si="3"/>
        <v>HomeTheater,TV&amp;Video</v>
      </c>
      <c r="F206" s="2">
        <v>467.0</v>
      </c>
      <c r="G206" s="2">
        <v>599.0</v>
      </c>
      <c r="H206" s="3">
        <f t="shared" si="4"/>
        <v>0.2203672788</v>
      </c>
      <c r="I206" s="4">
        <f>IFERROR(__xludf.DUMMYFUNCTION("GOOGLEFINANCE(""CURRENCY:INRBRL"")*F206"),27.8697767476)</f>
        <v>27.86977675</v>
      </c>
      <c r="J206" s="1">
        <v>4.5</v>
      </c>
      <c r="K206" s="1">
        <v>44054.0</v>
      </c>
      <c r="L206" s="1" t="s">
        <v>839</v>
      </c>
      <c r="M206" s="6" t="s">
        <v>840</v>
      </c>
      <c r="N206" s="7" t="str">
        <f>VLOOKUP(A206, avaliacoes!A:G, 5, FALSE)</f>
        <v>BEST WITH BOAT &amp; LG SMART TV,This product is overpriced,Good picture quality, sturdy,It worked when I connect with soundbar to the smart TV,Good 👍,Good quality product my solve screen onn off,Ok,This cable support HDMI arc, but each time we have to select port in TV</v>
      </c>
      <c r="O206" s="7" t="str">
        <f>VLOOKUP(A206, avaliacoes!A:G, 6, FALSE)</f>
        <v>Perfect hdmi cable for boat soundbar and lg smart tv,This product is overpriced,Value for money &amp; good quality product,Quality product,Good 👍,Good quality,Good,It's ok to purchase for and as arc port</v>
      </c>
    </row>
    <row r="207">
      <c r="A207" s="1" t="s">
        <v>841</v>
      </c>
      <c r="B207" s="1" t="s">
        <v>842</v>
      </c>
      <c r="C207" s="1" t="s">
        <v>21</v>
      </c>
      <c r="D207" s="1" t="str">
        <f t="shared" si="2"/>
        <v>Computers&amp;Accessories</v>
      </c>
      <c r="E207" s="1" t="str">
        <f t="shared" si="3"/>
        <v>Accessories&amp;Peripherals</v>
      </c>
      <c r="F207" s="2">
        <v>449.0</v>
      </c>
      <c r="G207" s="2">
        <v>599.0</v>
      </c>
      <c r="H207" s="3">
        <f t="shared" si="4"/>
        <v>0.2504173623</v>
      </c>
      <c r="I207" s="4">
        <f>IFERROR(__xludf.DUMMYFUNCTION("GOOGLEFINANCE(""CURRENCY:INRBRL"")*F207"),26.795566937199997)</f>
        <v>26.79556694</v>
      </c>
      <c r="J207" s="1">
        <v>4.0</v>
      </c>
      <c r="K207" s="1">
        <v>3231.0</v>
      </c>
      <c r="L207" s="1" t="s">
        <v>843</v>
      </c>
      <c r="M207" s="6" t="s">
        <v>844</v>
      </c>
      <c r="N207" s="7" t="str">
        <f>VLOOKUP(A207, avaliacoes!A:G, 5, FALSE)</f>
        <v>It works,Reasonably Good Product,Very usefull,Work with iPod perfectly.,Not a good product,Wonderful Product and fast charging,Nice cable,Usefull to me</v>
      </c>
      <c r="O207" s="7" t="str">
        <f>VLOOKUP(A207, avaliacoes!A:G, 6, FALSE)</f>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v>
      </c>
    </row>
    <row r="208">
      <c r="A208" s="1" t="s">
        <v>845</v>
      </c>
      <c r="B208" s="1" t="s">
        <v>846</v>
      </c>
      <c r="C208" s="1" t="s">
        <v>87</v>
      </c>
      <c r="D208" s="1" t="str">
        <f t="shared" si="2"/>
        <v>Electronics</v>
      </c>
      <c r="E208" s="1" t="str">
        <f t="shared" si="3"/>
        <v>HomeTheater,TV&amp;Video</v>
      </c>
      <c r="F208" s="2">
        <v>11990.0</v>
      </c>
      <c r="G208" s="2">
        <v>31990.0</v>
      </c>
      <c r="H208" s="3">
        <f t="shared" si="4"/>
        <v>0.6251953736</v>
      </c>
      <c r="I208" s="4">
        <f>IFERROR(__xludf.DUMMYFUNCTION("GOOGLEFINANCE(""CURRENCY:INRBRL"")*F208"),715.5430903719999)</f>
        <v>715.5430904</v>
      </c>
      <c r="J208" s="1">
        <v>4.5</v>
      </c>
      <c r="K208" s="1">
        <v>64.0</v>
      </c>
      <c r="L208" s="1" t="s">
        <v>335</v>
      </c>
      <c r="M208" s="6" t="s">
        <v>847</v>
      </c>
      <c r="N208" s="7" t="str">
        <f>VLOOKUP(A208, avaliacoes!A:G, 5, FALSE)</f>
        <v>Worth of money,There is no 8 gb storage only 2.8 is there,Superb quality,Good product,Nice product for tcl android smart tv,TCL 32inch android tv good quality and rate,Nice smart Tv,Paisa vasul</v>
      </c>
      <c r="O208" s="7" t="str">
        <f>VLOOKUP(A208, avaliacoes!A:G, 6, FALSE)</f>
        <v>Picture &amp; sound quality good,Storage is not 8 gb there is only 2.8 gb,https://m.media-amazon.com/images/I/51-RmznbJjL._SY88.jpg,Good tv i like it,https://m.media-amazon.com/images/I/71R-NmGhkYL._SY88.jpg,,It’s a nice smart android television support all the web OTT platform,Nice ,product worth for the price</v>
      </c>
    </row>
    <row r="209">
      <c r="A209" s="1" t="s">
        <v>848</v>
      </c>
      <c r="B209" s="1" t="s">
        <v>849</v>
      </c>
      <c r="C209" s="1" t="s">
        <v>21</v>
      </c>
      <c r="D209" s="1" t="str">
        <f t="shared" si="2"/>
        <v>Computers&amp;Accessories</v>
      </c>
      <c r="E209" s="1" t="str">
        <f t="shared" si="3"/>
        <v>Accessories&amp;Peripherals</v>
      </c>
      <c r="F209" s="2">
        <v>350.0</v>
      </c>
      <c r="G209" s="2">
        <v>599.0</v>
      </c>
      <c r="H209" s="3">
        <f t="shared" si="4"/>
        <v>0.4156928214</v>
      </c>
      <c r="I209" s="4">
        <f>IFERROR(__xludf.DUMMYFUNCTION("GOOGLEFINANCE(""CURRENCY:INRBRL"")*F209"),20.887412979999997)</f>
        <v>20.88741298</v>
      </c>
      <c r="J209" s="1">
        <v>4.52</v>
      </c>
      <c r="K209" s="1">
        <v>8314.0</v>
      </c>
      <c r="L209" s="1" t="s">
        <v>850</v>
      </c>
      <c r="M209" s="6" t="s">
        <v>851</v>
      </c>
      <c r="N209" s="7" t="str">
        <f>VLOOKUP(A209, avaliacoes!A:G, 5, FALSE)</f>
        <v>They did what they said... Sent a replacement when complained...,Charging Rapidly on Replacement,They did what they said... Sent a replacement when complained...,Capacity,Not original but worth buying,Does not support fast charging,Good,Good quality</v>
      </c>
      <c r="O209" s="7" t="str">
        <f>VLOOKUP(A209, avaliacoes!A:G, 6, FALSE)</f>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v>
      </c>
    </row>
    <row r="210">
      <c r="A210" s="1" t="s">
        <v>852</v>
      </c>
      <c r="B210" s="1" t="s">
        <v>853</v>
      </c>
      <c r="C210" s="1" t="s">
        <v>21</v>
      </c>
      <c r="D210" s="1" t="str">
        <f t="shared" si="2"/>
        <v>Computers&amp;Accessories</v>
      </c>
      <c r="E210" s="1" t="str">
        <f t="shared" si="3"/>
        <v>Accessories&amp;Peripherals</v>
      </c>
      <c r="F210" s="2">
        <v>252.0</v>
      </c>
      <c r="G210" s="2">
        <v>999.0</v>
      </c>
      <c r="H210" s="3">
        <f t="shared" si="4"/>
        <v>0.7477477477</v>
      </c>
      <c r="I210" s="4">
        <f>IFERROR(__xludf.DUMMYFUNCTION("GOOGLEFINANCE(""CURRENCY:INRBRL"")*F210"),15.038937345599999)</f>
        <v>15.03893735</v>
      </c>
      <c r="J210" s="1">
        <v>4.51</v>
      </c>
      <c r="K210" s="1">
        <v>2249.0</v>
      </c>
      <c r="L210" s="1" t="s">
        <v>854</v>
      </c>
      <c r="M210" s="6" t="s">
        <v>855</v>
      </c>
      <c r="N210" s="7" t="str">
        <f>VLOOKUP(A210, avaliacoes!A:G, 5, FALSE)</f>
        <v>Value for money,faulty product,Must buy,Best one,Fine with the charger,Not upto the mark…one time usage product,Value for money,review</v>
      </c>
      <c r="O210" s="7" t="str">
        <f>VLOOKUP(A210, avaliacoes!A:G, 6, FALSE)</f>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v>
      </c>
    </row>
    <row r="211">
      <c r="A211" s="1" t="s">
        <v>856</v>
      </c>
      <c r="B211" s="1" t="s">
        <v>857</v>
      </c>
      <c r="C211" s="1" t="s">
        <v>216</v>
      </c>
      <c r="D211" s="1" t="str">
        <f t="shared" si="2"/>
        <v>Electronics</v>
      </c>
      <c r="E211" s="1" t="str">
        <f t="shared" si="3"/>
        <v>HomeTheater,TV&amp;Video</v>
      </c>
      <c r="F211" s="2">
        <v>204.0</v>
      </c>
      <c r="G211" s="2">
        <v>599.0</v>
      </c>
      <c r="H211" s="3">
        <f t="shared" si="4"/>
        <v>0.6594323873</v>
      </c>
      <c r="I211" s="4">
        <f>IFERROR(__xludf.DUMMYFUNCTION("GOOGLEFINANCE(""CURRENCY:INRBRL"")*F211"),12.1743778512)</f>
        <v>12.17437785</v>
      </c>
      <c r="J211" s="1">
        <v>4.51</v>
      </c>
      <c r="K211" s="1">
        <v>339.0</v>
      </c>
      <c r="L211" s="1" t="s">
        <v>858</v>
      </c>
      <c r="M211" s="6" t="s">
        <v>859</v>
      </c>
      <c r="N211" s="7" t="str">
        <f>VLOOKUP(A211, avaliacoes!A:G, 5, FALSE)</f>
        <v>its not Universal,Tatasky remote from Amazon is cheapest, best,Good services by amazon,Okay product,1 item missing,Nice product,Ok,Good for general use</v>
      </c>
      <c r="O211" s="7" t="str">
        <f>VLOOKUP(A211, avaliacoes!A:G, 6, FALSE)</f>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v>
      </c>
    </row>
    <row r="212">
      <c r="A212" s="1" t="s">
        <v>860</v>
      </c>
      <c r="B212" s="1" t="s">
        <v>861</v>
      </c>
      <c r="C212" s="1" t="s">
        <v>653</v>
      </c>
      <c r="D212" s="1" t="str">
        <f t="shared" si="2"/>
        <v>Electronics</v>
      </c>
      <c r="E212" s="1" t="str">
        <f t="shared" si="3"/>
        <v>HomeTheater,TV&amp;Video</v>
      </c>
      <c r="F212" s="2">
        <v>6490.0</v>
      </c>
      <c r="G212" s="2">
        <v>9990.0</v>
      </c>
      <c r="H212" s="3">
        <f t="shared" si="4"/>
        <v>0.3503503504</v>
      </c>
      <c r="I212" s="4">
        <f>IFERROR(__xludf.DUMMYFUNCTION("GOOGLEFINANCE(""CURRENCY:INRBRL"")*F212"),387.31231497199997)</f>
        <v>387.312315</v>
      </c>
      <c r="J212" s="1">
        <v>4.0</v>
      </c>
      <c r="K212" s="1">
        <v>27.0</v>
      </c>
      <c r="L212" s="1" t="s">
        <v>862</v>
      </c>
      <c r="M212" s="6" t="s">
        <v>863</v>
      </c>
      <c r="N212" s="7" t="str">
        <f>VLOOKUP(A212, avaliacoes!A:G, 5, FALSE)</f>
        <v>Beat projector for good price,Value for money,Excellent,Wow!!! Just wow!! 🔥🔥,Recently purchased and started using from yesterday,It's beautiful, premium portable useful gadget,Brightness is excellent.,Experience</v>
      </c>
      <c r="O212" s="7" t="str">
        <f>VLOOKUP(A212, avaliacoes!A:G, 6, FALSE)</f>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v>
      </c>
    </row>
    <row r="213">
      <c r="A213" s="1" t="s">
        <v>864</v>
      </c>
      <c r="B213" s="1" t="s">
        <v>865</v>
      </c>
      <c r="C213" s="1" t="s">
        <v>216</v>
      </c>
      <c r="D213" s="1" t="str">
        <f t="shared" si="2"/>
        <v>Electronics</v>
      </c>
      <c r="E213" s="1" t="str">
        <f t="shared" si="3"/>
        <v>HomeTheater,TV&amp;Video</v>
      </c>
      <c r="F213" s="2">
        <v>235.0</v>
      </c>
      <c r="G213" s="2">
        <v>599.0</v>
      </c>
      <c r="H213" s="3">
        <f t="shared" si="4"/>
        <v>0.6076794658</v>
      </c>
      <c r="I213" s="4">
        <f>IFERROR(__xludf.DUMMYFUNCTION("GOOGLEFINANCE(""CURRENCY:INRBRL"")*F213"),14.024405858)</f>
        <v>14.02440586</v>
      </c>
      <c r="J213" s="1">
        <v>4.5</v>
      </c>
      <c r="K213" s="1">
        <v>197.0</v>
      </c>
      <c r="L213" s="1" t="s">
        <v>866</v>
      </c>
      <c r="M213" s="6" t="s">
        <v>867</v>
      </c>
      <c r="N213" s="7" t="str">
        <f>VLOOKUP(A213, avaliacoes!A:G, 5, FALSE)</f>
        <v>Value for money,Does the job,Waste of money product,Ok types,Waste product,Good for the price and works well with Tatasky remote,Don't buy it,It works</v>
      </c>
      <c r="O213" s="7" t="str">
        <f>VLOOKUP(A213, avaliacoes!A:G, 6, FALSE)</f>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v>
      </c>
    </row>
    <row r="214">
      <c r="A214" s="1" t="s">
        <v>868</v>
      </c>
      <c r="B214" s="1" t="s">
        <v>869</v>
      </c>
      <c r="C214" s="1" t="s">
        <v>21</v>
      </c>
      <c r="D214" s="1" t="str">
        <f t="shared" si="2"/>
        <v>Computers&amp;Accessories</v>
      </c>
      <c r="E214" s="1" t="str">
        <f t="shared" si="3"/>
        <v>Accessories&amp;Peripherals</v>
      </c>
      <c r="F214" s="2">
        <v>299.0</v>
      </c>
      <c r="G214" s="2">
        <v>800.0</v>
      </c>
      <c r="H214" s="3">
        <f t="shared" si="4"/>
        <v>0.62625</v>
      </c>
      <c r="I214" s="4">
        <f>IFERROR(__xludf.DUMMYFUNCTION("GOOGLEFINANCE(""CURRENCY:INRBRL"")*F214"),17.8438185172)</f>
        <v>17.84381852</v>
      </c>
      <c r="J214" s="1">
        <v>4.51</v>
      </c>
      <c r="K214" s="1">
        <v>74977.0</v>
      </c>
      <c r="L214" s="1" t="s">
        <v>870</v>
      </c>
      <c r="M214" s="6" t="s">
        <v>871</v>
      </c>
      <c r="N214" s="7" t="str">
        <f>VLOOKUP(A214, avaliacoes!A:G, 5, FALSE)</f>
        <v>Nice,good,Paisa vassol,Sturdy and long.,Good for the price and great quality.,Works as expected,Good,Good</v>
      </c>
      <c r="O214" s="7" t="str">
        <f>VLOOKUP(A214, avaliacoes!A:G,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row>
    <row r="215">
      <c r="A215" s="1" t="s">
        <v>872</v>
      </c>
      <c r="B215" s="1" t="s">
        <v>873</v>
      </c>
      <c r="C215" s="1" t="s">
        <v>21</v>
      </c>
      <c r="D215" s="1" t="str">
        <f t="shared" si="2"/>
        <v>Computers&amp;Accessories</v>
      </c>
      <c r="E215" s="1" t="str">
        <f t="shared" si="3"/>
        <v>Accessories&amp;Peripherals</v>
      </c>
      <c r="F215" s="2">
        <v>799.0</v>
      </c>
      <c r="G215" s="2">
        <v>1999.0</v>
      </c>
      <c r="H215" s="3">
        <f t="shared" si="4"/>
        <v>0.6003001501</v>
      </c>
      <c r="I215" s="4">
        <f>IFERROR(__xludf.DUMMYFUNCTION("GOOGLEFINANCE(""CURRENCY:INRBRL"")*F215"),47.682979917199994)</f>
        <v>47.68297992</v>
      </c>
      <c r="J215" s="1">
        <v>4.5</v>
      </c>
      <c r="K215" s="1">
        <v>8583.0</v>
      </c>
      <c r="L215" s="1" t="s">
        <v>874</v>
      </c>
      <c r="M215" s="6" t="s">
        <v>875</v>
      </c>
      <c r="N215" s="7" t="str">
        <f>VLOOKUP(A215, avaliacoes!A:G, 5, FALSE)</f>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v>
      </c>
      <c r="O215" s="7" t="str">
        <f>VLOOKUP(A215, avaliacoes!A:G, 6, FALSE)</f>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v>
      </c>
    </row>
    <row r="216">
      <c r="A216" s="1" t="s">
        <v>876</v>
      </c>
      <c r="B216" s="1" t="s">
        <v>877</v>
      </c>
      <c r="C216" s="1" t="s">
        <v>216</v>
      </c>
      <c r="D216" s="1" t="str">
        <f t="shared" si="2"/>
        <v>Electronics</v>
      </c>
      <c r="E216" s="1" t="str">
        <f t="shared" si="3"/>
        <v>HomeTheater,TV&amp;Video</v>
      </c>
      <c r="F216" s="2">
        <v>299.0</v>
      </c>
      <c r="G216" s="2">
        <v>999.0</v>
      </c>
      <c r="H216" s="3">
        <f t="shared" si="4"/>
        <v>0.7007007007</v>
      </c>
      <c r="I216" s="4">
        <f>IFERROR(__xludf.DUMMYFUNCTION("GOOGLEFINANCE(""CURRENCY:INRBRL"")*F216"),17.8438185172)</f>
        <v>17.84381852</v>
      </c>
      <c r="J216" s="1">
        <v>4.51</v>
      </c>
      <c r="K216" s="1">
        <v>928.0</v>
      </c>
      <c r="L216" s="1" t="s">
        <v>878</v>
      </c>
      <c r="M216" s="6" t="s">
        <v>879</v>
      </c>
      <c r="N216" s="7" t="str">
        <f>VLOOKUP(A216, avaliacoes!A:G, 5, FALSE)</f>
        <v>Good compatibility,Good Product,Good nice serves the purpose ..Build quality is also good .,Not meet the anticipation.,Good,Nive product worth for money.,Horrible experience,Thanks for prompt replacement.</v>
      </c>
      <c r="O216" s="7" t="str">
        <f>VLOOKUP(A216, avaliacoes!A:G, 6, FALSE)</f>
        <v>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v>
      </c>
    </row>
    <row r="217">
      <c r="A217" s="1" t="s">
        <v>880</v>
      </c>
      <c r="B217" s="1" t="s">
        <v>881</v>
      </c>
      <c r="C217" s="1" t="s">
        <v>237</v>
      </c>
      <c r="D217" s="1" t="str">
        <f t="shared" si="2"/>
        <v>Electronics</v>
      </c>
      <c r="E217" s="1" t="str">
        <f t="shared" si="3"/>
        <v>HomeTheater,TV&amp;Video</v>
      </c>
      <c r="F217" s="2">
        <v>6999.0</v>
      </c>
      <c r="G217" s="2">
        <v>16990.0</v>
      </c>
      <c r="H217" s="3">
        <f t="shared" si="4"/>
        <v>0.5880517952</v>
      </c>
      <c r="I217" s="4">
        <f>IFERROR(__xludf.DUMMYFUNCTION("GOOGLEFINANCE(""CURRENCY:INRBRL"")*F217"),417.68858127719994)</f>
        <v>417.6885813</v>
      </c>
      <c r="J217" s="1">
        <v>4.51</v>
      </c>
      <c r="K217" s="1">
        <v>110.0</v>
      </c>
      <c r="L217" s="1" t="s">
        <v>882</v>
      </c>
      <c r="M217" s="6" t="s">
        <v>883</v>
      </c>
      <c r="N217" s="7" t="str">
        <f>VLOOKUP(A217, avaliacoes!A:G, 5, FALSE)</f>
        <v>Nice,Nice product,Value for money,Karbonn,Good,Nice product,Not suitable for external monitor purpose,Good</v>
      </c>
      <c r="O217" s="7" t="str">
        <f>VLOOKUP(A217, avaliacoes!A:G, 6, FALSE)</f>
        <v>Nice product,Nice product,Ok good,,Good,अच्छा,Only for home drama and cinema experienceGood to buy in this price rangeReview after two months its working fine without any issues,</v>
      </c>
    </row>
    <row r="218">
      <c r="A218" s="1" t="s">
        <v>884</v>
      </c>
      <c r="B218" s="1" t="s">
        <v>885</v>
      </c>
      <c r="C218" s="1" t="s">
        <v>87</v>
      </c>
      <c r="D218" s="1" t="str">
        <f t="shared" si="2"/>
        <v>Electronics</v>
      </c>
      <c r="E218" s="1" t="str">
        <f t="shared" si="3"/>
        <v>HomeTheater,TV&amp;Video</v>
      </c>
      <c r="F218" s="2">
        <v>42999.0</v>
      </c>
      <c r="G218" s="2">
        <v>59999.0</v>
      </c>
      <c r="H218" s="3">
        <f t="shared" si="4"/>
        <v>0.2833380556</v>
      </c>
      <c r="I218" s="4">
        <f>IFERROR(__xludf.DUMMYFUNCTION("GOOGLEFINANCE(""CURRENCY:INRBRL"")*F218"),2566.1082020771996)</f>
        <v>2566.108202</v>
      </c>
      <c r="J218" s="1">
        <v>4.49</v>
      </c>
      <c r="K218" s="1">
        <v>6753.0</v>
      </c>
      <c r="L218" s="1" t="s">
        <v>886</v>
      </c>
      <c r="M218" s="6" t="s">
        <v>887</v>
      </c>
      <c r="N218" s="7" t="str">
        <f>VLOOKUP(A218, avaliacoes!A:G, 5, FALSE)</f>
        <v>Almost Perfect!,Review After using 1month,Nice tv,Panel and video quality,Good Product,Worth for money,Nice,Good</v>
      </c>
      <c r="O218" s="7" t="str">
        <f>VLOOKUP(A218, avaliacoes!A:G, 6, FALSE)</f>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v>
      </c>
    </row>
    <row r="219">
      <c r="A219" s="1" t="s">
        <v>888</v>
      </c>
      <c r="B219" s="1" t="s">
        <v>889</v>
      </c>
      <c r="C219" s="1" t="s">
        <v>71</v>
      </c>
      <c r="D219" s="1" t="str">
        <f t="shared" si="2"/>
        <v>Electronics</v>
      </c>
      <c r="E219" s="1" t="str">
        <f t="shared" si="3"/>
        <v>HomeTheater,TV&amp;Video</v>
      </c>
      <c r="F219" s="2">
        <v>173.0</v>
      </c>
      <c r="G219" s="2">
        <v>999.0</v>
      </c>
      <c r="H219" s="3">
        <f t="shared" si="4"/>
        <v>0.8268268268</v>
      </c>
      <c r="I219" s="4">
        <f>IFERROR(__xludf.DUMMYFUNCTION("GOOGLEFINANCE(""CURRENCY:INRBRL"")*F219"),10.324349844399999)</f>
        <v>10.32434984</v>
      </c>
      <c r="J219" s="1">
        <v>4.5</v>
      </c>
      <c r="K219" s="1">
        <v>1237.0</v>
      </c>
      <c r="L219" s="1" t="s">
        <v>890</v>
      </c>
      <c r="M219" s="6" t="s">
        <v>891</v>
      </c>
      <c r="N219" s="7" t="str">
        <f>VLOOKUP(A219, avaliacoes!A:G, 5, FALSE)</f>
        <v>It's working perfectly for my mi stick,It's a genuine product,good items. value for money.,good,Good quality product,value for money,Nice picture quality,Good Product</v>
      </c>
      <c r="O219" s="7" t="str">
        <f>VLOOKUP(A219, avaliacoes!A:G, 6, FALSE)</f>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v>
      </c>
    </row>
    <row r="220">
      <c r="A220" s="1" t="s">
        <v>892</v>
      </c>
      <c r="B220" s="1" t="s">
        <v>893</v>
      </c>
      <c r="C220" s="1" t="s">
        <v>894</v>
      </c>
      <c r="D220" s="1" t="str">
        <f t="shared" si="2"/>
        <v>Electronics</v>
      </c>
      <c r="E220" s="1" t="str">
        <f t="shared" si="3"/>
        <v>HomeAudio</v>
      </c>
      <c r="F220" s="2">
        <v>209.0</v>
      </c>
      <c r="G220" s="2">
        <v>600.0</v>
      </c>
      <c r="H220" s="3">
        <f t="shared" si="4"/>
        <v>0.6516666667</v>
      </c>
      <c r="I220" s="4">
        <f>IFERROR(__xludf.DUMMYFUNCTION("GOOGLEFINANCE(""CURRENCY:INRBRL"")*F220"),12.472769465199999)</f>
        <v>12.47276947</v>
      </c>
      <c r="J220" s="1">
        <v>4.5</v>
      </c>
      <c r="K220" s="1">
        <v>18872.0</v>
      </c>
      <c r="L220" s="1" t="s">
        <v>895</v>
      </c>
      <c r="M220" s="6" t="s">
        <v>896</v>
      </c>
      <c r="N220" s="7" t="str">
        <f>VLOOKUP(A220, avaliacoes!A:G, 5, FALSE)</f>
        <v>Good Quality Product,Good Product,Good,Perfect HDMI coupler,Very Good Connector,Does the job,Product is good but not working with Fire tv stick.,Perfect</v>
      </c>
      <c r="O220" s="7" t="str">
        <f>VLOOKUP(A220, avaliacoes!A:G, 6, FALSE)</f>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v>
      </c>
    </row>
    <row r="221">
      <c r="A221" s="1" t="s">
        <v>897</v>
      </c>
      <c r="B221" s="1" t="s">
        <v>898</v>
      </c>
      <c r="C221" s="1" t="s">
        <v>21</v>
      </c>
      <c r="D221" s="1" t="str">
        <f t="shared" si="2"/>
        <v>Computers&amp;Accessories</v>
      </c>
      <c r="E221" s="1" t="str">
        <f t="shared" si="3"/>
        <v>Accessories&amp;Peripherals</v>
      </c>
      <c r="F221" s="2">
        <v>848.99</v>
      </c>
      <c r="G221" s="2">
        <v>1490.0</v>
      </c>
      <c r="H221" s="3">
        <f t="shared" si="4"/>
        <v>0.4302080537</v>
      </c>
      <c r="I221" s="4">
        <f>IFERROR(__xludf.DUMMYFUNCTION("GOOGLEFINANCE(""CURRENCY:INRBRL"")*F221"),50.666299273971994)</f>
        <v>50.66629927</v>
      </c>
      <c r="J221" s="1">
        <v>4.52</v>
      </c>
      <c r="K221" s="1">
        <v>356.0</v>
      </c>
      <c r="L221" s="1" t="s">
        <v>899</v>
      </c>
      <c r="M221" s="6" t="s">
        <v>900</v>
      </c>
      <c r="N221" s="7" t="str">
        <f>VLOOKUP(A221, avaliacoes!A:G, 5, FALSE)</f>
        <v>Low quality material use,Good one,Cable is good,Charging,Good,Good,Best car charging cable,Subscribe My channel - Tunetworks GAming</v>
      </c>
      <c r="O221" s="7" t="str">
        <f>VLOOKUP(A221, avaliacoes!A:G, 6, FALSE)</f>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v>
      </c>
    </row>
    <row r="222">
      <c r="A222" s="1" t="s">
        <v>901</v>
      </c>
      <c r="B222" s="1" t="s">
        <v>902</v>
      </c>
      <c r="C222" s="1" t="s">
        <v>21</v>
      </c>
      <c r="D222" s="1" t="str">
        <f t="shared" si="2"/>
        <v>Computers&amp;Accessories</v>
      </c>
      <c r="E222" s="1" t="str">
        <f t="shared" si="3"/>
        <v>Accessories&amp;Peripherals</v>
      </c>
      <c r="F222" s="2">
        <v>649.0</v>
      </c>
      <c r="G222" s="2">
        <v>1999.0</v>
      </c>
      <c r="H222" s="3">
        <f t="shared" si="4"/>
        <v>0.6753376688</v>
      </c>
      <c r="I222" s="4">
        <f>IFERROR(__xludf.DUMMYFUNCTION("GOOGLEFINANCE(""CURRENCY:INRBRL"")*F222"),38.7312314972)</f>
        <v>38.7312315</v>
      </c>
      <c r="J222" s="1">
        <v>4.5</v>
      </c>
      <c r="K222" s="1">
        <v>24269.0</v>
      </c>
      <c r="L222" s="1" t="s">
        <v>903</v>
      </c>
      <c r="M222" s="6" t="s">
        <v>904</v>
      </c>
      <c r="N222" s="7" t="str">
        <f>VLOOKUP(A222, avaliacoes!A:G, 5, FALSE)</f>
        <v>Satisfied,Charging is really fast,Value for money,Product review,Good quality,Good product,Good Product,As of now seems good</v>
      </c>
      <c r="O222" s="7" t="str">
        <f>VLOOKUP(A222, avaliacoes!A:G, 6, FALSE)</f>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v>
      </c>
    </row>
    <row r="223">
      <c r="A223" s="1" t="s">
        <v>905</v>
      </c>
      <c r="B223" s="1" t="s">
        <v>906</v>
      </c>
      <c r="C223" s="1" t="s">
        <v>216</v>
      </c>
      <c r="D223" s="1" t="str">
        <f t="shared" si="2"/>
        <v>Electronics</v>
      </c>
      <c r="E223" s="1" t="str">
        <f t="shared" si="3"/>
        <v>HomeTheater,TV&amp;Video</v>
      </c>
      <c r="F223" s="2">
        <v>299.0</v>
      </c>
      <c r="G223" s="2">
        <v>899.0</v>
      </c>
      <c r="H223" s="3">
        <f t="shared" si="4"/>
        <v>0.6674082314</v>
      </c>
      <c r="I223" s="4">
        <f>IFERROR(__xludf.DUMMYFUNCTION("GOOGLEFINANCE(""CURRENCY:INRBRL"")*F223"),17.8438185172)</f>
        <v>17.84381852</v>
      </c>
      <c r="J223" s="1">
        <v>4.51</v>
      </c>
      <c r="K223" s="1">
        <v>425.0</v>
      </c>
      <c r="L223" s="1" t="s">
        <v>907</v>
      </c>
      <c r="M223" s="6" t="s">
        <v>908</v>
      </c>
      <c r="N223" s="7" t="str">
        <f>VLOOKUP(A223, avaliacoes!A:G, 5, FALSE)</f>
        <v>Good product,Bit price high.,Not the best,Issue with On off Button since first day.,Nice remote,Good,Stopped working in 1 month,Awesome product</v>
      </c>
      <c r="O223" s="7" t="str">
        <f>VLOOKUP(A223, avaliacoes!A:G, 6, FALSE)</f>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v>
      </c>
    </row>
    <row r="224">
      <c r="A224" s="1" t="s">
        <v>909</v>
      </c>
      <c r="B224" s="1" t="s">
        <v>910</v>
      </c>
      <c r="C224" s="1" t="s">
        <v>298</v>
      </c>
      <c r="D224" s="1" t="str">
        <f t="shared" si="2"/>
        <v>Electronics</v>
      </c>
      <c r="E224" s="1" t="str">
        <f t="shared" si="3"/>
        <v>HomeTheater,TV&amp;Video</v>
      </c>
      <c r="F224" s="2">
        <v>399.0</v>
      </c>
      <c r="G224" s="2">
        <v>799.0</v>
      </c>
      <c r="H224" s="3">
        <f t="shared" si="4"/>
        <v>0.5006257822</v>
      </c>
      <c r="I224" s="4">
        <f>IFERROR(__xludf.DUMMYFUNCTION("GOOGLEFINANCE(""CURRENCY:INRBRL"")*F224"),23.8116507972)</f>
        <v>23.8116508</v>
      </c>
      <c r="J224" s="1">
        <v>4.49</v>
      </c>
      <c r="K224" s="1">
        <v>1161.0</v>
      </c>
      <c r="L224" s="1" t="s">
        <v>911</v>
      </c>
      <c r="M224" s="6" t="s">
        <v>912</v>
      </c>
      <c r="N224" s="7" t="str">
        <f>VLOOKUP(A224, avaliacoes!A:G, 5, FALSE)</f>
        <v>Good for monitors and light weight TVs,Good adherness but adjustment screw is weak to adhere screen properly,Good,Quality is good,Good product, but has a fault,Space saver,DIY install a bit difficult,Very strong and sturdy</v>
      </c>
      <c r="O224" s="7" t="str">
        <f>VLOOKUP(A224, avaliacoes!A:G, 6, FALSE)</f>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v>
      </c>
    </row>
    <row r="225">
      <c r="A225" s="1" t="s">
        <v>913</v>
      </c>
      <c r="B225" s="1" t="s">
        <v>914</v>
      </c>
      <c r="C225" s="1" t="s">
        <v>21</v>
      </c>
      <c r="D225" s="1" t="str">
        <f t="shared" si="2"/>
        <v>Computers&amp;Accessories</v>
      </c>
      <c r="E225" s="1" t="str">
        <f t="shared" si="3"/>
        <v>Accessories&amp;Peripherals</v>
      </c>
      <c r="F225" s="2">
        <v>249.0</v>
      </c>
      <c r="G225" s="2">
        <v>499.0</v>
      </c>
      <c r="H225" s="3">
        <f t="shared" si="4"/>
        <v>0.501002004</v>
      </c>
      <c r="I225" s="4">
        <f>IFERROR(__xludf.DUMMYFUNCTION("GOOGLEFINANCE(""CURRENCY:INRBRL"")*F225"),14.8599023772)</f>
        <v>14.85990238</v>
      </c>
      <c r="J225" s="1">
        <v>4.49</v>
      </c>
      <c r="K225" s="1">
        <v>1508.0</v>
      </c>
      <c r="L225" s="1" t="s">
        <v>915</v>
      </c>
      <c r="M225" s="6" t="s">
        <v>916</v>
      </c>
      <c r="N225" s="7" t="str">
        <f>VLOOKUP(A225, avaliacoes!A:G, 5, FALSE)</f>
        <v>Good,Works with Samsung Fold 4 fast charge,Ok,Nice product,Great Cable for Charging,Charging problem seen a little bit,Best cable,A good contender for well known branded C2C cables.</v>
      </c>
      <c r="O225" s="7" t="str">
        <f>VLOOKUP(A225, avaliacoes!A:G, 6, FALSE)</f>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v>
      </c>
    </row>
    <row r="226">
      <c r="A226" s="1" t="s">
        <v>917</v>
      </c>
      <c r="B226" s="1" t="s">
        <v>918</v>
      </c>
      <c r="C226" s="1" t="s">
        <v>919</v>
      </c>
      <c r="D226" s="1" t="str">
        <f t="shared" si="2"/>
        <v>Electronics</v>
      </c>
      <c r="E226" s="1" t="str">
        <f t="shared" si="3"/>
        <v>HomeTheater,TV&amp;Video</v>
      </c>
      <c r="F226" s="2">
        <v>1249.0</v>
      </c>
      <c r="G226" s="2">
        <v>2299.0</v>
      </c>
      <c r="H226" s="3">
        <f t="shared" si="4"/>
        <v>0.4567203132</v>
      </c>
      <c r="I226" s="4">
        <f>IFERROR(__xludf.DUMMYFUNCTION("GOOGLEFINANCE(""CURRENCY:INRBRL"")*F226"),74.53822517719999)</f>
        <v>74.53822518</v>
      </c>
      <c r="J226" s="1">
        <v>4.5</v>
      </c>
      <c r="K226" s="1">
        <v>7636.0</v>
      </c>
      <c r="L226" s="1" t="s">
        <v>920</v>
      </c>
      <c r="M226" s="6" t="s">
        <v>921</v>
      </c>
      <c r="N226" s="7" t="str">
        <f>VLOOKUP(A226, avaliacoes!A:G, 5, FALSE)</f>
        <v>Very good product,All items is really good,value money,Good,Worthy product,Ok,Quality and Price marks Top.,Delivery too late , but nice products</v>
      </c>
      <c r="O226" s="7" t="str">
        <f>VLOOKUP(A226, avaliacoes!A:G, 6, FALSE)</f>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v>
      </c>
    </row>
    <row r="227">
      <c r="A227" s="1" t="s">
        <v>922</v>
      </c>
      <c r="B227" s="1" t="s">
        <v>923</v>
      </c>
      <c r="C227" s="1" t="s">
        <v>216</v>
      </c>
      <c r="D227" s="1" t="str">
        <f t="shared" si="2"/>
        <v>Electronics</v>
      </c>
      <c r="E227" s="1" t="str">
        <f t="shared" si="3"/>
        <v>HomeTheater,TV&amp;Video</v>
      </c>
      <c r="F227" s="2">
        <v>213.0</v>
      </c>
      <c r="G227" s="2">
        <v>499.0</v>
      </c>
      <c r="H227" s="3">
        <f t="shared" si="4"/>
        <v>0.5731462926</v>
      </c>
      <c r="I227" s="4">
        <f>IFERROR(__xludf.DUMMYFUNCTION("GOOGLEFINANCE(""CURRENCY:INRBRL"")*F227"),12.711482756399999)</f>
        <v>12.71148276</v>
      </c>
      <c r="J227" s="1">
        <v>4.51</v>
      </c>
      <c r="K227" s="1">
        <v>246.0</v>
      </c>
      <c r="L227" s="1" t="s">
        <v>924</v>
      </c>
      <c r="M227" s="6" t="s">
        <v>925</v>
      </c>
      <c r="N227" s="7" t="str">
        <f>VLOOKUP(A227, avaliacoes!A:G, 5, FALSE)</f>
        <v>Nice product.... Works well... Satisfactory purchase....,Not original Samsung remote,Nice,Not a bad deal,very good,Plastic quality,Works perfect!,Work well</v>
      </c>
      <c r="O227" s="7" t="str">
        <f>VLOOKUP(A227, avaliacoes!A:G, 6, FALSE)</f>
        <v>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v>
      </c>
    </row>
    <row r="228">
      <c r="A228" s="1" t="s">
        <v>926</v>
      </c>
      <c r="B228" s="1" t="s">
        <v>927</v>
      </c>
      <c r="C228" s="1" t="s">
        <v>216</v>
      </c>
      <c r="D228" s="1" t="str">
        <f t="shared" si="2"/>
        <v>Electronics</v>
      </c>
      <c r="E228" s="1" t="str">
        <f t="shared" si="3"/>
        <v>HomeTheater,TV&amp;Video</v>
      </c>
      <c r="F228" s="2">
        <v>209.0</v>
      </c>
      <c r="G228" s="2">
        <v>499.0</v>
      </c>
      <c r="H228" s="3">
        <f t="shared" si="4"/>
        <v>0.5811623246</v>
      </c>
      <c r="I228" s="4">
        <f>IFERROR(__xludf.DUMMYFUNCTION("GOOGLEFINANCE(""CURRENCY:INRBRL"")*F228"),12.472769465199999)</f>
        <v>12.47276947</v>
      </c>
      <c r="J228" s="1">
        <v>4.0</v>
      </c>
      <c r="K228" s="1">
        <v>479.0</v>
      </c>
      <c r="L228" s="1" t="s">
        <v>928</v>
      </c>
      <c r="M228" s="6" t="s">
        <v>929</v>
      </c>
      <c r="N228" s="7" t="str">
        <f>VLOOKUP(A228, avaliacoes!A:G, 5, FALSE)</f>
        <v>Better than original sony remote control,Good delivery time,Recommend to buy,Value for money but with other considerations,Excellent,Good,Superb,Excellent product!! Works well</v>
      </c>
      <c r="O228" s="7" t="str">
        <f>VLOOKUP(A228, avaliacoes!A:G, 6, FALSE)</f>
        <v>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v>
      </c>
    </row>
    <row r="229">
      <c r="A229" s="1" t="s">
        <v>930</v>
      </c>
      <c r="B229" s="1" t="s">
        <v>931</v>
      </c>
      <c r="C229" s="1" t="s">
        <v>71</v>
      </c>
      <c r="D229" s="1" t="str">
        <f t="shared" si="2"/>
        <v>Electronics</v>
      </c>
      <c r="E229" s="1" t="str">
        <f t="shared" si="3"/>
        <v>HomeTheater,TV&amp;Video</v>
      </c>
      <c r="F229" s="2">
        <v>598.0</v>
      </c>
      <c r="G229" s="2">
        <v>4999.0</v>
      </c>
      <c r="H229" s="3">
        <f t="shared" si="4"/>
        <v>0.8803760752</v>
      </c>
      <c r="I229" s="4">
        <f>IFERROR(__xludf.DUMMYFUNCTION("GOOGLEFINANCE(""CURRENCY:INRBRL"")*F229"),35.6876370344)</f>
        <v>35.68763703</v>
      </c>
      <c r="J229" s="1">
        <v>4.5</v>
      </c>
      <c r="K229" s="1">
        <v>910.0</v>
      </c>
      <c r="L229" s="1" t="s">
        <v>932</v>
      </c>
      <c r="M229" s="6" t="s">
        <v>933</v>
      </c>
      <c r="N229" s="7" t="str">
        <f>VLOOKUP(A229, avaliacoes!A:G, 5, FALSE)</f>
        <v>Good quality but not superb,Good,Good,Not working properly,Must buy,Authentic. Orignal. Excellent,Not so good,Worth every paisa</v>
      </c>
      <c r="O229" s="7" t="str">
        <f>VLOOKUP(A229, avaliacoes!A:G, 6, FALSE)</f>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v>
      </c>
    </row>
    <row r="230">
      <c r="A230" s="1" t="s">
        <v>934</v>
      </c>
      <c r="B230" s="1" t="s">
        <v>935</v>
      </c>
      <c r="C230" s="1" t="s">
        <v>21</v>
      </c>
      <c r="D230" s="1" t="str">
        <f t="shared" si="2"/>
        <v>Computers&amp;Accessories</v>
      </c>
      <c r="E230" s="1" t="str">
        <f t="shared" si="3"/>
        <v>Accessories&amp;Peripherals</v>
      </c>
      <c r="F230" s="2">
        <v>799.0</v>
      </c>
      <c r="G230" s="2">
        <v>1749.0</v>
      </c>
      <c r="H230" s="3">
        <f t="shared" si="4"/>
        <v>0.5431675243</v>
      </c>
      <c r="I230" s="4">
        <f>IFERROR(__xludf.DUMMYFUNCTION("GOOGLEFINANCE(""CURRENCY:INRBRL"")*F230"),47.682979917199994)</f>
        <v>47.68297992</v>
      </c>
      <c r="J230" s="1">
        <v>4.49</v>
      </c>
      <c r="K230" s="1">
        <v>5626.0</v>
      </c>
      <c r="L230" s="1" t="s">
        <v>936</v>
      </c>
      <c r="M230" s="6" t="s">
        <v>937</v>
      </c>
      <c r="N230" s="7" t="str">
        <f>VLOOKUP(A230, avaliacoes!A:G, 5, FALSE)</f>
        <v>Worst product wornout after 2 months,Good product,Awesome | great,Worth a buy,Best Product!,Great one compare to original cable,Worked for a month, the power supply isn't as mentioned.,Ehh bhut lambi haii</v>
      </c>
      <c r="O230" s="7" t="str">
        <f>VLOOKUP(A230, avaliacoes!A:G, 6, FALSE)</f>
        <v>Product is not working after 2 months,Boat💕,Nice product,Worth a buy,Really satisfying quality and product is still working fine.,Worth itSame as original,Not worthy,Thik aaw</v>
      </c>
    </row>
    <row r="231">
      <c r="A231" s="1" t="s">
        <v>938</v>
      </c>
      <c r="B231" s="1" t="s">
        <v>939</v>
      </c>
      <c r="C231" s="1" t="s">
        <v>21</v>
      </c>
      <c r="D231" s="1" t="str">
        <f t="shared" si="2"/>
        <v>Computers&amp;Accessories</v>
      </c>
      <c r="E231" s="1" t="str">
        <f t="shared" si="3"/>
        <v>Accessories&amp;Peripherals</v>
      </c>
      <c r="F231" s="2">
        <v>159.0</v>
      </c>
      <c r="G231" s="2">
        <v>595.0</v>
      </c>
      <c r="H231" s="3">
        <f t="shared" si="4"/>
        <v>0.7327731092</v>
      </c>
      <c r="I231" s="4">
        <f>IFERROR(__xludf.DUMMYFUNCTION("GOOGLEFINANCE(""CURRENCY:INRBRL"")*F231"),9.4888533252)</f>
        <v>9.488853325</v>
      </c>
      <c r="J231" s="1">
        <v>4.5</v>
      </c>
      <c r="K231" s="1">
        <v>14184.0</v>
      </c>
      <c r="L231" s="1" t="s">
        <v>940</v>
      </c>
      <c r="M231" s="6" t="s">
        <v>941</v>
      </c>
      <c r="N231" s="7" t="str">
        <f>VLOOKUP(A231, avaliacoes!A:G, 5, FALSE)</f>
        <v>Very good quality.,Nice product,Not a fast charger....,nice,A Good Type C adapter,Nice product,Value for money and easy to use.,Good</v>
      </c>
      <c r="O231" s="7" t="str">
        <f>VLOOKUP(A231, avaliacoes!A:G, 6, FALSE)</f>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v>
      </c>
    </row>
    <row r="232">
      <c r="A232" s="1" t="s">
        <v>942</v>
      </c>
      <c r="B232" s="1" t="s">
        <v>943</v>
      </c>
      <c r="C232" s="1" t="s">
        <v>944</v>
      </c>
      <c r="D232" s="1" t="str">
        <f t="shared" si="2"/>
        <v>Computers&amp;Accessories</v>
      </c>
      <c r="E232" s="1" t="str">
        <f t="shared" si="3"/>
        <v>Accessories&amp;Peripherals</v>
      </c>
      <c r="F232" s="2">
        <v>499.0</v>
      </c>
      <c r="G232" s="2">
        <v>1100.0</v>
      </c>
      <c r="H232" s="3">
        <f t="shared" si="4"/>
        <v>0.5463636364</v>
      </c>
      <c r="I232" s="4">
        <f>IFERROR(__xludf.DUMMYFUNCTION("GOOGLEFINANCE(""CURRENCY:INRBRL"")*F232"),29.7794830772)</f>
        <v>29.77948308</v>
      </c>
      <c r="J232" s="1">
        <v>4.5</v>
      </c>
      <c r="K232" s="1">
        <v>25177.0</v>
      </c>
      <c r="L232" s="1" t="s">
        <v>945</v>
      </c>
      <c r="M232" s="6" t="s">
        <v>946</v>
      </c>
      <c r="N232" s="7" t="str">
        <f>VLOOKUP(A232, avaliacoes!A:G, 5, FALSE)</f>
        <v>Awsome quality,Nice item,Better Display Port Cable,Works! GTX1650 Super, DELL 2520D (MST),Value for money,Not Vesa certified cable.,YOU CAN BUY IT UNDOUBTEDLY.,Check Display settings as soon as you install this cable.</v>
      </c>
      <c r="O232" s="7" t="str">
        <f>VLOOKUP(A232, avaliacoes!A:G, 6, FALSE)</f>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v>
      </c>
    </row>
    <row r="233">
      <c r="A233" s="1" t="s">
        <v>947</v>
      </c>
      <c r="B233" s="1" t="s">
        <v>948</v>
      </c>
      <c r="C233" s="1" t="s">
        <v>87</v>
      </c>
      <c r="D233" s="1" t="str">
        <f t="shared" si="2"/>
        <v>Electronics</v>
      </c>
      <c r="E233" s="1" t="str">
        <f t="shared" si="3"/>
        <v>HomeTheater,TV&amp;Video</v>
      </c>
      <c r="F233" s="2">
        <v>31999.0</v>
      </c>
      <c r="G233" s="2">
        <v>49999.0</v>
      </c>
      <c r="H233" s="3">
        <f t="shared" si="4"/>
        <v>0.3600072001</v>
      </c>
      <c r="I233" s="4">
        <f>IFERROR(__xludf.DUMMYFUNCTION("GOOGLEFINANCE(""CURRENCY:INRBRL"")*F233"),1909.6466512772)</f>
        <v>1909.646651</v>
      </c>
      <c r="J233" s="1">
        <v>4.5</v>
      </c>
      <c r="K233" s="1">
        <v>21252.0</v>
      </c>
      <c r="L233" s="1" t="s">
        <v>949</v>
      </c>
      <c r="M233" s="6" t="s">
        <v>950</v>
      </c>
      <c r="N233" s="7" t="str">
        <f>VLOOKUP(A233, avaliacoes!A:G, 5, FALSE)</f>
        <v>It's super,Value of money 💰,Display and build,Good Sound and pictures,Good product 👍,Good and smart tv for reasonable rate,Good for low budget,Tv is good but after 3  month my tv screen gone</v>
      </c>
      <c r="O233" s="7" t="str">
        <f>VLOOKUP(A233, avaliacoes!A:G, 6, FALSE)</f>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v>
      </c>
    </row>
    <row r="234">
      <c r="A234" s="1" t="s">
        <v>951</v>
      </c>
      <c r="B234" s="1" t="s">
        <v>952</v>
      </c>
      <c r="C234" s="1" t="s">
        <v>87</v>
      </c>
      <c r="D234" s="1" t="str">
        <f t="shared" si="2"/>
        <v>Electronics</v>
      </c>
      <c r="E234" s="1" t="str">
        <f t="shared" si="3"/>
        <v>HomeTheater,TV&amp;Video</v>
      </c>
      <c r="F234" s="2">
        <v>32990.0</v>
      </c>
      <c r="G234" s="2">
        <v>56790.0</v>
      </c>
      <c r="H234" s="3">
        <f t="shared" si="4"/>
        <v>0.4190878676</v>
      </c>
      <c r="I234" s="4">
        <f>IFERROR(__xludf.DUMMYFUNCTION("GOOGLEFINANCE(""CURRENCY:INRBRL"")*F234"),1968.7878691719998)</f>
        <v>1968.787869</v>
      </c>
      <c r="J234" s="1">
        <v>4.5</v>
      </c>
      <c r="K234" s="1">
        <v>567.0</v>
      </c>
      <c r="L234" s="1" t="s">
        <v>953</v>
      </c>
      <c r="M234" s="6" t="s">
        <v>954</v>
      </c>
      <c r="N234" s="7" t="str">
        <f>VLOOKUP(A234, avaliacoes!A:G, 5, FALSE)</f>
        <v>Good TV in budget!,Excellent purchase.,A master piece fron sansui,Using good,Value for money 👍,Sound quality not good,Appropriate,Good</v>
      </c>
      <c r="O234" s="7" t="str">
        <f>VLOOKUP(A234, avaliacoes!A:G, 6, FALSE)</f>
        <v>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v>
      </c>
    </row>
    <row r="235">
      <c r="A235" s="1" t="s">
        <v>955</v>
      </c>
      <c r="B235" s="1" t="s">
        <v>956</v>
      </c>
      <c r="C235" s="1" t="s">
        <v>216</v>
      </c>
      <c r="D235" s="1" t="str">
        <f t="shared" si="2"/>
        <v>Electronics</v>
      </c>
      <c r="E235" s="1" t="str">
        <f t="shared" si="3"/>
        <v>HomeTheater,TV&amp;Video</v>
      </c>
      <c r="F235" s="2">
        <v>299.0</v>
      </c>
      <c r="G235" s="2">
        <v>1199.0</v>
      </c>
      <c r="H235" s="3">
        <f t="shared" si="4"/>
        <v>0.7506255213</v>
      </c>
      <c r="I235" s="4">
        <f>IFERROR(__xludf.DUMMYFUNCTION("GOOGLEFINANCE(""CURRENCY:INRBRL"")*F235"),17.8438185172)</f>
        <v>17.84381852</v>
      </c>
      <c r="J235" s="1">
        <v>4.5</v>
      </c>
      <c r="K235" s="1">
        <v>466.0</v>
      </c>
      <c r="L235" s="1" t="s">
        <v>957</v>
      </c>
      <c r="M235" s="6" t="s">
        <v>958</v>
      </c>
      <c r="N235" s="7" t="str">
        <f>VLOOKUP(A235, avaliacoes!A:G, 5, FALSE)</f>
        <v>Good product,Switches,Remote is working,Center main button is very weak ,not working well,Punctuality. Delivered in time. Excellent,Remote,Sony Tv Remote,It works</v>
      </c>
      <c r="O235" s="7" t="str">
        <f>VLOOKUP(A235, avaliacoes!A:G, 6, FALSE)</f>
        <v>Good compatible product,Like,Remote is working nicely just the up button and down button is working a little slow else is fine,This button is very soft,Originality. Used as remote control,The buttons are very hard,Best Remote u can get👍👍,No syncing needed, just put batteries in and use it</v>
      </c>
    </row>
    <row r="236">
      <c r="A236" s="1" t="s">
        <v>959</v>
      </c>
      <c r="B236" s="1" t="s">
        <v>960</v>
      </c>
      <c r="C236" s="1" t="s">
        <v>21</v>
      </c>
      <c r="D236" s="1" t="str">
        <f t="shared" si="2"/>
        <v>Computers&amp;Accessories</v>
      </c>
      <c r="E236" s="1" t="str">
        <f t="shared" si="3"/>
        <v>Accessories&amp;Peripherals</v>
      </c>
      <c r="F236" s="2">
        <v>128.31</v>
      </c>
      <c r="G236" s="2">
        <v>549.0</v>
      </c>
      <c r="H236" s="3">
        <f t="shared" si="4"/>
        <v>0.766284153</v>
      </c>
      <c r="I236" s="4">
        <f>IFERROR(__xludf.DUMMYFUNCTION("GOOGLEFINANCE(""CURRENCY:INRBRL"")*F236"),7.657325598468)</f>
        <v>7.657325598</v>
      </c>
      <c r="J236" s="1">
        <v>4.52</v>
      </c>
      <c r="K236" s="1">
        <v>61.0</v>
      </c>
      <c r="L236" s="1" t="s">
        <v>804</v>
      </c>
      <c r="M236" s="6" t="s">
        <v>961</v>
      </c>
      <c r="N236" s="7" t="str">
        <f>VLOOKUP(A236, avaliacoes!A:G, 5, FALSE)</f>
        <v>Terrible,Charging status,Good quality,good charging,Nice product,Waste of Money.,Fast Charging Cable,Charching</v>
      </c>
      <c r="O236" s="7" t="str">
        <f>VLOOKUP(A236, avaliacoes!A:G, 6, FALSE)</f>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v>
      </c>
    </row>
    <row r="237">
      <c r="A237" s="1" t="s">
        <v>962</v>
      </c>
      <c r="B237" s="1" t="s">
        <v>963</v>
      </c>
      <c r="C237" s="1" t="s">
        <v>21</v>
      </c>
      <c r="D237" s="1" t="str">
        <f t="shared" si="2"/>
        <v>Computers&amp;Accessories</v>
      </c>
      <c r="E237" s="1" t="str">
        <f t="shared" si="3"/>
        <v>Accessories&amp;Peripherals</v>
      </c>
      <c r="F237" s="2">
        <v>599.0</v>
      </c>
      <c r="G237" s="2">
        <v>849.0</v>
      </c>
      <c r="H237" s="3">
        <f t="shared" si="4"/>
        <v>0.2944640754</v>
      </c>
      <c r="I237" s="4">
        <f>IFERROR(__xludf.DUMMYFUNCTION("GOOGLEFINANCE(""CURRENCY:INRBRL"")*F237"),35.747315357199994)</f>
        <v>35.74731536</v>
      </c>
      <c r="J237" s="1">
        <v>4.51</v>
      </c>
      <c r="K237" s="1">
        <v>474.0</v>
      </c>
      <c r="L237" s="1" t="s">
        <v>682</v>
      </c>
      <c r="M237" s="6" t="s">
        <v>964</v>
      </c>
      <c r="N237" s="7" t="str">
        <f>VLOOKUP(A237, avaliacoes!A:G, 5, FALSE)</f>
        <v>Osm,Very good build quality,supports fast charging,Worth the price.,Very nice,Quality,Durability King,Good quality at an affordable price.</v>
      </c>
      <c r="O237" s="7" t="str">
        <f>VLOOKUP(A237, avaliacoes!A:G, 6, FALSE)</f>
        <v>👍,works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v>
      </c>
    </row>
    <row r="238">
      <c r="A238" s="1" t="s">
        <v>965</v>
      </c>
      <c r="B238" s="1" t="s">
        <v>966</v>
      </c>
      <c r="C238" s="1" t="s">
        <v>216</v>
      </c>
      <c r="D238" s="1" t="str">
        <f t="shared" si="2"/>
        <v>Electronics</v>
      </c>
      <c r="E238" s="1" t="str">
        <f t="shared" si="3"/>
        <v>HomeTheater,TV&amp;Video</v>
      </c>
      <c r="F238" s="2">
        <v>399.0</v>
      </c>
      <c r="G238" s="2">
        <v>899.0</v>
      </c>
      <c r="H238" s="3">
        <f t="shared" si="4"/>
        <v>0.5561735261</v>
      </c>
      <c r="I238" s="4">
        <f>IFERROR(__xludf.DUMMYFUNCTION("GOOGLEFINANCE(""CURRENCY:INRBRL"")*F238"),23.8116507972)</f>
        <v>23.8116508</v>
      </c>
      <c r="J238" s="1">
        <v>4.5</v>
      </c>
      <c r="K238" s="1">
        <v>431.0</v>
      </c>
      <c r="L238" s="1" t="s">
        <v>967</v>
      </c>
      <c r="M238" s="6" t="s">
        <v>968</v>
      </c>
      <c r="N238" s="7" t="str">
        <f>VLOOKUP(A238, avaliacoes!A:G, 5, FALSE)</f>
        <v>When you can’t find the original this comes handy.,No voice communication,Acceptable for the price,Bad finish, but good product,No,voice recognition is not available,Nice Remote,worked find keys are hard</v>
      </c>
      <c r="O238" s="7" t="str">
        <f>VLOOKUP(A238, avaliacoes!A:G, 6, FALSE)</f>
        <v>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v>
      </c>
    </row>
    <row r="239">
      <c r="A239" s="1" t="s">
        <v>969</v>
      </c>
      <c r="B239" s="1" t="s">
        <v>970</v>
      </c>
      <c r="C239" s="1" t="s">
        <v>21</v>
      </c>
      <c r="D239" s="1" t="str">
        <f t="shared" si="2"/>
        <v>Computers&amp;Accessories</v>
      </c>
      <c r="E239" s="1" t="str">
        <f t="shared" si="3"/>
        <v>Accessories&amp;Peripherals</v>
      </c>
      <c r="F239" s="2">
        <v>449.0</v>
      </c>
      <c r="G239" s="2">
        <v>1099.0</v>
      </c>
      <c r="H239" s="3">
        <f t="shared" si="4"/>
        <v>0.5914467698</v>
      </c>
      <c r="I239" s="4">
        <f>IFERROR(__xludf.DUMMYFUNCTION("GOOGLEFINANCE(""CURRENCY:INRBRL"")*F239"),26.795566937199997)</f>
        <v>26.79556694</v>
      </c>
      <c r="J239" s="1">
        <v>4.0</v>
      </c>
      <c r="K239" s="1">
        <v>242.0</v>
      </c>
      <c r="L239" s="1" t="s">
        <v>971</v>
      </c>
      <c r="M239" s="6" t="s">
        <v>972</v>
      </c>
      <c r="N239" s="7" t="str">
        <f>VLOOKUP(A239, avaliacoes!A:G, 5, FALSE)</f>
        <v>Best rugged cable that supports most of the fast charging standards,It's good 👍,Nice cable, although higher ampere might heat up and damage the cable,Very nice product,Nice product with good quality,Great product, Greater utility, Greatest value provider!,Awesome,good prodct</v>
      </c>
      <c r="O239" s="7" t="str">
        <f>VLOOKUP(A239, avaliacoes!A:G, 6, FALSE)</f>
        <v>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v>
      </c>
    </row>
    <row r="240">
      <c r="A240" s="1" t="s">
        <v>973</v>
      </c>
      <c r="B240" s="1" t="s">
        <v>974</v>
      </c>
      <c r="C240" s="1" t="s">
        <v>21</v>
      </c>
      <c r="D240" s="1" t="str">
        <f t="shared" si="2"/>
        <v>Computers&amp;Accessories</v>
      </c>
      <c r="E240" s="1" t="str">
        <f t="shared" si="3"/>
        <v>Accessories&amp;Peripherals</v>
      </c>
      <c r="F240" s="2">
        <v>254.0</v>
      </c>
      <c r="G240" s="2">
        <v>799.0</v>
      </c>
      <c r="H240" s="3">
        <f t="shared" si="4"/>
        <v>0.6821026283</v>
      </c>
      <c r="I240" s="4">
        <f>IFERROR(__xludf.DUMMYFUNCTION("GOOGLEFINANCE(""CURRENCY:INRBRL"")*F240"),15.158293991199999)</f>
        <v>15.15829399</v>
      </c>
      <c r="J240" s="1">
        <v>4.0</v>
      </c>
      <c r="K240" s="1">
        <v>2905.0</v>
      </c>
      <c r="L240" s="1" t="s">
        <v>975</v>
      </c>
      <c r="M240" s="6" t="s">
        <v>976</v>
      </c>
      <c r="N240" s="7" t="str">
        <f>VLOOKUP(A240, avaliacoes!A:G, 5, FALSE)</f>
        <v>Average,Nice in this price,Nice,Nice,Good product but takes long time to be delivered,Misleading Title and description,Phone is not getting charged fast.,Works as expected</v>
      </c>
      <c r="O240" s="7" t="str">
        <f>VLOOKUP(A240, avaliacoes!A:G, 6, FALSE)</f>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v>
      </c>
    </row>
    <row r="241">
      <c r="A241" s="1" t="s">
        <v>977</v>
      </c>
      <c r="B241" s="1" t="s">
        <v>978</v>
      </c>
      <c r="C241" s="1" t="s">
        <v>979</v>
      </c>
      <c r="D241" s="1" t="str">
        <f t="shared" si="2"/>
        <v>Electronics</v>
      </c>
      <c r="E241" s="1" t="str">
        <f t="shared" si="3"/>
        <v>HomeTheater,TV&amp;Video</v>
      </c>
      <c r="F241" s="2">
        <v>399.0</v>
      </c>
      <c r="G241" s="2">
        <v>795.0</v>
      </c>
      <c r="H241" s="3">
        <f t="shared" si="4"/>
        <v>0.4981132075</v>
      </c>
      <c r="I241" s="4">
        <f>IFERROR(__xludf.DUMMYFUNCTION("GOOGLEFINANCE(""CURRENCY:INRBRL"")*F241"),23.8116507972)</f>
        <v>23.8116508</v>
      </c>
      <c r="J241" s="1">
        <v>4.5</v>
      </c>
      <c r="K241" s="1">
        <v>12091.0</v>
      </c>
      <c r="L241" s="1" t="s">
        <v>980</v>
      </c>
      <c r="M241" s="6" t="s">
        <v>981</v>
      </c>
      <c r="N241" s="7" t="str">
        <f>VLOOKUP(A241, avaliacoes!A:G, 5, FALSE)</f>
        <v>Good,Good Quality,Amazing,Wire cost,Quality and performance is excellent.,Really Impressive,Good and cheap!,GOOD ONE</v>
      </c>
      <c r="O241" s="7" t="str">
        <f>VLOOKUP(A241, avaliacoes!A:G, 6, FALSE)</f>
        <v>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v>
      </c>
    </row>
    <row r="242">
      <c r="A242" s="1" t="s">
        <v>982</v>
      </c>
      <c r="B242" s="1" t="s">
        <v>983</v>
      </c>
      <c r="C242" s="1" t="s">
        <v>21</v>
      </c>
      <c r="D242" s="1" t="str">
        <f t="shared" si="2"/>
        <v>Computers&amp;Accessories</v>
      </c>
      <c r="E242" s="1" t="str">
        <f t="shared" si="3"/>
        <v>Accessories&amp;Peripherals</v>
      </c>
      <c r="F242" s="2">
        <v>179.0</v>
      </c>
      <c r="G242" s="2">
        <v>399.0</v>
      </c>
      <c r="H242" s="3">
        <f t="shared" si="4"/>
        <v>0.5513784461</v>
      </c>
      <c r="I242" s="4">
        <f>IFERROR(__xludf.DUMMYFUNCTION("GOOGLEFINANCE(""CURRENCY:INRBRL"")*F242"),10.682419781199998)</f>
        <v>10.68241978</v>
      </c>
      <c r="J242" s="1">
        <v>4.0</v>
      </c>
      <c r="K242" s="1">
        <v>1423.0</v>
      </c>
      <c r="L242" s="1" t="s">
        <v>331</v>
      </c>
      <c r="M242" s="6" t="s">
        <v>984</v>
      </c>
      <c r="N242" s="7" t="str">
        <f>VLOOKUP(A242, avaliacoes!A:G, 5, FALSE)</f>
        <v>GOOD,Thank you  Amazon very good charging cable,Good,Very good product,good quality,Very Good Product,This is fast charging USB!,Simply perfect at the price of below 100</v>
      </c>
      <c r="O242" s="7" t="str">
        <f>VLOOKUP(A242,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row>
    <row r="243">
      <c r="A243" s="1" t="s">
        <v>985</v>
      </c>
      <c r="B243" s="1" t="s">
        <v>986</v>
      </c>
      <c r="C243" s="1" t="s">
        <v>21</v>
      </c>
      <c r="D243" s="1" t="str">
        <f t="shared" si="2"/>
        <v>Computers&amp;Accessories</v>
      </c>
      <c r="E243" s="1" t="str">
        <f t="shared" si="3"/>
        <v>Accessories&amp;Peripherals</v>
      </c>
      <c r="F243" s="2">
        <v>339.0</v>
      </c>
      <c r="G243" s="2">
        <v>999.0</v>
      </c>
      <c r="H243" s="3">
        <f t="shared" si="4"/>
        <v>0.6606606607</v>
      </c>
      <c r="I243" s="4">
        <f>IFERROR(__xludf.DUMMYFUNCTION("GOOGLEFINANCE(""CURRENCY:INRBRL"")*F243"),20.230951429199997)</f>
        <v>20.23095143</v>
      </c>
      <c r="J243" s="1">
        <v>4.5</v>
      </c>
      <c r="K243" s="1">
        <v>6255.0</v>
      </c>
      <c r="L243" s="1" t="s">
        <v>670</v>
      </c>
      <c r="M243" s="6" t="s">
        <v>987</v>
      </c>
      <c r="N243" s="7" t="str">
        <f>VLOOKUP(A243, avaliacoes!A:G, 5, FALSE)</f>
        <v>Good pick for Galaxy Note 9,Durable and quality product,Best Cable for Android Auto,The cable I will always carry when I pack my stuff for a ride.,Good charging capacity and data transfers,I bought it for my bike,Excellent,👍</v>
      </c>
      <c r="O243" s="7" t="str">
        <f>VLOOKUP(A243, avaliacoes!A:G, 6, FALSE)</f>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v>
      </c>
    </row>
    <row r="244">
      <c r="A244" s="1" t="s">
        <v>988</v>
      </c>
      <c r="B244" s="1" t="s">
        <v>989</v>
      </c>
      <c r="C244" s="1" t="s">
        <v>298</v>
      </c>
      <c r="D244" s="1" t="str">
        <f t="shared" si="2"/>
        <v>Electronics</v>
      </c>
      <c r="E244" s="1" t="str">
        <f t="shared" si="3"/>
        <v>HomeTheater,TV&amp;Video</v>
      </c>
      <c r="F244" s="2">
        <v>399.0</v>
      </c>
      <c r="G244" s="2">
        <v>999.0</v>
      </c>
      <c r="H244" s="3">
        <f t="shared" si="4"/>
        <v>0.6006006006</v>
      </c>
      <c r="I244" s="4">
        <f>IFERROR(__xludf.DUMMYFUNCTION("GOOGLEFINANCE(""CURRENCY:INRBRL"")*F244"),23.8116507972)</f>
        <v>23.8116508</v>
      </c>
      <c r="J244" s="1">
        <v>4.0</v>
      </c>
      <c r="K244" s="1">
        <v>1236.0</v>
      </c>
      <c r="L244" s="1" t="s">
        <v>990</v>
      </c>
      <c r="M244" s="6" t="s">
        <v>991</v>
      </c>
      <c r="N244" s="7" t="str">
        <f>VLOOKUP(A244, avaliacoes!A:G, 5, FALSE)</f>
        <v>Good quality product with many screws and nuts,Nice product,Ok ok product,It’s accuracy,Screws can be a problem.,Good quality for 32" TV,Perfect fit for my Sony TV,This costs approx 200 in the local market.</v>
      </c>
      <c r="O244" s="7" t="str">
        <f>VLOOKUP(A244, avaliacoes!A:G, 6, FALSE)</f>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v>
      </c>
    </row>
    <row r="245">
      <c r="A245" s="1" t="s">
        <v>992</v>
      </c>
      <c r="B245" s="1" t="s">
        <v>993</v>
      </c>
      <c r="C245" s="1" t="s">
        <v>216</v>
      </c>
      <c r="D245" s="1" t="str">
        <f t="shared" si="2"/>
        <v>Electronics</v>
      </c>
      <c r="E245" s="1" t="str">
        <f t="shared" si="3"/>
        <v>HomeTheater,TV&amp;Video</v>
      </c>
      <c r="F245" s="2">
        <v>199.0</v>
      </c>
      <c r="G245" s="2">
        <v>399.0</v>
      </c>
      <c r="H245" s="3">
        <f t="shared" si="4"/>
        <v>0.5012531328</v>
      </c>
      <c r="I245" s="4">
        <f>IFERROR(__xludf.DUMMYFUNCTION("GOOGLEFINANCE(""CURRENCY:INRBRL"")*F245"),11.8759862372)</f>
        <v>11.87598624</v>
      </c>
      <c r="J245" s="1">
        <v>4.5</v>
      </c>
      <c r="K245" s="1">
        <v>1335.0</v>
      </c>
      <c r="L245" s="1" t="s">
        <v>994</v>
      </c>
      <c r="M245" s="6" t="s">
        <v>995</v>
      </c>
      <c r="N245" s="7" t="str">
        <f>VLOOKUP(A245, avaliacoes!A:G, 5, FALSE)</f>
        <v>Cover is Little loose for Fire remote cover,I ordered this for colour,Pricing,Nice Product,Overpriced but good quality.,Remote stops working after 3 months,Perfect fot,Perfect size for amazon firestick</v>
      </c>
      <c r="O245" s="7" t="str">
        <f>VLOOKUP(A245, avaliacoes!A:G, 6, FALSE)</f>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v>
      </c>
    </row>
    <row r="246">
      <c r="A246" s="1" t="s">
        <v>996</v>
      </c>
      <c r="B246" s="1" t="s">
        <v>997</v>
      </c>
      <c r="C246" s="1" t="s">
        <v>216</v>
      </c>
      <c r="D246" s="1" t="str">
        <f t="shared" si="2"/>
        <v>Electronics</v>
      </c>
      <c r="E246" s="1" t="str">
        <f t="shared" si="3"/>
        <v>HomeTheater,TV&amp;Video</v>
      </c>
      <c r="F246" s="2">
        <v>349.0</v>
      </c>
      <c r="G246" s="2">
        <v>1999.0</v>
      </c>
      <c r="H246" s="3">
        <f t="shared" si="4"/>
        <v>0.8254127064</v>
      </c>
      <c r="I246" s="4">
        <f>IFERROR(__xludf.DUMMYFUNCTION("GOOGLEFINANCE(""CURRENCY:INRBRL"")*F246"),20.827734657199997)</f>
        <v>20.82773466</v>
      </c>
      <c r="J246" s="1">
        <v>4.51</v>
      </c>
      <c r="K246" s="1">
        <v>197.0</v>
      </c>
      <c r="L246" s="1" t="s">
        <v>998</v>
      </c>
      <c r="M246" s="6" t="s">
        <v>999</v>
      </c>
      <c r="N246" s="7" t="str">
        <f>VLOOKUP(A246, avaliacoes!A:G, 5, FALSE)</f>
        <v>Good,Good,Good,Mic is not working,Voice not working. You can't enable voice assistant in this remote,Quality is average, buttons are not smooth,Very good,Good</v>
      </c>
      <c r="O246" s="7" t="str">
        <f>VLOOKUP(A246, avaliacoes!A:G, 6, FALSE)</f>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v>
      </c>
    </row>
    <row r="247">
      <c r="A247" s="1" t="s">
        <v>1000</v>
      </c>
      <c r="B247" s="1" t="s">
        <v>1001</v>
      </c>
      <c r="C247" s="1" t="s">
        <v>21</v>
      </c>
      <c r="D247" s="1" t="str">
        <f t="shared" si="2"/>
        <v>Computers&amp;Accessories</v>
      </c>
      <c r="E247" s="1" t="str">
        <f t="shared" si="3"/>
        <v>Accessories&amp;Peripherals</v>
      </c>
      <c r="F247" s="2">
        <v>299.0</v>
      </c>
      <c r="G247" s="2">
        <v>798.0</v>
      </c>
      <c r="H247" s="3">
        <f t="shared" si="4"/>
        <v>0.6253132832</v>
      </c>
      <c r="I247" s="4">
        <f>IFERROR(__xludf.DUMMYFUNCTION("GOOGLEFINANCE(""CURRENCY:INRBRL"")*F247"),17.8438185172)</f>
        <v>17.84381852</v>
      </c>
      <c r="J247" s="1">
        <v>4.5</v>
      </c>
      <c r="K247" s="1">
        <v>28791.0</v>
      </c>
      <c r="L247" s="1" t="s">
        <v>1002</v>
      </c>
      <c r="M247" s="6" t="s">
        <v>1003</v>
      </c>
      <c r="N247" s="7" t="str">
        <f>VLOOKUP(A247, avaliacoes!A:G, 5, FALSE)</f>
        <v>Good Stuff... Recommended!!!,Need better quality,एक मजबूत प्रोडक्ट है,Good,best buy of this cable,Best for,Tough,Nil</v>
      </c>
      <c r="O247" s="7" t="str">
        <f>VLOOKUP(A247, avaliacoes!A:G, 6, FALSE)</f>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v>
      </c>
    </row>
    <row r="248">
      <c r="A248" s="1" t="s">
        <v>1004</v>
      </c>
      <c r="B248" s="1" t="s">
        <v>1005</v>
      </c>
      <c r="C248" s="1" t="s">
        <v>21</v>
      </c>
      <c r="D248" s="1" t="str">
        <f t="shared" si="2"/>
        <v>Computers&amp;Accessories</v>
      </c>
      <c r="E248" s="1" t="str">
        <f t="shared" si="3"/>
        <v>Accessories&amp;Peripherals</v>
      </c>
      <c r="F248" s="2">
        <v>89.0</v>
      </c>
      <c r="G248" s="2">
        <v>800.0</v>
      </c>
      <c r="H248" s="3">
        <f t="shared" si="4"/>
        <v>0.88875</v>
      </c>
      <c r="I248" s="4">
        <f>IFERROR(__xludf.DUMMYFUNCTION("GOOGLEFINANCE(""CURRENCY:INRBRL"")*F248"),5.311370729199999)</f>
        <v>5.311370729</v>
      </c>
      <c r="J248" s="1">
        <v>4.52</v>
      </c>
      <c r="K248" s="1">
        <v>1075.0</v>
      </c>
      <c r="L248" s="1" t="s">
        <v>1006</v>
      </c>
      <c r="M248" s="6" t="s">
        <v>1007</v>
      </c>
      <c r="N248" s="7" t="str">
        <f>VLOOKUP(A248,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248" s="7" t="str">
        <f>VLOOKUP(A248, avaliacoes!A:G,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row>
    <row r="249">
      <c r="A249" s="1" t="s">
        <v>1008</v>
      </c>
      <c r="B249" s="1" t="s">
        <v>1009</v>
      </c>
      <c r="C249" s="1" t="s">
        <v>21</v>
      </c>
      <c r="D249" s="1" t="str">
        <f t="shared" si="2"/>
        <v>Computers&amp;Accessories</v>
      </c>
      <c r="E249" s="1" t="str">
        <f t="shared" si="3"/>
        <v>Accessories&amp;Peripherals</v>
      </c>
      <c r="F249" s="2">
        <v>549.0</v>
      </c>
      <c r="G249" s="2">
        <v>995.0</v>
      </c>
      <c r="H249" s="3">
        <f t="shared" si="4"/>
        <v>0.448241206</v>
      </c>
      <c r="I249" s="4">
        <f>IFERROR(__xludf.DUMMYFUNCTION("GOOGLEFINANCE(""CURRENCY:INRBRL"")*F249"),32.763399217199996)</f>
        <v>32.76339922</v>
      </c>
      <c r="J249" s="1">
        <v>4.5</v>
      </c>
      <c r="K249" s="1">
        <v>29746.0</v>
      </c>
      <c r="L249" s="1" t="s">
        <v>1010</v>
      </c>
      <c r="M249" s="6" t="s">
        <v>1011</v>
      </c>
      <c r="N249" s="7" t="str">
        <f>VLOOKUP(A249, avaliacoes!A:G, 5, FALSE)</f>
        <v>Its ok product not too good not bad,Cheap and best,Performance,Works well,Not working with Fast Charger,This Type-C cable is awesome😍.,Does not support display,Good</v>
      </c>
      <c r="O249" s="7" t="str">
        <f>VLOOKUP(A249, avaliacoes!A:G,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row>
    <row r="250">
      <c r="A250" s="1" t="s">
        <v>1012</v>
      </c>
      <c r="B250" s="1" t="s">
        <v>1013</v>
      </c>
      <c r="C250" s="1" t="s">
        <v>21</v>
      </c>
      <c r="D250" s="1" t="str">
        <f t="shared" si="2"/>
        <v>Computers&amp;Accessories</v>
      </c>
      <c r="E250" s="1" t="str">
        <f t="shared" si="3"/>
        <v>Accessories&amp;Peripherals</v>
      </c>
      <c r="F250" s="2">
        <v>129.0</v>
      </c>
      <c r="G250" s="2">
        <v>1000.0</v>
      </c>
      <c r="H250" s="3">
        <f t="shared" si="4"/>
        <v>0.871</v>
      </c>
      <c r="I250" s="4">
        <f>IFERROR(__xludf.DUMMYFUNCTION("GOOGLEFINANCE(""CURRENCY:INRBRL"")*F250"),7.698503641199999)</f>
        <v>7.698503641</v>
      </c>
      <c r="J250" s="1">
        <v>4.52</v>
      </c>
      <c r="K250" s="1">
        <v>295.0</v>
      </c>
      <c r="L250" s="1" t="s">
        <v>1014</v>
      </c>
      <c r="M250" s="6" t="s">
        <v>1015</v>
      </c>
      <c r="N250" s="7" t="str">
        <f>VLOOKUP(A250, avaliacoes!A:G, 5, FALSE)</f>
        <v>Great value for money,Iys good,Poor quality,Good Quality &amp; Great Charging Speed,Slow charging,Durable and fast,It doesn't fit to Samsung mobile,Very fast charge</v>
      </c>
      <c r="O250" s="7" t="str">
        <f>VLOOKUP(A250, avaliacoes!A:G, 6, FALSE)</f>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v>
      </c>
    </row>
    <row r="251">
      <c r="A251" s="1" t="s">
        <v>1016</v>
      </c>
      <c r="B251" s="1" t="s">
        <v>1017</v>
      </c>
      <c r="C251" s="1" t="s">
        <v>87</v>
      </c>
      <c r="D251" s="1" t="str">
        <f t="shared" si="2"/>
        <v>Electronics</v>
      </c>
      <c r="E251" s="1" t="str">
        <f t="shared" si="3"/>
        <v>HomeTheater,TV&amp;Video</v>
      </c>
      <c r="F251" s="2">
        <v>77990.0</v>
      </c>
      <c r="G251" s="2">
        <v>139900.0</v>
      </c>
      <c r="H251" s="3">
        <f t="shared" si="4"/>
        <v>0.4425303788</v>
      </c>
      <c r="I251" s="4">
        <f>IFERROR(__xludf.DUMMYFUNCTION("GOOGLEFINANCE(""CURRENCY:INRBRL"")*F251"),4654.312395172)</f>
        <v>4654.312395</v>
      </c>
      <c r="J251" s="1">
        <v>4.51</v>
      </c>
      <c r="K251" s="1">
        <v>5935.0</v>
      </c>
      <c r="L251" s="1" t="s">
        <v>1018</v>
      </c>
      <c r="M251" s="6" t="s">
        <v>1019</v>
      </c>
      <c r="N251" s="7" t="str">
        <f>VLOOKUP(A251, avaliacoes!A:G, 5, FALSE)</f>
        <v>Product installation was excellent  but delivery staff pathetic👌,TV Picture quality is good.,TV Picture quality is good,Very nice,Great picture and sound quality,One of the best big screen TV,Service is not good,Nice TV</v>
      </c>
      <c r="O251" s="7" t="str">
        <f>VLOOKUP(A251, avaliacoes!A:G, 6, FALSE)</f>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v>
      </c>
    </row>
    <row r="252">
      <c r="A252" s="1" t="s">
        <v>1020</v>
      </c>
      <c r="B252" s="1" t="s">
        <v>1021</v>
      </c>
      <c r="C252" s="1" t="s">
        <v>216</v>
      </c>
      <c r="D252" s="1" t="str">
        <f t="shared" si="2"/>
        <v>Electronics</v>
      </c>
      <c r="E252" s="1" t="str">
        <f t="shared" si="3"/>
        <v>HomeTheater,TV&amp;Video</v>
      </c>
      <c r="F252" s="2">
        <v>349.0</v>
      </c>
      <c r="G252" s="2">
        <v>799.0</v>
      </c>
      <c r="H252" s="3">
        <f t="shared" si="4"/>
        <v>0.563204005</v>
      </c>
      <c r="I252" s="4">
        <f>IFERROR(__xludf.DUMMYFUNCTION("GOOGLEFINANCE(""CURRENCY:INRBRL"")*F252"),20.827734657199997)</f>
        <v>20.82773466</v>
      </c>
      <c r="J252" s="1">
        <v>4.51</v>
      </c>
      <c r="K252" s="1">
        <v>323.0</v>
      </c>
      <c r="L252" s="1" t="s">
        <v>1022</v>
      </c>
      <c r="M252" s="6" t="s">
        <v>1023</v>
      </c>
      <c r="N252" s="7" t="str">
        <f>VLOOKUP(A252, avaliacoes!A:G, 5, FALSE)</f>
        <v>Good Product at this Price,Works well directly in front of TV,Iam so happy,Without battery how to check the remote control,Must buy,Good product…,Seven Mi remote,Worst</v>
      </c>
      <c r="O252" s="7" t="str">
        <f>VLOOKUP(A252, avaliacoes!A:G, 6, FALSE)</f>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v>
      </c>
    </row>
    <row r="253">
      <c r="A253" s="1" t="s">
        <v>1024</v>
      </c>
      <c r="B253" s="1" t="s">
        <v>1025</v>
      </c>
      <c r="C253" s="1" t="s">
        <v>216</v>
      </c>
      <c r="D253" s="1" t="str">
        <f t="shared" si="2"/>
        <v>Electronics</v>
      </c>
      <c r="E253" s="1" t="str">
        <f t="shared" si="3"/>
        <v>HomeTheater,TV&amp;Video</v>
      </c>
      <c r="F253" s="2">
        <v>499.0</v>
      </c>
      <c r="G253" s="2">
        <v>899.0</v>
      </c>
      <c r="H253" s="3">
        <f t="shared" si="4"/>
        <v>0.4449388209</v>
      </c>
      <c r="I253" s="4">
        <f>IFERROR(__xludf.DUMMYFUNCTION("GOOGLEFINANCE(""CURRENCY:INRBRL"")*F253"),29.7794830772)</f>
        <v>29.77948308</v>
      </c>
      <c r="J253" s="1">
        <v>4.51</v>
      </c>
      <c r="K253" s="1">
        <v>185.0</v>
      </c>
      <c r="L253" s="1" t="s">
        <v>1026</v>
      </c>
      <c r="M253" s="6" t="s">
        <v>1027</v>
      </c>
      <c r="N253" s="7" t="str">
        <f>VLOOKUP(A253, avaliacoes!A:G, 5, FALSE)</f>
        <v>Netflix button not working others works well,Good,Compatible with Vu Premium TV,Not like the original one..  but not bad.,Not Good Quality,Working fine,Half of the button doesn’t work,Hardness</v>
      </c>
      <c r="O253" s="7" t="str">
        <f>VLOOKUP(A253, avaliacoes!A:G, 6, FALSE)</f>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v>
      </c>
    </row>
    <row r="254">
      <c r="A254" s="1" t="s">
        <v>1028</v>
      </c>
      <c r="B254" s="1" t="s">
        <v>1029</v>
      </c>
      <c r="C254" s="1" t="s">
        <v>21</v>
      </c>
      <c r="D254" s="1" t="str">
        <f t="shared" si="2"/>
        <v>Computers&amp;Accessories</v>
      </c>
      <c r="E254" s="1" t="str">
        <f t="shared" si="3"/>
        <v>Accessories&amp;Peripherals</v>
      </c>
      <c r="F254" s="2">
        <v>299.0</v>
      </c>
      <c r="G254" s="2">
        <v>799.0</v>
      </c>
      <c r="H254" s="3">
        <f t="shared" si="4"/>
        <v>0.6257822278</v>
      </c>
      <c r="I254" s="4">
        <f>IFERROR(__xludf.DUMMYFUNCTION("GOOGLEFINANCE(""CURRENCY:INRBRL"")*F254"),17.8438185172)</f>
        <v>17.84381852</v>
      </c>
      <c r="J254" s="1">
        <v>4.5</v>
      </c>
      <c r="K254" s="1">
        <v>2117.0</v>
      </c>
      <c r="L254" s="1" t="s">
        <v>1030</v>
      </c>
      <c r="M254" s="6" t="s">
        <v>1031</v>
      </c>
      <c r="N254" s="7" t="str">
        <f>VLOOKUP(A254, avaliacoes!A:G, 5, FALSE)</f>
        <v>Cable is working properly,Sturdy,Ok,Its very slow in terms of speed,Good Cable,Plug fits little tight, but does the job fine,Good product,GOOD</v>
      </c>
      <c r="O254" s="7" t="str">
        <f>VLOOKUP(A254, avaliacoes!A:G, 6, FALSE)</f>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v>
      </c>
    </row>
    <row r="255">
      <c r="A255" s="1" t="s">
        <v>1032</v>
      </c>
      <c r="B255" s="1" t="s">
        <v>1033</v>
      </c>
      <c r="C255" s="1" t="s">
        <v>21</v>
      </c>
      <c r="D255" s="1" t="str">
        <f t="shared" si="2"/>
        <v>Computers&amp;Accessories</v>
      </c>
      <c r="E255" s="1" t="str">
        <f t="shared" si="3"/>
        <v>Accessories&amp;Peripherals</v>
      </c>
      <c r="F255" s="2">
        <v>182.0</v>
      </c>
      <c r="G255" s="2">
        <v>599.0</v>
      </c>
      <c r="H255" s="3">
        <f t="shared" si="4"/>
        <v>0.6961602671</v>
      </c>
      <c r="I255" s="4">
        <f>IFERROR(__xludf.DUMMYFUNCTION("GOOGLEFINANCE(""CURRENCY:INRBRL"")*F255"),10.8614547496)</f>
        <v>10.86145475</v>
      </c>
      <c r="J255" s="1">
        <v>4.0</v>
      </c>
      <c r="K255" s="1">
        <v>9378.0</v>
      </c>
      <c r="L255" s="1" t="s">
        <v>1034</v>
      </c>
      <c r="M255" s="6" t="s">
        <v>1035</v>
      </c>
      <c r="N255" s="7" t="str">
        <f>VLOOKUP(A255, avaliacoes!A:G, 5, FALSE)</f>
        <v>Worked on iPhone 7 and didn’t work on XR,Good one,Dull Physical Looks,Just Buy it,Go for it,About the product,Get charging cable at the price,Working well.</v>
      </c>
      <c r="O255" s="7" t="str">
        <f>VLOOKUP(A255, avaliacoes!A:G, 6, FALSE)</f>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256">
      <c r="A256" s="1" t="s">
        <v>1036</v>
      </c>
      <c r="B256" s="1" t="s">
        <v>1037</v>
      </c>
      <c r="C256" s="1" t="s">
        <v>298</v>
      </c>
      <c r="D256" s="1" t="str">
        <f t="shared" si="2"/>
        <v>Electronics</v>
      </c>
      <c r="E256" s="1" t="str">
        <f t="shared" si="3"/>
        <v>HomeTheater,TV&amp;Video</v>
      </c>
      <c r="F256" s="2">
        <v>96.0</v>
      </c>
      <c r="G256" s="2">
        <v>399.0</v>
      </c>
      <c r="H256" s="3">
        <f t="shared" si="4"/>
        <v>0.7593984962</v>
      </c>
      <c r="I256" s="4">
        <f>IFERROR(__xludf.DUMMYFUNCTION("GOOGLEFINANCE(""CURRENCY:INRBRL"")*F256"),5.7291189888)</f>
        <v>5.729118989</v>
      </c>
      <c r="J256" s="1">
        <v>4.51</v>
      </c>
      <c r="K256" s="1">
        <v>1796.0</v>
      </c>
      <c r="L256" s="1" t="s">
        <v>1038</v>
      </c>
      <c r="M256" s="6" t="s">
        <v>1039</v>
      </c>
      <c r="N256" s="7" t="str">
        <f>VLOOKUP(A256, avaliacoes!A:G, 5, FALSE)</f>
        <v>Good product,Average product quality,Good,Good product,Nice product,Nice product,super product s,Set up box wall mounted without screws</v>
      </c>
      <c r="O256" s="7" t="str">
        <f>VLOOKUP(A256, avaliacoes!A:G, 6, FALSE)</f>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v>
      </c>
    </row>
    <row r="257">
      <c r="A257" s="1" t="s">
        <v>1040</v>
      </c>
      <c r="B257" s="1" t="s">
        <v>1041</v>
      </c>
      <c r="C257" s="1" t="s">
        <v>87</v>
      </c>
      <c r="D257" s="1" t="str">
        <f t="shared" si="2"/>
        <v>Electronics</v>
      </c>
      <c r="E257" s="1" t="str">
        <f t="shared" si="3"/>
        <v>HomeTheater,TV&amp;Video</v>
      </c>
      <c r="F257" s="2">
        <v>54989.0</v>
      </c>
      <c r="G257" s="2">
        <v>84999.0</v>
      </c>
      <c r="H257" s="3">
        <f t="shared" si="4"/>
        <v>0.3530629772</v>
      </c>
      <c r="I257" s="4">
        <f>IFERROR(__xludf.DUMMYFUNCTION("GOOGLEFINANCE(""CURRENCY:INRBRL"")*F257"),3281.6512924492)</f>
        <v>3281.651292</v>
      </c>
      <c r="J257" s="1">
        <v>4.5</v>
      </c>
      <c r="K257" s="1">
        <v>3587.0</v>
      </c>
      <c r="L257" s="1" t="s">
        <v>456</v>
      </c>
      <c r="M257" s="6" t="s">
        <v>1042</v>
      </c>
      <c r="N257" s="7" t="str">
        <f>VLOOKUP(A257, avaliacoes!A:G, 5, FALSE)</f>
        <v>Good TV for the price. (But my experience was not perfect),Good but not best  @!@,Decent tv for the price but misses on basic smart features,Perfect one in our budget. Speedy and customer friendly approach from vu</v>
      </c>
      <c r="O257" s="7" t="str">
        <f>VLOOKUP(A257, avaliacoes!A:G, 6, FALSE)</f>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v>
      </c>
    </row>
    <row r="258">
      <c r="A258" s="1" t="s">
        <v>1043</v>
      </c>
      <c r="B258" s="1" t="s">
        <v>1044</v>
      </c>
      <c r="C258" s="1" t="s">
        <v>540</v>
      </c>
      <c r="D258" s="1" t="str">
        <f t="shared" si="2"/>
        <v>Electronics</v>
      </c>
      <c r="E258" s="1" t="str">
        <f t="shared" si="3"/>
        <v>HomeTheater,TV&amp;Video</v>
      </c>
      <c r="F258" s="2">
        <v>439.0</v>
      </c>
      <c r="G258" s="2">
        <v>758.0</v>
      </c>
      <c r="H258" s="3">
        <f t="shared" si="4"/>
        <v>0.4208443272</v>
      </c>
      <c r="I258" s="4">
        <f>IFERROR(__xludf.DUMMYFUNCTION("GOOGLEFINANCE(""CURRENCY:INRBRL"")*F258"),26.198783709199997)</f>
        <v>26.19878371</v>
      </c>
      <c r="J258" s="1">
        <v>4.5</v>
      </c>
      <c r="K258" s="1">
        <v>4296.0</v>
      </c>
      <c r="L258" s="1" t="s">
        <v>1045</v>
      </c>
      <c r="M258" s="6" t="s">
        <v>1046</v>
      </c>
      <c r="N258" s="7" t="str">
        <f>VLOOKUP(A258, avaliacoes!A:G, 5, FALSE)</f>
        <v>Good Built Quality Product.,Good quality cable,Useful product but plz check the output ports in ur tV,Nice product,Good,Very good,Good Quality,Best ever</v>
      </c>
      <c r="O258" s="7" t="str">
        <f>VLOOKUP(A258, avaliacoes!A:G, 6, FALSE)</f>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v>
      </c>
    </row>
    <row r="259">
      <c r="A259" s="1" t="s">
        <v>1047</v>
      </c>
      <c r="B259" s="1" t="s">
        <v>1048</v>
      </c>
      <c r="C259" s="1" t="s">
        <v>21</v>
      </c>
      <c r="D259" s="1" t="str">
        <f t="shared" si="2"/>
        <v>Computers&amp;Accessories</v>
      </c>
      <c r="E259" s="1" t="str">
        <f t="shared" si="3"/>
        <v>Accessories&amp;Peripherals</v>
      </c>
      <c r="F259" s="2">
        <v>299.0</v>
      </c>
      <c r="G259" s="2">
        <v>999.0</v>
      </c>
      <c r="H259" s="3">
        <f t="shared" si="4"/>
        <v>0.7007007007</v>
      </c>
      <c r="I259" s="4">
        <f>IFERROR(__xludf.DUMMYFUNCTION("GOOGLEFINANCE(""CURRENCY:INRBRL"")*F259"),17.8438185172)</f>
        <v>17.84381852</v>
      </c>
      <c r="J259" s="1">
        <v>4.5</v>
      </c>
      <c r="K259" s="1">
        <v>2651.0</v>
      </c>
      <c r="L259" s="1" t="s">
        <v>1049</v>
      </c>
      <c r="M259" s="6" t="s">
        <v>1050</v>
      </c>
      <c r="N259" s="7" t="str">
        <f>VLOOKUP(A259, avaliacoes!A:G, 5, FALSE)</f>
        <v>Worth the money spent,Nice product also the sterdiness good as expected.,Not the correct charger for Samsung S9,Nice product,Superb,Doubts on fast charging,One time purchase,Good Product</v>
      </c>
      <c r="O259" s="7" t="str">
        <f>VLOOKUP(A259, avaliacoes!A:G, 6, FALSE)</f>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v>
      </c>
    </row>
    <row r="260">
      <c r="A260" s="1" t="s">
        <v>1051</v>
      </c>
      <c r="B260" s="1" t="s">
        <v>1052</v>
      </c>
      <c r="C260" s="1" t="s">
        <v>21</v>
      </c>
      <c r="D260" s="1" t="str">
        <f t="shared" si="2"/>
        <v>Computers&amp;Accessories</v>
      </c>
      <c r="E260" s="1" t="str">
        <f t="shared" si="3"/>
        <v>Accessories&amp;Peripherals</v>
      </c>
      <c r="F260" s="2">
        <v>299.0</v>
      </c>
      <c r="G260" s="2">
        <v>799.0</v>
      </c>
      <c r="H260" s="3">
        <f t="shared" si="4"/>
        <v>0.6257822278</v>
      </c>
      <c r="I260" s="4">
        <f>IFERROR(__xludf.DUMMYFUNCTION("GOOGLEFINANCE(""CURRENCY:INRBRL"")*F260"),17.8438185172)</f>
        <v>17.84381852</v>
      </c>
      <c r="J260" s="1">
        <v>4.5</v>
      </c>
      <c r="K260" s="1">
        <v>94363.0</v>
      </c>
      <c r="L260" s="1" t="s">
        <v>1053</v>
      </c>
      <c r="M260" s="6" t="s">
        <v>1054</v>
      </c>
      <c r="N260" s="7" t="str">
        <f>VLOOKUP(A260, avaliacoes!A:G, 5, FALSE)</f>
        <v>Good product,Good one,Nice,Really nice product,Very first time change,Good,Fine product but could be better,Very nice it's charging like jet</v>
      </c>
      <c r="O260" s="7" t="str">
        <f>VLOOKUP(A260,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row>
    <row r="261">
      <c r="A261" s="1" t="s">
        <v>1055</v>
      </c>
      <c r="B261" s="1" t="s">
        <v>1056</v>
      </c>
      <c r="C261" s="1" t="s">
        <v>21</v>
      </c>
      <c r="D261" s="1" t="str">
        <f t="shared" si="2"/>
        <v>Computers&amp;Accessories</v>
      </c>
      <c r="E261" s="1" t="str">
        <f t="shared" si="3"/>
        <v>Accessories&amp;Peripherals</v>
      </c>
      <c r="F261" s="2">
        <v>789.0</v>
      </c>
      <c r="G261" s="2">
        <v>1999.0</v>
      </c>
      <c r="H261" s="3">
        <f t="shared" si="4"/>
        <v>0.6053026513</v>
      </c>
      <c r="I261" s="4">
        <f>IFERROR(__xludf.DUMMYFUNCTION("GOOGLEFINANCE(""CURRENCY:INRBRL"")*F261"),47.086196689199994)</f>
        <v>47.08619669</v>
      </c>
      <c r="J261" s="1">
        <v>4.5</v>
      </c>
      <c r="K261" s="1">
        <v>3454.0</v>
      </c>
      <c r="L261" s="1" t="s">
        <v>1057</v>
      </c>
      <c r="M261" s="6" t="s">
        <v>1058</v>
      </c>
      <c r="N261" s="7" t="str">
        <f>VLOOKUP(A261, avaliacoes!A:G, 5, FALSE)</f>
        <v>Looks more durable,cheap n best,Good length and charging speed.,Works,Works like a charm,stopped working,Good,Excellent Product</v>
      </c>
      <c r="O261" s="7" t="str">
        <f>VLOOKUP(A261, avaliacoes!A:G, 6, FALSE)</f>
        <v>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v>
      </c>
    </row>
    <row r="262">
      <c r="A262" s="1" t="s">
        <v>1059</v>
      </c>
      <c r="B262" s="1" t="s">
        <v>1060</v>
      </c>
      <c r="C262" s="1" t="s">
        <v>71</v>
      </c>
      <c r="D262" s="1" t="str">
        <f t="shared" si="2"/>
        <v>Electronics</v>
      </c>
      <c r="E262" s="1" t="str">
        <f t="shared" si="3"/>
        <v>HomeTheater,TV&amp;Video</v>
      </c>
      <c r="F262" s="2">
        <v>299.0</v>
      </c>
      <c r="G262" s="2">
        <v>700.0</v>
      </c>
      <c r="H262" s="3">
        <f t="shared" si="4"/>
        <v>0.5728571429</v>
      </c>
      <c r="I262" s="4">
        <f>IFERROR(__xludf.DUMMYFUNCTION("GOOGLEFINANCE(""CURRENCY:INRBRL"")*F262"),17.8438185172)</f>
        <v>17.84381852</v>
      </c>
      <c r="J262" s="1">
        <v>4.5</v>
      </c>
      <c r="K262" s="1">
        <v>8714.0</v>
      </c>
      <c r="L262" s="1" t="s">
        <v>1061</v>
      </c>
      <c r="M262" s="6" t="s">
        <v>1062</v>
      </c>
      <c r="N262" s="7" t="str">
        <f>VLOOKUP(A262, avaliacoes!A:G, 5, FALSE)</f>
        <v>Good cable,This amazon basics cable does the job perfectly well.,Good, sturdy cable,Necessary product connector HDMI,Best quality cable I have had,Male to Female HDMI Extension Cable,very nice wire,Ultimate connectivity.... Using more than couple of years...</v>
      </c>
      <c r="O262" s="7" t="str">
        <f>VLOOKUP(A262, avaliacoes!A:G, 6, FALSE)</f>
        <v>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v>
      </c>
    </row>
    <row r="263">
      <c r="A263" s="1" t="s">
        <v>1063</v>
      </c>
      <c r="B263" s="1" t="s">
        <v>1064</v>
      </c>
      <c r="C263" s="1" t="s">
        <v>21</v>
      </c>
      <c r="D263" s="1" t="str">
        <f t="shared" si="2"/>
        <v>Computers&amp;Accessories</v>
      </c>
      <c r="E263" s="1" t="str">
        <f t="shared" si="3"/>
        <v>Accessories&amp;Peripherals</v>
      </c>
      <c r="F263" s="2">
        <v>325.0</v>
      </c>
      <c r="G263" s="2">
        <v>1099.0</v>
      </c>
      <c r="H263" s="3">
        <f t="shared" si="4"/>
        <v>0.7042766151</v>
      </c>
      <c r="I263" s="4">
        <f>IFERROR(__xludf.DUMMYFUNCTION("GOOGLEFINANCE(""CURRENCY:INRBRL"")*F263"),19.395454909999998)</f>
        <v>19.39545491</v>
      </c>
      <c r="J263" s="1">
        <v>4.5</v>
      </c>
      <c r="K263" s="1">
        <v>10576.0</v>
      </c>
      <c r="L263" s="1" t="s">
        <v>1065</v>
      </c>
      <c r="M263" s="6" t="s">
        <v>1066</v>
      </c>
      <c r="N263" s="7" t="str">
        <f>VLOOKUP(A263, avaliacoes!A:G, 5, FALSE)</f>
        <v>Nice product .,Good quality Braided cable, VFM,Good cord, but has Earthing issue,Ok,Good product. Little bit fast charger for phones like redmi.,Fast charging is working properly,Money value product 👌,Cable a Nice product</v>
      </c>
      <c r="O263" s="7" t="str">
        <f>VLOOKUP(A263, avaliacoes!A:G,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row>
    <row r="264">
      <c r="A264" s="1" t="s">
        <v>1067</v>
      </c>
      <c r="B264" s="1" t="s">
        <v>1068</v>
      </c>
      <c r="C264" s="1" t="s">
        <v>21</v>
      </c>
      <c r="D264" s="1" t="str">
        <f t="shared" si="2"/>
        <v>Computers&amp;Accessories</v>
      </c>
      <c r="E264" s="1" t="str">
        <f t="shared" si="3"/>
        <v>Accessories&amp;Peripherals</v>
      </c>
      <c r="F264" s="2">
        <v>1299.0</v>
      </c>
      <c r="G264" s="2">
        <v>1999.0</v>
      </c>
      <c r="H264" s="3">
        <f t="shared" si="4"/>
        <v>0.3501750875</v>
      </c>
      <c r="I264" s="4">
        <f>IFERROR(__xludf.DUMMYFUNCTION("GOOGLEFINANCE(""CURRENCY:INRBRL"")*F264"),77.5221413172)</f>
        <v>77.52214132</v>
      </c>
      <c r="J264" s="1">
        <v>4.5</v>
      </c>
      <c r="K264" s="1">
        <v>7318.0</v>
      </c>
      <c r="L264" s="1" t="s">
        <v>1069</v>
      </c>
      <c r="M264" s="6" t="s">
        <v>1070</v>
      </c>
      <c r="N264" s="7" t="str">
        <f>VLOOKUP(A264, avaliacoes!A:G, 5, FALSE)</f>
        <v>You might be able to get away by using other usb too,Built well but there are flaws.,Good alternative for Apple cable,Good alternative,Best buy,Good,Value for Money,Works as advertised.</v>
      </c>
      <c r="O264" s="7" t="str">
        <f>VLOOKUP(A264, avaliacoes!A:G, 6, FALSE)</f>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v>
      </c>
    </row>
    <row r="265">
      <c r="A265" s="1" t="s">
        <v>1071</v>
      </c>
      <c r="B265" s="1" t="s">
        <v>1072</v>
      </c>
      <c r="C265" s="1" t="s">
        <v>216</v>
      </c>
      <c r="D265" s="1" t="str">
        <f t="shared" si="2"/>
        <v>Electronics</v>
      </c>
      <c r="E265" s="1" t="str">
        <f t="shared" si="3"/>
        <v>HomeTheater,TV&amp;Video</v>
      </c>
      <c r="F265" s="2">
        <v>790.0</v>
      </c>
      <c r="G265" s="2">
        <v>1999.0</v>
      </c>
      <c r="H265" s="3">
        <f t="shared" si="4"/>
        <v>0.6048024012</v>
      </c>
      <c r="I265" s="4">
        <f>IFERROR(__xludf.DUMMYFUNCTION("GOOGLEFINANCE(""CURRENCY:INRBRL"")*F265"),47.145875012)</f>
        <v>47.14587501</v>
      </c>
      <c r="J265" s="1">
        <v>3.0</v>
      </c>
      <c r="K265" s="1">
        <v>103.0</v>
      </c>
      <c r="L265" s="1" t="s">
        <v>1073</v>
      </c>
      <c r="M265" s="6" t="s">
        <v>1074</v>
      </c>
      <c r="N265" s="7" t="str">
        <f>VLOOKUP(A265, avaliacoes!A:G, 5, FALSE)</f>
        <v>Not good,No voice recognition, No pointer ray as in original LG remote. These features are not included,Best product,Not working properly,Doesnt work, dont buy,It doesn’t have pointer,Not working properly,Just perfect</v>
      </c>
      <c r="O265" s="7" t="str">
        <f>VLOOKUP(A265, avaliacoes!A:G, 6, FALSE)</f>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v>
      </c>
    </row>
    <row r="266">
      <c r="A266" s="1" t="s">
        <v>1075</v>
      </c>
      <c r="B266" s="1" t="s">
        <v>1076</v>
      </c>
      <c r="C266" s="1" t="s">
        <v>1077</v>
      </c>
      <c r="D266" s="1" t="str">
        <f t="shared" si="2"/>
        <v>Electronics</v>
      </c>
      <c r="E266" s="1" t="str">
        <f t="shared" si="3"/>
        <v>HomeAudio</v>
      </c>
      <c r="F266" s="2">
        <v>4699.0</v>
      </c>
      <c r="G266" s="2">
        <v>4699.0</v>
      </c>
      <c r="H266" s="3">
        <f t="shared" si="4"/>
        <v>0</v>
      </c>
      <c r="I266" s="4">
        <f>IFERROR(__xludf.DUMMYFUNCTION("GOOGLEFINANCE(""CURRENCY:INRBRL"")*F266"),280.42843883719996)</f>
        <v>280.4284388</v>
      </c>
      <c r="J266" s="1">
        <v>4.51</v>
      </c>
      <c r="K266" s="1">
        <v>224.0</v>
      </c>
      <c r="L266" s="1" t="s">
        <v>1078</v>
      </c>
      <c r="M266" s="6" t="s">
        <v>1079</v>
      </c>
      <c r="N266" s="7" t="str">
        <f>VLOOKUP(A266, avaliacoes!A:G, 5, FALSE)</f>
        <v>Great Product,Very good and working very nice,Horrible user experience on account of poor hardware,Not worthy. Laggy sometimes</v>
      </c>
      <c r="O266" s="7" t="str">
        <f>VLOOKUP(A266, avaliacoes!A:G, 6, FALSE)</f>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v>
      </c>
    </row>
    <row r="267">
      <c r="A267" s="1" t="s">
        <v>1080</v>
      </c>
      <c r="B267" s="1" t="s">
        <v>1081</v>
      </c>
      <c r="C267" s="1" t="s">
        <v>87</v>
      </c>
      <c r="D267" s="1" t="str">
        <f t="shared" si="2"/>
        <v>Electronics</v>
      </c>
      <c r="E267" s="1" t="str">
        <f t="shared" si="3"/>
        <v>HomeTheater,TV&amp;Video</v>
      </c>
      <c r="F267" s="2">
        <v>18999.0</v>
      </c>
      <c r="G267" s="2">
        <v>24990.0</v>
      </c>
      <c r="H267" s="3">
        <f t="shared" si="4"/>
        <v>0.2397358944</v>
      </c>
      <c r="I267" s="4">
        <f>IFERROR(__xludf.DUMMYFUNCTION("GOOGLEFINANCE(""CURRENCY:INRBRL"")*F267"),1133.8284548771999)</f>
        <v>1133.828455</v>
      </c>
      <c r="J267" s="1">
        <v>4.5</v>
      </c>
      <c r="K267" s="1">
        <v>4702.0</v>
      </c>
      <c r="L267" s="1" t="s">
        <v>1082</v>
      </c>
      <c r="M267" s="6" t="s">
        <v>1083</v>
      </c>
      <c r="N267" s="7" t="str">
        <f>VLOOKUP(A267, avaliacoes!A:G, 5, FALSE)</f>
        <v>Wonderful TV and Awful installation service from amazon,Acer Television Review,It's a good product for that price.,Good for the price,Almost a complete package,Nice Product,Good product,Super designed</v>
      </c>
      <c r="O267" s="7" t="str">
        <f>VLOOKUP(A267,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row>
    <row r="268">
      <c r="A268" s="1" t="s">
        <v>1084</v>
      </c>
      <c r="B268" s="1" t="s">
        <v>1085</v>
      </c>
      <c r="C268" s="1" t="s">
        <v>21</v>
      </c>
      <c r="D268" s="1" t="str">
        <f t="shared" si="2"/>
        <v>Computers&amp;Accessories</v>
      </c>
      <c r="E268" s="1" t="str">
        <f t="shared" si="3"/>
        <v>Accessories&amp;Peripherals</v>
      </c>
      <c r="F268" s="2">
        <v>199.0</v>
      </c>
      <c r="G268" s="2">
        <v>999.0</v>
      </c>
      <c r="H268" s="3">
        <f t="shared" si="4"/>
        <v>0.8008008008</v>
      </c>
      <c r="I268" s="4">
        <f>IFERROR(__xludf.DUMMYFUNCTION("GOOGLEFINANCE(""CURRENCY:INRBRL"")*F268"),11.8759862372)</f>
        <v>11.87598624</v>
      </c>
      <c r="J268" s="1">
        <v>4.5</v>
      </c>
      <c r="K268" s="1">
        <v>85.0</v>
      </c>
      <c r="L268" s="1" t="s">
        <v>1086</v>
      </c>
      <c r="M268" s="6" t="s">
        <v>1087</v>
      </c>
      <c r="N268" s="7" t="str">
        <f>VLOOKUP(A268, avaliacoes!A:G, 5, FALSE)</f>
        <v>Good 👍,Good,Cable length is ok , quality is not good . In this price it is ok,MFS 100 cable,Good Quality,Good product but cable thickness should be more,Quality is excellent,Super service</v>
      </c>
      <c r="O268" s="7" t="str">
        <f>VLOOKUP(A268, avaliacoes!A:G, 6, FALSE)</f>
        <v>Quality issue..,Good,Cable length is ok , quality is not good . In this price it is ok,Very good &amp; quality product. Reasonable price alsoYour cable easy to replace.,Best quality,Good product but thickness of cable is less,It is very good product.Thank you amazon,Super product</v>
      </c>
    </row>
    <row r="269">
      <c r="A269" s="1" t="s">
        <v>1088</v>
      </c>
      <c r="B269" s="1" t="s">
        <v>1089</v>
      </c>
      <c r="C269" s="1" t="s">
        <v>71</v>
      </c>
      <c r="D269" s="1" t="str">
        <f t="shared" si="2"/>
        <v>Electronics</v>
      </c>
      <c r="E269" s="1" t="str">
        <f t="shared" si="3"/>
        <v>HomeTheater,TV&amp;Video</v>
      </c>
      <c r="F269" s="2">
        <v>269.0</v>
      </c>
      <c r="G269" s="2">
        <v>650.0</v>
      </c>
      <c r="H269" s="3">
        <f t="shared" si="4"/>
        <v>0.5861538462</v>
      </c>
      <c r="I269" s="4">
        <f>IFERROR(__xludf.DUMMYFUNCTION("GOOGLEFINANCE(""CURRENCY:INRBRL"")*F269"),16.0534688332)</f>
        <v>16.05346883</v>
      </c>
      <c r="J269" s="1">
        <v>4.5</v>
      </c>
      <c r="K269" s="1">
        <v>35877.0</v>
      </c>
      <c r="L269" s="1" t="s">
        <v>1090</v>
      </c>
      <c r="M269" s="6" t="s">
        <v>1091</v>
      </c>
      <c r="N269" s="7" t="str">
        <f>VLOOKUP(A269, avaliacoes!A:G, 5, FALSE)</f>
        <v>Satisfactory,Superb88,Good hdmi cable for 1080p 60 fps,Hdmi cable received,Amazing Product!!! Liked it!!!,Good product,Best product for me.,I'll strongly recommend this product to others.</v>
      </c>
      <c r="O269" s="7" t="str">
        <f>VLOOKUP(A269, avaliacoes!A:G, 6, FALSE)</f>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v>
      </c>
    </row>
    <row r="270">
      <c r="A270" s="1" t="s">
        <v>1092</v>
      </c>
      <c r="B270" s="1" t="s">
        <v>1093</v>
      </c>
      <c r="C270" s="1" t="s">
        <v>1094</v>
      </c>
      <c r="D270" s="1" t="str">
        <f t="shared" si="2"/>
        <v>Electronics</v>
      </c>
      <c r="E270" s="1" t="str">
        <f t="shared" si="3"/>
        <v>HomeTheater,TV&amp;Video</v>
      </c>
      <c r="F270" s="2">
        <v>1990.0</v>
      </c>
      <c r="G270" s="2">
        <v>3100.0</v>
      </c>
      <c r="H270" s="3">
        <f t="shared" si="4"/>
        <v>0.3580645161</v>
      </c>
      <c r="I270" s="4">
        <f>IFERROR(__xludf.DUMMYFUNCTION("GOOGLEFINANCE(""CURRENCY:INRBRL"")*F270"),118.75986237199999)</f>
        <v>118.7598624</v>
      </c>
      <c r="J270" s="1">
        <v>4.0</v>
      </c>
      <c r="K270" s="1">
        <v>897.0</v>
      </c>
      <c r="L270" s="1" t="s">
        <v>1095</v>
      </c>
      <c r="M270" s="6" t="s">
        <v>1096</v>
      </c>
      <c r="N270" s="7" t="str">
        <f>VLOOKUP(A270, avaliacoes!A:G, 5, FALSE)</f>
        <v>Good,Does the job. Works with two devices,Positive review- Almost good and useful,Hissing sound  output from (viSe TV) Vijay sales.,Acceptable sound, no hassle of charging,Excellent product,Not good range,Very good</v>
      </c>
      <c r="O270" s="7" t="str">
        <f>VLOOKUP(A270, avaliacoes!A:G, 6, FALSE)</f>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v>
      </c>
    </row>
    <row r="271">
      <c r="A271" s="1" t="s">
        <v>1097</v>
      </c>
      <c r="B271" s="1" t="s">
        <v>1098</v>
      </c>
      <c r="C271" s="1" t="s">
        <v>1099</v>
      </c>
      <c r="D271" s="1" t="str">
        <f t="shared" si="2"/>
        <v>Electronics</v>
      </c>
      <c r="E271" s="1" t="str">
        <f t="shared" si="3"/>
        <v>HomeAudio</v>
      </c>
      <c r="F271" s="2">
        <v>2299.0</v>
      </c>
      <c r="G271" s="2">
        <v>3999.0</v>
      </c>
      <c r="H271" s="3">
        <f t="shared" si="4"/>
        <v>0.4251062766</v>
      </c>
      <c r="I271" s="4">
        <f>IFERROR(__xludf.DUMMYFUNCTION("GOOGLEFINANCE(""CURRENCY:INRBRL"")*F271"),137.2004641172)</f>
        <v>137.2004641</v>
      </c>
      <c r="J271" s="1">
        <v>4.51</v>
      </c>
      <c r="K271" s="1">
        <v>282.0</v>
      </c>
      <c r="L271" s="1" t="s">
        <v>1100</v>
      </c>
      <c r="M271" s="6" t="s">
        <v>1101</v>
      </c>
      <c r="N271" s="7" t="str">
        <f>VLOOKUP(A271, avaliacoes!A:G, 5, FALSE)</f>
        <v>Simply good,Sound quality,FM Radio antenna isn't strong enough, rest features are value for money,SIZE,Product quantity is good,Value for money,Best,Found remote broken, please replace the remote only.</v>
      </c>
      <c r="O271" s="7" t="str">
        <f>VLOOKUP(A271, avaliacoes!A:G, 6, FALSE)</f>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v>
      </c>
    </row>
    <row r="272">
      <c r="A272" s="1" t="s">
        <v>1102</v>
      </c>
      <c r="B272" s="1" t="s">
        <v>1103</v>
      </c>
      <c r="C272" s="1" t="s">
        <v>87</v>
      </c>
      <c r="D272" s="1" t="str">
        <f t="shared" si="2"/>
        <v>Electronics</v>
      </c>
      <c r="E272" s="1" t="str">
        <f t="shared" si="3"/>
        <v>HomeTheater,TV&amp;Video</v>
      </c>
      <c r="F272" s="2">
        <v>35999.0</v>
      </c>
      <c r="G272" s="2">
        <v>49990.0</v>
      </c>
      <c r="H272" s="3">
        <f t="shared" si="4"/>
        <v>0.2798759752</v>
      </c>
      <c r="I272" s="4">
        <f>IFERROR(__xludf.DUMMYFUNCTION("GOOGLEFINANCE(""CURRENCY:INRBRL"")*F272"),2148.3599424771996)</f>
        <v>2148.359942</v>
      </c>
      <c r="J272" s="1">
        <v>4.5</v>
      </c>
      <c r="K272" s="1">
        <v>1611.0</v>
      </c>
      <c r="L272" s="1" t="s">
        <v>1104</v>
      </c>
      <c r="M272" s="6" t="s">
        <v>1105</v>
      </c>
      <c r="N272" s="7" t="str">
        <f>VLOOKUP(A272, avaliacoes!A:G, 5, FALSE)</f>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v>
      </c>
      <c r="O272" s="7" t="str">
        <f>VLOOKUP(A272, avaliacoes!A:G, 6, FALSE)</f>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v>
      </c>
    </row>
    <row r="273">
      <c r="A273" s="1" t="s">
        <v>1106</v>
      </c>
      <c r="B273" s="1" t="s">
        <v>1107</v>
      </c>
      <c r="C273" s="1" t="s">
        <v>216</v>
      </c>
      <c r="D273" s="1" t="str">
        <f t="shared" si="2"/>
        <v>Electronics</v>
      </c>
      <c r="E273" s="1" t="str">
        <f t="shared" si="3"/>
        <v>HomeTheater,TV&amp;Video</v>
      </c>
      <c r="F273" s="2">
        <v>349.0</v>
      </c>
      <c r="G273" s="2">
        <v>999.0</v>
      </c>
      <c r="H273" s="3">
        <f t="shared" si="4"/>
        <v>0.6506506507</v>
      </c>
      <c r="I273" s="4">
        <f>IFERROR(__xludf.DUMMYFUNCTION("GOOGLEFINANCE(""CURRENCY:INRBRL"")*F273"),20.827734657199997)</f>
        <v>20.82773466</v>
      </c>
      <c r="J273" s="1">
        <v>4.5</v>
      </c>
      <c r="K273" s="1">
        <v>513.0</v>
      </c>
      <c r="L273" s="1" t="s">
        <v>1108</v>
      </c>
      <c r="M273" s="6" t="s">
        <v>1109</v>
      </c>
      <c r="N273" s="7" t="str">
        <f>VLOOKUP(A273, avaliacoes!A:G, 5, FALSE)</f>
        <v>Good quality,Average product.,It fits perfectly on remote. Its Worth for the money I spent.,Good silicon cover for remote,It is perfect fit,Overall it a good product but little pricey,Great for fire stick 4k,Nice product</v>
      </c>
      <c r="O273" s="7" t="str">
        <f>VLOOKUP(A273, avaliacoes!A:G, 6, FALSE)</f>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v>
      </c>
    </row>
    <row r="274">
      <c r="A274" s="1" t="s">
        <v>1110</v>
      </c>
      <c r="B274" s="1" t="s">
        <v>1111</v>
      </c>
      <c r="C274" s="1" t="s">
        <v>21</v>
      </c>
      <c r="D274" s="1" t="str">
        <f t="shared" si="2"/>
        <v>Computers&amp;Accessories</v>
      </c>
      <c r="E274" s="1" t="str">
        <f t="shared" si="3"/>
        <v>Accessories&amp;Peripherals</v>
      </c>
      <c r="F274" s="2">
        <v>719.0</v>
      </c>
      <c r="G274" s="2">
        <v>1499.0</v>
      </c>
      <c r="H274" s="3">
        <f t="shared" si="4"/>
        <v>0.5203468979</v>
      </c>
      <c r="I274" s="4">
        <f>IFERROR(__xludf.DUMMYFUNCTION("GOOGLEFINANCE(""CURRENCY:INRBRL"")*F274"),42.9087140932)</f>
        <v>42.90871409</v>
      </c>
      <c r="J274" s="1">
        <v>4.49</v>
      </c>
      <c r="K274" s="1">
        <v>1045.0</v>
      </c>
      <c r="L274" s="1" t="s">
        <v>1112</v>
      </c>
      <c r="M274" s="6" t="s">
        <v>1113</v>
      </c>
      <c r="N274" s="7" t="str">
        <f>VLOOKUP(A274, avaliacoes!A:G, 5, FALSE)</f>
        <v>Good,I don’t like this product,Awesome product,Best cable for iphone xs .. works well with fast charging brick,Low quality pin but wire is fine,Excellent quality,Awesome quality and fast charging,Works fine</v>
      </c>
      <c r="O274" s="7" t="str">
        <f>VLOOKUP(A274, avaliacoes!A:G, 6, FALSE)</f>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v>
      </c>
    </row>
    <row r="275">
      <c r="A275" s="1" t="s">
        <v>1114</v>
      </c>
      <c r="B275" s="1" t="s">
        <v>1115</v>
      </c>
      <c r="C275" s="1" t="s">
        <v>87</v>
      </c>
      <c r="D275" s="1" t="str">
        <f t="shared" si="2"/>
        <v>Electronics</v>
      </c>
      <c r="E275" s="1" t="str">
        <f t="shared" si="3"/>
        <v>HomeTheater,TV&amp;Video</v>
      </c>
      <c r="F275" s="2">
        <v>8999.0</v>
      </c>
      <c r="G275" s="2">
        <v>18999.0</v>
      </c>
      <c r="H275" s="3">
        <f t="shared" si="4"/>
        <v>0.5263434918</v>
      </c>
      <c r="I275" s="4">
        <f>IFERROR(__xludf.DUMMYFUNCTION("GOOGLEFINANCE(""CURRENCY:INRBRL"")*F275"),537.0452268772)</f>
        <v>537.0452269</v>
      </c>
      <c r="J275" s="1">
        <v>4.0</v>
      </c>
      <c r="K275" s="1">
        <v>6347.0</v>
      </c>
      <c r="L275" s="1" t="s">
        <v>1116</v>
      </c>
      <c r="M275" s="6" t="s">
        <v>1117</v>
      </c>
      <c r="N275" s="7" t="str">
        <f>VLOOKUP(A275, avaliacoes!A:G, 5, FALSE)</f>
        <v>Tv is good in price range,Inexpensive Smart TV,good,Cheap and best,In this budget it’s so good,Not bad ok,Very good👍👍,Very Nice</v>
      </c>
      <c r="O275" s="7" t="str">
        <f>VLOOKUP(A275, avaliacoes!A:G, 6, FALSE)</f>
        <v>Tv is good in this price range,It's an excellent product for this price range,Good,Picture quality is good,Amazing product sound quality is okay and smart features is little bit slow but it’s okay overall ✅ love this product,Ok super work,Good product,</v>
      </c>
    </row>
    <row r="276">
      <c r="A276" s="1" t="s">
        <v>1118</v>
      </c>
      <c r="B276" s="1" t="s">
        <v>1119</v>
      </c>
      <c r="C276" s="1" t="s">
        <v>919</v>
      </c>
      <c r="D276" s="1" t="str">
        <f t="shared" si="2"/>
        <v>Electronics</v>
      </c>
      <c r="E276" s="1" t="str">
        <f t="shared" si="3"/>
        <v>HomeTheater,TV&amp;Video</v>
      </c>
      <c r="F276" s="2">
        <v>917.0</v>
      </c>
      <c r="G276" s="2">
        <v>2299.0</v>
      </c>
      <c r="H276" s="3">
        <f t="shared" si="4"/>
        <v>0.6011309265</v>
      </c>
      <c r="I276" s="4">
        <f>IFERROR(__xludf.DUMMYFUNCTION("GOOGLEFINANCE(""CURRENCY:INRBRL"")*F276"),54.725022007599996)</f>
        <v>54.72502201</v>
      </c>
      <c r="J276" s="1">
        <v>4.5</v>
      </c>
      <c r="K276" s="1">
        <v>33.0</v>
      </c>
      <c r="L276" s="1" t="s">
        <v>1120</v>
      </c>
      <c r="M276" s="6" t="s">
        <v>1121</v>
      </c>
      <c r="N276" s="7" t="str">
        <f>VLOOKUP(A276, avaliacoes!A:G, 5, FALSE)</f>
        <v>Picture quality poor,Good,Very good product,Working fine till now,Good quality,Nice product,Nice picture quality,Nice sarvice</v>
      </c>
      <c r="O276" s="7" t="str">
        <f>VLOOKUP(A276, avaliacoes!A:G, 6, FALSE)</f>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v>
      </c>
    </row>
    <row r="277">
      <c r="A277" s="1" t="s">
        <v>1122</v>
      </c>
      <c r="B277" s="1" t="s">
        <v>1123</v>
      </c>
      <c r="C277" s="1" t="s">
        <v>216</v>
      </c>
      <c r="D277" s="1" t="str">
        <f t="shared" si="2"/>
        <v>Electronics</v>
      </c>
      <c r="E277" s="1" t="str">
        <f t="shared" si="3"/>
        <v>HomeTheater,TV&amp;Video</v>
      </c>
      <c r="F277" s="2">
        <v>399.0</v>
      </c>
      <c r="G277" s="2">
        <v>999.0</v>
      </c>
      <c r="H277" s="3">
        <f t="shared" si="4"/>
        <v>0.6006006006</v>
      </c>
      <c r="I277" s="4">
        <f>IFERROR(__xludf.DUMMYFUNCTION("GOOGLEFINANCE(""CURRENCY:INRBRL"")*F277"),23.8116507972)</f>
        <v>23.8116508</v>
      </c>
      <c r="J277" s="1">
        <v>4.5</v>
      </c>
      <c r="K277" s="1">
        <v>23.0</v>
      </c>
      <c r="L277" s="1" t="s">
        <v>1124</v>
      </c>
      <c r="M277" s="6" t="s">
        <v>1125</v>
      </c>
      <c r="N277" s="7" t="str">
        <f>VLOOKUP(A277, avaliacoes!A:G, 5, FALSE)</f>
        <v>When I placed the order I was in doubt whether it would work or not but it works very well,Very bad 😞😞,Remote very 👎 bad,Doesn’t works at all, material quality isn’t nearby the original one,No bluetooth</v>
      </c>
      <c r="O277" s="7" t="str">
        <f>VLOOKUP(A277, avaliacoes!A:G, 6, FALSE)</f>
        <v>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v>
      </c>
    </row>
    <row r="278">
      <c r="A278" s="1" t="s">
        <v>1126</v>
      </c>
      <c r="B278" s="1" t="s">
        <v>1127</v>
      </c>
      <c r="C278" s="1" t="s">
        <v>87</v>
      </c>
      <c r="D278" s="1" t="str">
        <f t="shared" si="2"/>
        <v>Electronics</v>
      </c>
      <c r="E278" s="1" t="str">
        <f t="shared" si="3"/>
        <v>HomeTheater,TV&amp;Video</v>
      </c>
      <c r="F278" s="2">
        <v>45999.0</v>
      </c>
      <c r="G278" s="2">
        <v>69899.0</v>
      </c>
      <c r="H278" s="3">
        <f t="shared" si="4"/>
        <v>0.3419219159</v>
      </c>
      <c r="I278" s="4">
        <f>IFERROR(__xludf.DUMMYFUNCTION("GOOGLEFINANCE(""CURRENCY:INRBRL"")*F278"),2745.1431704772)</f>
        <v>2745.14317</v>
      </c>
      <c r="J278" s="1">
        <v>4.5</v>
      </c>
      <c r="K278" s="1">
        <v>7109.0</v>
      </c>
      <c r="L278" s="1" t="s">
        <v>1128</v>
      </c>
      <c r="M278" s="6" t="s">
        <v>1129</v>
      </c>
      <c r="N278" s="7" t="str">
        <f>VLOOKUP(A278, avaliacoes!A:G, 5, FALSE)</f>
        <v>Best(Branded) Budget TV,A high-quality 4k Smart TV from Samsung,Received Defective,Got Replacement,Nice product but,Tv is good,Best budget tv,Value for money. Samsung is always good,Value for money product</v>
      </c>
      <c r="O278" s="7" t="str">
        <f>VLOOKUP(A278, avaliacoes!A:G,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row>
    <row r="279">
      <c r="A279" s="1" t="s">
        <v>1130</v>
      </c>
      <c r="B279" s="1" t="s">
        <v>1131</v>
      </c>
      <c r="C279" s="1" t="s">
        <v>21</v>
      </c>
      <c r="D279" s="1" t="str">
        <f t="shared" si="2"/>
        <v>Computers&amp;Accessories</v>
      </c>
      <c r="E279" s="1" t="str">
        <f t="shared" si="3"/>
        <v>Accessories&amp;Peripherals</v>
      </c>
      <c r="F279" s="2">
        <v>119.0</v>
      </c>
      <c r="G279" s="2">
        <v>299.0</v>
      </c>
      <c r="H279" s="3">
        <f t="shared" si="4"/>
        <v>0.602006689</v>
      </c>
      <c r="I279" s="4">
        <f>IFERROR(__xludf.DUMMYFUNCTION("GOOGLEFINANCE(""CURRENCY:INRBRL"")*F279"),7.1017204132)</f>
        <v>7.101720413</v>
      </c>
      <c r="J279" s="1">
        <v>4.51</v>
      </c>
      <c r="K279" s="1">
        <v>51.0</v>
      </c>
      <c r="L279" s="1" t="s">
        <v>1132</v>
      </c>
      <c r="M279" s="6" t="s">
        <v>1133</v>
      </c>
      <c r="N279" s="7" t="str">
        <f>VLOOKUP(A279, avaliacoes!A:G, 5, FALSE)</f>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v>
      </c>
      <c r="O279" s="7" t="str">
        <f>VLOOKUP(A279, avaliacoes!A:G, 6, FALSE)</f>
        <v>,Please don't buy this product.Cable stopped working after 10 days automatically,value for money,Very nice product and cheap compare to other,using for a month now,,https://m.media-amazon.com/images/I/711x3nzWzLL._SY88.jpg,Bad quality product as it charging in 36 hours within 10bdays of usage.,</v>
      </c>
    </row>
    <row r="280">
      <c r="A280" s="1" t="s">
        <v>1134</v>
      </c>
      <c r="B280" s="1" t="s">
        <v>1135</v>
      </c>
      <c r="C280" s="1" t="s">
        <v>87</v>
      </c>
      <c r="D280" s="1" t="str">
        <f t="shared" si="2"/>
        <v>Electronics</v>
      </c>
      <c r="E280" s="1" t="str">
        <f t="shared" si="3"/>
        <v>HomeTheater,TV&amp;Video</v>
      </c>
      <c r="F280" s="2">
        <v>21999.0</v>
      </c>
      <c r="G280" s="2">
        <v>29999.0</v>
      </c>
      <c r="H280" s="3">
        <f t="shared" si="4"/>
        <v>0.2666755559</v>
      </c>
      <c r="I280" s="4">
        <f>IFERROR(__xludf.DUMMYFUNCTION("GOOGLEFINANCE(""CURRENCY:INRBRL"")*F280"),1312.8634232772)</f>
        <v>1312.863423</v>
      </c>
      <c r="J280" s="1">
        <v>4.5</v>
      </c>
      <c r="K280" s="1">
        <v>3284.0</v>
      </c>
      <c r="L280" s="1" t="s">
        <v>1136</v>
      </c>
      <c r="M280" s="6" t="s">
        <v>1137</v>
      </c>
      <c r="N280" s="7" t="str">
        <f>VLOOKUP(A280, avaliacoes!A:G, 5, FALSE)</f>
        <v>It is the best tv if you are getting it in 10-12k,Good price but the OS lags,GARBAGE QUALITY,Good product.,Good quality,Great experience everything is fantastic 🤠,Super picture quality and sound quality,Awesome</v>
      </c>
      <c r="O280" s="7" t="str">
        <f>VLOOKUP(A280,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v>
      </c>
    </row>
    <row r="281">
      <c r="A281" s="1" t="s">
        <v>1138</v>
      </c>
      <c r="B281" s="1" t="s">
        <v>1139</v>
      </c>
      <c r="C281" s="1" t="s">
        <v>216</v>
      </c>
      <c r="D281" s="1" t="str">
        <f t="shared" si="2"/>
        <v>Electronics</v>
      </c>
      <c r="E281" s="1" t="str">
        <f t="shared" si="3"/>
        <v>HomeTheater,TV&amp;Video</v>
      </c>
      <c r="F281" s="2">
        <v>299.0</v>
      </c>
      <c r="G281" s="2">
        <v>599.0</v>
      </c>
      <c r="H281" s="3">
        <f t="shared" si="4"/>
        <v>0.5008347245</v>
      </c>
      <c r="I281" s="4">
        <f>IFERROR(__xludf.DUMMYFUNCTION("GOOGLEFINANCE(""CURRENCY:INRBRL"")*F281"),17.8438185172)</f>
        <v>17.84381852</v>
      </c>
      <c r="J281" s="1">
        <v>4.51</v>
      </c>
      <c r="K281" s="1">
        <v>708.0</v>
      </c>
      <c r="L281" s="1" t="s">
        <v>1140</v>
      </c>
      <c r="M281" s="6" t="s">
        <v>1141</v>
      </c>
      <c r="N281" s="7" t="str">
        <f>VLOOKUP(A281, avaliacoes!A:G, 5, FALSE)</f>
        <v>Value for Money,Costlier than the original product, works somewhat same.,Bad quality.,Ok,Product is good,Poor quality remote control,Nice product,Good product</v>
      </c>
      <c r="O281" s="7" t="str">
        <f>VLOOKUP(A281, avaliacoes!A:G, 6, FALSE)</f>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v>
      </c>
    </row>
    <row r="282">
      <c r="A282" s="1" t="s">
        <v>1142</v>
      </c>
      <c r="B282" s="1" t="s">
        <v>1143</v>
      </c>
      <c r="C282" s="1" t="s">
        <v>87</v>
      </c>
      <c r="D282" s="1" t="str">
        <f t="shared" si="2"/>
        <v>Electronics</v>
      </c>
      <c r="E282" s="1" t="str">
        <f t="shared" si="3"/>
        <v>HomeTheater,TV&amp;Video</v>
      </c>
      <c r="F282" s="2">
        <v>21990.0</v>
      </c>
      <c r="G282" s="2">
        <v>34990.0</v>
      </c>
      <c r="H282" s="3">
        <f t="shared" si="4"/>
        <v>0.3715347242</v>
      </c>
      <c r="I282" s="4">
        <f>IFERROR(__xludf.DUMMYFUNCTION("GOOGLEFINANCE(""CURRENCY:INRBRL"")*F282"),1312.3263183719998)</f>
        <v>1312.326318</v>
      </c>
      <c r="J282" s="1">
        <v>4.5</v>
      </c>
      <c r="K282" s="1">
        <v>1657.0</v>
      </c>
      <c r="L282" s="1" t="s">
        <v>1144</v>
      </c>
      <c r="M282" s="6" t="s">
        <v>1145</v>
      </c>
      <c r="N282" s="7" t="str">
        <f>VLOOKUP(A282, avaliacoes!A:G, 5, FALSE)</f>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v>
      </c>
      <c r="O282" s="7" t="str">
        <f>VLOOKUP(A282, avaliacoes!A:G, 6, FALSE)</f>
        <v>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v>
      </c>
    </row>
    <row r="283">
      <c r="A283" s="1" t="s">
        <v>1146</v>
      </c>
      <c r="B283" s="1" t="s">
        <v>1147</v>
      </c>
      <c r="C283" s="1" t="s">
        <v>21</v>
      </c>
      <c r="D283" s="1" t="str">
        <f t="shared" si="2"/>
        <v>Computers&amp;Accessories</v>
      </c>
      <c r="E283" s="1" t="str">
        <f t="shared" si="3"/>
        <v>Accessories&amp;Peripherals</v>
      </c>
      <c r="F283" s="2">
        <v>417.44</v>
      </c>
      <c r="G283" s="2">
        <v>670.0</v>
      </c>
      <c r="H283" s="3">
        <f t="shared" si="4"/>
        <v>0.3769552239</v>
      </c>
      <c r="I283" s="4">
        <f>IFERROR(__xludf.DUMMYFUNCTION("GOOGLEFINANCE(""CURRENCY:INRBRL"")*F283"),24.912119069632)</f>
        <v>24.91211907</v>
      </c>
      <c r="J283" s="1">
        <v>4.52</v>
      </c>
      <c r="K283" s="1">
        <v>523.0</v>
      </c>
      <c r="L283" s="1" t="s">
        <v>1148</v>
      </c>
      <c r="M283" s="6" t="s">
        <v>1149</v>
      </c>
      <c r="N283" s="7" t="str">
        <f>VLOOKUP(A283, avaliacoes!A:G, 5, FALSE)</f>
        <v>Nice one,Not up to the mark.,Nice product working in Asus zen pro mobile,Good product 👍👍👍,Working everything as expected,VERY GOOD QUALITY,Lenovo USB A to Type-C Tangle-free  Aramid fiber braided 1.2m cable with 4A Fast charging,Nice Products</v>
      </c>
      <c r="O283" s="7" t="str">
        <f>VLOOKUP(A283, avaliacoes!A:G, 6, FALSE)</f>
        <v>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v>
      </c>
    </row>
    <row r="284">
      <c r="A284" s="1" t="s">
        <v>1150</v>
      </c>
      <c r="B284" s="1" t="s">
        <v>1151</v>
      </c>
      <c r="C284" s="1" t="s">
        <v>21</v>
      </c>
      <c r="D284" s="1" t="str">
        <f t="shared" si="2"/>
        <v>Computers&amp;Accessories</v>
      </c>
      <c r="E284" s="1" t="str">
        <f t="shared" si="3"/>
        <v>Accessories&amp;Peripherals</v>
      </c>
      <c r="F284" s="2">
        <v>199.0</v>
      </c>
      <c r="G284" s="2">
        <v>999.0</v>
      </c>
      <c r="H284" s="3">
        <f t="shared" si="4"/>
        <v>0.8008008008</v>
      </c>
      <c r="I284" s="4">
        <f>IFERROR(__xludf.DUMMYFUNCTION("GOOGLEFINANCE(""CURRENCY:INRBRL"")*F284"),11.8759862372)</f>
        <v>11.87598624</v>
      </c>
      <c r="J284" s="1">
        <v>3.0</v>
      </c>
      <c r="K284" s="1">
        <v>0.0</v>
      </c>
      <c r="L284" s="1" t="s">
        <v>1152</v>
      </c>
      <c r="M284" s="6" t="s">
        <v>1153</v>
      </c>
      <c r="N284" s="7" t="str">
        <f>VLOOKUP(A284, avaliacoes!A:G, 5, FALSE)</f>
        <v>The cable works but is not 65W as advertised</v>
      </c>
      <c r="O284" s="7" t="str">
        <f>VLOOKUP(A284, avaliacoes!A:G, 6, FALSE)</f>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v>
      </c>
    </row>
    <row r="285">
      <c r="A285" s="1" t="s">
        <v>1154</v>
      </c>
      <c r="B285" s="1" t="s">
        <v>1155</v>
      </c>
      <c r="C285" s="1" t="s">
        <v>87</v>
      </c>
      <c r="D285" s="1" t="str">
        <f t="shared" si="2"/>
        <v>Electronics</v>
      </c>
      <c r="E285" s="1" t="str">
        <f t="shared" si="3"/>
        <v>HomeTheater,TV&amp;Video</v>
      </c>
      <c r="F285" s="2">
        <v>47990.0</v>
      </c>
      <c r="G285" s="2">
        <v>79990.0</v>
      </c>
      <c r="H285" s="3">
        <f t="shared" si="4"/>
        <v>0.4000500063</v>
      </c>
      <c r="I285" s="4">
        <f>IFERROR(__xludf.DUMMYFUNCTION("GOOGLEFINANCE(""CURRENCY:INRBRL"")*F285"),2863.9627111719997)</f>
        <v>2863.962711</v>
      </c>
      <c r="J285" s="1">
        <v>4.5</v>
      </c>
      <c r="K285" s="1">
        <v>1376.0</v>
      </c>
      <c r="L285" s="1" t="s">
        <v>565</v>
      </c>
      <c r="M285" s="6" t="s">
        <v>1156</v>
      </c>
      <c r="N285" s="7" t="str">
        <f>VLOOKUP(A285, avaliacoes!A:G, 5, FALSE)</f>
        <v>Love Amazon but lg is misleading,Amazing product,Worst service from LG,Good,Simply beautiful,Satisfied with the TV,Great deal,It is quite ok</v>
      </c>
      <c r="O285" s="7" t="str">
        <f>VLOOKUP(A285, avaliacoes!A:G, 6, FALSE)</f>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v>
      </c>
    </row>
    <row r="286">
      <c r="A286" s="1" t="s">
        <v>1157</v>
      </c>
      <c r="B286" s="1" t="s">
        <v>1158</v>
      </c>
      <c r="C286" s="1" t="s">
        <v>216</v>
      </c>
      <c r="D286" s="1" t="str">
        <f t="shared" si="2"/>
        <v>Electronics</v>
      </c>
      <c r="E286" s="1" t="str">
        <f t="shared" si="3"/>
        <v>HomeTheater,TV&amp;Video</v>
      </c>
      <c r="F286" s="2">
        <v>215.0</v>
      </c>
      <c r="G286" s="2">
        <v>499.0</v>
      </c>
      <c r="H286" s="3">
        <f t="shared" si="4"/>
        <v>0.5691382766</v>
      </c>
      <c r="I286" s="4">
        <f>IFERROR(__xludf.DUMMYFUNCTION("GOOGLEFINANCE(""CURRENCY:INRBRL"")*F286"),12.830839401999999)</f>
        <v>12.8308394</v>
      </c>
      <c r="J286" s="1">
        <v>4.5</v>
      </c>
      <c r="K286" s="1">
        <v>121.0</v>
      </c>
      <c r="L286" s="1" t="s">
        <v>1159</v>
      </c>
      <c r="M286" s="6" t="s">
        <v>1160</v>
      </c>
      <c r="N286" s="7" t="str">
        <f>VLOOKUP(A286, avaliacoes!A:G, 5, FALSE)</f>
        <v>NOT GOOD IN DURIBILITY.,The remote lasted a grand total of one week.,Good product too early to say final word on durability,prompt delivery plus supet product,It's good.,satisfactory,Body  problems,Damaged product</v>
      </c>
      <c r="O286" s="7" t="str">
        <f>VLOOKUP(A286, avaliacoes!A:G, 6, FALSE)</f>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v>
      </c>
    </row>
    <row r="287">
      <c r="A287" s="1" t="s">
        <v>1161</v>
      </c>
      <c r="B287" s="1" t="s">
        <v>1162</v>
      </c>
      <c r="C287" s="1" t="s">
        <v>21</v>
      </c>
      <c r="D287" s="1" t="str">
        <f t="shared" si="2"/>
        <v>Computers&amp;Accessories</v>
      </c>
      <c r="E287" s="1" t="str">
        <f t="shared" si="3"/>
        <v>Accessories&amp;Peripherals</v>
      </c>
      <c r="F287" s="2">
        <v>99.0</v>
      </c>
      <c r="G287" s="2">
        <v>800.0</v>
      </c>
      <c r="H287" s="3">
        <f t="shared" si="4"/>
        <v>0.87625</v>
      </c>
      <c r="I287" s="4">
        <f>IFERROR(__xludf.DUMMYFUNCTION("GOOGLEFINANCE(""CURRENCY:INRBRL"")*F287"),5.9081539572)</f>
        <v>5.908153957</v>
      </c>
      <c r="J287" s="1">
        <v>4.52</v>
      </c>
      <c r="K287" s="1">
        <v>1075.0</v>
      </c>
      <c r="L287" s="1" t="s">
        <v>460</v>
      </c>
      <c r="M287" s="6" t="s">
        <v>1163</v>
      </c>
      <c r="N287" s="7" t="str">
        <f>VLOOKUP(A287,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287" s="7" t="str">
        <f>VLOOKUP(A287, avaliacoes!A:G, 6, FALSE)</f>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v>
      </c>
    </row>
    <row r="288">
      <c r="A288" s="1" t="s">
        <v>1164</v>
      </c>
      <c r="B288" s="1" t="s">
        <v>1165</v>
      </c>
      <c r="C288" s="1" t="s">
        <v>87</v>
      </c>
      <c r="D288" s="1" t="str">
        <f t="shared" si="2"/>
        <v>Electronics</v>
      </c>
      <c r="E288" s="1" t="str">
        <f t="shared" si="3"/>
        <v>HomeTheater,TV&amp;Video</v>
      </c>
      <c r="F288" s="2">
        <v>18999.0</v>
      </c>
      <c r="G288" s="2">
        <v>35000.0</v>
      </c>
      <c r="H288" s="3">
        <f t="shared" si="4"/>
        <v>0.4571714286</v>
      </c>
      <c r="I288" s="4">
        <f>IFERROR(__xludf.DUMMYFUNCTION("GOOGLEFINANCE(""CURRENCY:INRBRL"")*F288"),1133.8284548771999)</f>
        <v>1133.828455</v>
      </c>
      <c r="J288" s="1">
        <v>4.0</v>
      </c>
      <c r="K288" s="1">
        <v>1001.0</v>
      </c>
      <c r="L288" s="1" t="s">
        <v>1166</v>
      </c>
      <c r="M288" s="6" t="s">
        <v>1167</v>
      </c>
      <c r="N288" s="7" t="str">
        <f>VLOOKUP(A288, avaliacoes!A:G, 5, FALSE)</f>
        <v>Vu brand superb quality,Value for price,Thik hai but android nahi hai,Good model for entry level 32" TV need.,Good product value of Money,Great TV,The sound quality, speakers, picture quality are just OK. MID GRADE PRODUCT AT MOST,Picture Quality</v>
      </c>
      <c r="O288" s="7" t="str">
        <f>VLOOKUP(A288, avaliacoes!A:G, 6, FALSE)</f>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v>
      </c>
    </row>
    <row r="289">
      <c r="A289" s="1" t="s">
        <v>1168</v>
      </c>
      <c r="B289" s="1" t="s">
        <v>1169</v>
      </c>
      <c r="C289" s="1" t="s">
        <v>21</v>
      </c>
      <c r="D289" s="1" t="str">
        <f t="shared" si="2"/>
        <v>Computers&amp;Accessories</v>
      </c>
      <c r="E289" s="1" t="str">
        <f t="shared" si="3"/>
        <v>Accessories&amp;Peripherals</v>
      </c>
      <c r="F289" s="2">
        <v>249.0</v>
      </c>
      <c r="G289" s="2">
        <v>999.0</v>
      </c>
      <c r="H289" s="3">
        <f t="shared" si="4"/>
        <v>0.7507507508</v>
      </c>
      <c r="I289" s="4">
        <f>IFERROR(__xludf.DUMMYFUNCTION("GOOGLEFINANCE(""CURRENCY:INRBRL"")*F289"),14.8599023772)</f>
        <v>14.85990238</v>
      </c>
      <c r="J289" s="1">
        <v>4.5</v>
      </c>
      <c r="K289" s="1">
        <v>112.0</v>
      </c>
      <c r="L289" s="1" t="s">
        <v>1170</v>
      </c>
      <c r="M289" s="6" t="s">
        <v>1171</v>
      </c>
      <c r="N289" s="7" t="str">
        <f>VLOOKUP(A289, avaliacoes!A:G, 5, FALSE)</f>
        <v>Product life ia short,Good,Waste,Value for money,Very nice product at a reasonable price. Value for money.,Good replacement cable at this price,Worst cable. Not working even after replacement. Dont buy guys Manufactured in China.,Not working</v>
      </c>
      <c r="O289" s="7" t="str">
        <f>VLOOKUP(A289, avaliacoes!A:G, 6, FALSE)</f>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v>
      </c>
    </row>
    <row r="290">
      <c r="A290" s="1" t="s">
        <v>1172</v>
      </c>
      <c r="B290" s="1" t="s">
        <v>1173</v>
      </c>
      <c r="C290" s="1" t="s">
        <v>237</v>
      </c>
      <c r="D290" s="1" t="str">
        <f t="shared" si="2"/>
        <v>Electronics</v>
      </c>
      <c r="E290" s="1" t="str">
        <f t="shared" si="3"/>
        <v>HomeTheater,TV&amp;Video</v>
      </c>
      <c r="F290" s="2">
        <v>7999.0</v>
      </c>
      <c r="G290" s="2">
        <v>15999.0</v>
      </c>
      <c r="H290" s="3">
        <f t="shared" si="4"/>
        <v>0.500031252</v>
      </c>
      <c r="I290" s="4">
        <f>IFERROR(__xludf.DUMMYFUNCTION("GOOGLEFINANCE(""CURRENCY:INRBRL"")*F290"),477.3669040772)</f>
        <v>477.3669041</v>
      </c>
      <c r="J290" s="1">
        <v>4.51</v>
      </c>
      <c r="K290" s="1">
        <v>3022.0</v>
      </c>
      <c r="L290" s="1" t="s">
        <v>1174</v>
      </c>
      <c r="M290" s="6" t="s">
        <v>1175</v>
      </c>
      <c r="N290" s="7" t="str">
        <f>VLOOKUP(A290, avaliacoes!A:G, 5, FALSE)</f>
        <v>This is a Best kodak LED,Product is Good as per the price but customer service experience is too bad,It's ok,Company doesn't provide Installation.Demand  change for it.,Good but not best,Good product 👍,Very nice,Display quality and incomplete product</v>
      </c>
      <c r="O290" s="7" t="str">
        <f>VLOOKUP(A290, avaliacoes!A:G, 6, FALSE)</f>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v>
      </c>
    </row>
    <row r="291">
      <c r="A291" s="1" t="s">
        <v>1176</v>
      </c>
      <c r="B291" s="1" t="s">
        <v>1177</v>
      </c>
      <c r="C291" s="1" t="s">
        <v>21</v>
      </c>
      <c r="D291" s="1" t="str">
        <f t="shared" si="2"/>
        <v>Computers&amp;Accessories</v>
      </c>
      <c r="E291" s="1" t="str">
        <f t="shared" si="3"/>
        <v>Accessories&amp;Peripherals</v>
      </c>
      <c r="F291" s="2">
        <v>649.0</v>
      </c>
      <c r="G291" s="2">
        <v>1600.0</v>
      </c>
      <c r="H291" s="3">
        <f t="shared" si="4"/>
        <v>0.594375</v>
      </c>
      <c r="I291" s="4">
        <f>IFERROR(__xludf.DUMMYFUNCTION("GOOGLEFINANCE(""CURRENCY:INRBRL"")*F291"),38.7312314972)</f>
        <v>38.7312315</v>
      </c>
      <c r="J291" s="1">
        <v>4.5</v>
      </c>
      <c r="K291" s="1">
        <v>5451.0</v>
      </c>
      <c r="L291" s="1" t="s">
        <v>1178</v>
      </c>
      <c r="M291" s="6" t="s">
        <v>1179</v>
      </c>
      <c r="N291" s="7" t="str">
        <f>VLOOKUP(A291, avaliacoes!A:G, 5, FALSE)</f>
        <v>Overall it's a good product for mobile charging.,Awesome 😎,Gud data cabel....,Very good USB C TO USB C Cable .The one does not entangle to develop fold leading to cracks and cuts,Best,Rigid and high quality,Super durable,Great i have been using for 6 month</v>
      </c>
      <c r="O291" s="7" t="str">
        <f>VLOOKUP(A291, avaliacoes!A:G, 6, FALSE)</f>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v>
      </c>
    </row>
    <row r="292">
      <c r="A292" s="1" t="s">
        <v>1180</v>
      </c>
      <c r="B292" s="1" t="s">
        <v>342</v>
      </c>
      <c r="C292" s="1" t="s">
        <v>216</v>
      </c>
      <c r="D292" s="1" t="str">
        <f t="shared" si="2"/>
        <v>Electronics</v>
      </c>
      <c r="E292" s="1" t="str">
        <f t="shared" si="3"/>
        <v>HomeTheater,TV&amp;Video</v>
      </c>
      <c r="F292" s="2">
        <v>1289.0</v>
      </c>
      <c r="G292" s="2">
        <v>2500.0</v>
      </c>
      <c r="H292" s="3">
        <f t="shared" si="4"/>
        <v>0.4844</v>
      </c>
      <c r="I292" s="4">
        <f>IFERROR(__xludf.DUMMYFUNCTION("GOOGLEFINANCE(""CURRENCY:INRBRL"")*F292"),76.92535808919999)</f>
        <v>76.92535809</v>
      </c>
      <c r="J292" s="1">
        <v>4.5</v>
      </c>
      <c r="K292" s="1">
        <v>73.0</v>
      </c>
      <c r="L292" s="1" t="s">
        <v>1181</v>
      </c>
      <c r="M292" s="6" t="s">
        <v>1182</v>
      </c>
      <c r="N292" s="7" t="str">
        <f>VLOOKUP(A292, avaliacoes!A:G, 5, FALSE)</f>
        <v>Not how original remote works,Chinese quality,It's okay.,good one,Works great with Firestick,Substandard Copy of original at the cost of original,Pathetic,total waste product don't buy battery drain problem</v>
      </c>
      <c r="O292" s="7" t="str">
        <f>VLOOKUP(A292, avaliacoes!A:G, 6, FALSE)</f>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v>
      </c>
    </row>
    <row r="293">
      <c r="A293" s="1" t="s">
        <v>1183</v>
      </c>
      <c r="B293" s="1" t="s">
        <v>1184</v>
      </c>
      <c r="C293" s="1" t="s">
        <v>71</v>
      </c>
      <c r="D293" s="1" t="str">
        <f t="shared" si="2"/>
        <v>Electronics</v>
      </c>
      <c r="E293" s="1" t="str">
        <f t="shared" si="3"/>
        <v>HomeTheater,TV&amp;Video</v>
      </c>
      <c r="F293" s="2">
        <v>609.0</v>
      </c>
      <c r="G293" s="2">
        <v>1500.0</v>
      </c>
      <c r="H293" s="3">
        <f t="shared" si="4"/>
        <v>0.594</v>
      </c>
      <c r="I293" s="4">
        <f>IFERROR(__xludf.DUMMYFUNCTION("GOOGLEFINANCE(""CURRENCY:INRBRL"")*F293"),36.344098585199994)</f>
        <v>36.34409859</v>
      </c>
      <c r="J293" s="1">
        <v>4.51</v>
      </c>
      <c r="K293" s="1">
        <v>1029.0</v>
      </c>
      <c r="L293" s="1" t="s">
        <v>1185</v>
      </c>
      <c r="M293" s="6" t="s">
        <v>1186</v>
      </c>
      <c r="N293" s="7" t="str">
        <f>VLOOKUP(A293, avaliacoes!A:G, 5, FALSE)</f>
        <v>AmazonBasics Product,Good,Very good,Value for money product,Nice product quantity is nice connective is fast,Product,Good Quality Product,Never thought it be would this good!!</v>
      </c>
      <c r="O293" s="7" t="str">
        <f>VLOOKUP(A293, avaliacoes!A:G, 6, FALSE)</f>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v>
      </c>
    </row>
    <row r="294">
      <c r="A294" s="1" t="s">
        <v>1187</v>
      </c>
      <c r="B294" s="1" t="s">
        <v>1188</v>
      </c>
      <c r="C294" s="1" t="s">
        <v>87</v>
      </c>
      <c r="D294" s="1" t="str">
        <f t="shared" si="2"/>
        <v>Electronics</v>
      </c>
      <c r="E294" s="1" t="str">
        <f t="shared" si="3"/>
        <v>HomeTheater,TV&amp;Video</v>
      </c>
      <c r="F294" s="2">
        <v>32990.0</v>
      </c>
      <c r="G294" s="2">
        <v>54990.0</v>
      </c>
      <c r="H294" s="3">
        <f t="shared" si="4"/>
        <v>0.4000727405</v>
      </c>
      <c r="I294" s="4">
        <f>IFERROR(__xludf.DUMMYFUNCTION("GOOGLEFINANCE(""CURRENCY:INRBRL"")*F294"),1968.7878691719998)</f>
        <v>1968.787869</v>
      </c>
      <c r="J294" s="1">
        <v>4.49</v>
      </c>
      <c r="K294" s="1">
        <v>1555.0</v>
      </c>
      <c r="L294" s="1" t="s">
        <v>1189</v>
      </c>
      <c r="M294" s="6" t="s">
        <v>1190</v>
      </c>
      <c r="N294" s="7" t="str">
        <f>VLOOKUP(A294, avaliacoes!A:G, 5, FALSE)</f>
        <v>Value for Money product.,Overall Tv is good,Good,Good performance so far… considering the price range,Received a defective piece,Nice,TV bundled with Google ecosystem gives a extra  boost,Good product</v>
      </c>
      <c r="O294" s="7" t="str">
        <f>VLOOKUP(A294, avaliacoes!A:G, 6, FALSE)</f>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v>
      </c>
    </row>
    <row r="295">
      <c r="A295" s="1" t="s">
        <v>1191</v>
      </c>
      <c r="B295" s="1" t="s">
        <v>1192</v>
      </c>
      <c r="C295" s="1" t="s">
        <v>71</v>
      </c>
      <c r="D295" s="1" t="str">
        <f t="shared" si="2"/>
        <v>Electronics</v>
      </c>
      <c r="E295" s="1" t="str">
        <f t="shared" si="3"/>
        <v>HomeTheater,TV&amp;Video</v>
      </c>
      <c r="F295" s="2">
        <v>599.0</v>
      </c>
      <c r="G295" s="2">
        <v>1999.0</v>
      </c>
      <c r="H295" s="3">
        <f t="shared" si="4"/>
        <v>0.7003501751</v>
      </c>
      <c r="I295" s="4">
        <f>IFERROR(__xludf.DUMMYFUNCTION("GOOGLEFINANCE(""CURRENCY:INRBRL"")*F295"),35.747315357199994)</f>
        <v>35.74731536</v>
      </c>
      <c r="J295" s="1">
        <v>4.5</v>
      </c>
      <c r="K295" s="1">
        <v>47.0</v>
      </c>
      <c r="L295" s="1" t="s">
        <v>1193</v>
      </c>
      <c r="M295" s="6" t="s">
        <v>1194</v>
      </c>
      <c r="N295" s="7" t="str">
        <f>VLOOKUP(A295, avaliacoes!A:G, 5, FALSE)</f>
        <v>Good Product,Nice,Customer service support information not found on box.,Value for money,Good product,Nice 👍,Best the hdmi cable,Exactly as discribed, enchanced Quality</v>
      </c>
      <c r="O295" s="7" t="str">
        <f>VLOOKUP(A295, avaliacoes!A:G, 6, FALSE)</f>
        <v>As mention in description, its awesome.,Nice,Good lengthy with good Metalic body on jack side., Difference can't find with older cable.,Great Stuff and superb quality,Good product,Nice 👍,I am like the hdmi cable,</v>
      </c>
    </row>
    <row r="296">
      <c r="A296" s="1" t="s">
        <v>1195</v>
      </c>
      <c r="B296" s="1" t="s">
        <v>1196</v>
      </c>
      <c r="C296" s="1" t="s">
        <v>21</v>
      </c>
      <c r="D296" s="1" t="str">
        <f t="shared" si="2"/>
        <v>Computers&amp;Accessories</v>
      </c>
      <c r="E296" s="1" t="str">
        <f t="shared" si="3"/>
        <v>Accessories&amp;Peripherals</v>
      </c>
      <c r="F296" s="2">
        <v>349.0</v>
      </c>
      <c r="G296" s="2">
        <v>899.0</v>
      </c>
      <c r="H296" s="3">
        <f t="shared" si="4"/>
        <v>0.6117908788</v>
      </c>
      <c r="I296" s="4">
        <f>IFERROR(__xludf.DUMMYFUNCTION("GOOGLEFINANCE(""CURRENCY:INRBRL"")*F296"),20.827734657199997)</f>
        <v>20.82773466</v>
      </c>
      <c r="J296" s="1">
        <v>4.49</v>
      </c>
      <c r="K296" s="1">
        <v>14896.0</v>
      </c>
      <c r="L296" s="1" t="s">
        <v>1197</v>
      </c>
      <c r="M296" s="6" t="s">
        <v>1198</v>
      </c>
      <c r="N296" s="7" t="str">
        <f>VLOOKUP(A296, avaliacoes!A:G, 5, FALSE)</f>
        <v>Very good.,Good one. Worth Buy.,Wonderful,Amazon USB C to Micro USB : It works,Good,Laptop with only USB C ports? Buy this cable.,A must buy accessory for all MacBook M1 owners,Good quality usb c to usb b adapter cable 8 inch</v>
      </c>
      <c r="O296" s="7" t="str">
        <f>VLOOKUP(A296, avaliacoes!A:G, 6, FALSE)</f>
        <v>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v>
      </c>
    </row>
    <row r="297">
      <c r="A297" s="1" t="s">
        <v>1199</v>
      </c>
      <c r="B297" s="1" t="s">
        <v>1200</v>
      </c>
      <c r="C297" s="1" t="s">
        <v>87</v>
      </c>
      <c r="D297" s="1" t="str">
        <f t="shared" si="2"/>
        <v>Electronics</v>
      </c>
      <c r="E297" s="1" t="str">
        <f t="shared" si="3"/>
        <v>HomeTheater,TV&amp;Video</v>
      </c>
      <c r="F297" s="2">
        <v>29999.0</v>
      </c>
      <c r="G297" s="2">
        <v>50999.0</v>
      </c>
      <c r="H297" s="3">
        <f t="shared" si="4"/>
        <v>0.4117727799</v>
      </c>
      <c r="I297" s="4">
        <f>IFERROR(__xludf.DUMMYFUNCTION("GOOGLEFINANCE(""CURRENCY:INRBRL"")*F297"),1790.2900056771998)</f>
        <v>1790.290006</v>
      </c>
      <c r="J297" s="1">
        <v>4.5</v>
      </c>
      <c r="K297" s="1">
        <v>1712.0</v>
      </c>
      <c r="L297" s="1" t="s">
        <v>1201</v>
      </c>
      <c r="M297" s="6" t="s">
        <v>1202</v>
      </c>
      <c r="N297" s="7" t="str">
        <f>VLOOKUP(A297, avaliacoes!A:G, 5, FALSE)</f>
        <v>Good value for money,Good,Kodak Tv,One side of screen has blacked out,Kodak tv,Remote not working properly,Kodak TV,Kodak Tv</v>
      </c>
      <c r="O297" s="7" t="str">
        <f>VLOOKUP(A297, avaliacoes!A:G, 6, FALSE)</f>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v>
      </c>
    </row>
    <row r="298">
      <c r="A298" s="1" t="s">
        <v>1203</v>
      </c>
      <c r="B298" s="1" t="s">
        <v>993</v>
      </c>
      <c r="C298" s="1" t="s">
        <v>216</v>
      </c>
      <c r="D298" s="1" t="str">
        <f t="shared" si="2"/>
        <v>Electronics</v>
      </c>
      <c r="E298" s="1" t="str">
        <f t="shared" si="3"/>
        <v>HomeTheater,TV&amp;Video</v>
      </c>
      <c r="F298" s="2">
        <v>199.0</v>
      </c>
      <c r="G298" s="2">
        <v>399.0</v>
      </c>
      <c r="H298" s="3">
        <f t="shared" si="4"/>
        <v>0.5012531328</v>
      </c>
      <c r="I298" s="4">
        <f>IFERROR(__xludf.DUMMYFUNCTION("GOOGLEFINANCE(""CURRENCY:INRBRL"")*F298"),11.8759862372)</f>
        <v>11.87598624</v>
      </c>
      <c r="J298" s="1">
        <v>4.5</v>
      </c>
      <c r="K298" s="1">
        <v>1335.0</v>
      </c>
      <c r="L298" s="1" t="s">
        <v>994</v>
      </c>
      <c r="M298" s="6" t="s">
        <v>1204</v>
      </c>
      <c r="N298" s="7" t="str">
        <f>VLOOKUP(A298, avaliacoes!A:G, 5, FALSE)</f>
        <v>Cover is Little loose for Fire remote cover,I ordered this for colour,Pricing,Nice Product,Overpriced but good quality.,Remote stops working after 3 months,Perfect fot,Perfect size for amazon firestick</v>
      </c>
      <c r="O298" s="7" t="str">
        <f>VLOOKUP(A298, avaliacoes!A:G, 6, FALSE)</f>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v>
      </c>
    </row>
    <row r="299">
      <c r="A299" s="1" t="s">
        <v>1205</v>
      </c>
      <c r="B299" s="1" t="s">
        <v>1206</v>
      </c>
      <c r="C299" s="1" t="s">
        <v>216</v>
      </c>
      <c r="D299" s="1" t="str">
        <f t="shared" si="2"/>
        <v>Electronics</v>
      </c>
      <c r="E299" s="1" t="str">
        <f t="shared" si="3"/>
        <v>HomeTheater,TV&amp;Video</v>
      </c>
      <c r="F299" s="2">
        <v>349.0</v>
      </c>
      <c r="G299" s="2">
        <v>699.0</v>
      </c>
      <c r="H299" s="3">
        <f t="shared" si="4"/>
        <v>0.5007153076</v>
      </c>
      <c r="I299" s="4">
        <f>IFERROR(__xludf.DUMMYFUNCTION("GOOGLEFINANCE(""CURRENCY:INRBRL"")*F299"),20.827734657199997)</f>
        <v>20.82773466</v>
      </c>
      <c r="J299" s="1">
        <v>4.52</v>
      </c>
      <c r="K299" s="1">
        <v>214.0</v>
      </c>
      <c r="L299" s="1" t="s">
        <v>1207</v>
      </c>
      <c r="M299" s="6" t="s">
        <v>1208</v>
      </c>
      <c r="N299" s="7" t="str">
        <f>VLOOKUP(A299, avaliacoes!A:G, 5, FALSE)</f>
        <v>Very nice and strong product,Good,Value for money,The remote is of OK quality,Good Product,Replaced item is not working ..we want to return this item as soon as possible,Good remote,Iska work</v>
      </c>
      <c r="O299" s="7" t="str">
        <f>VLOOKUP(A299, avaliacoes!A:G, 6, FALSE)</f>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v>
      </c>
    </row>
    <row r="300">
      <c r="A300" s="1" t="s">
        <v>1209</v>
      </c>
      <c r="B300" s="1" t="s">
        <v>1210</v>
      </c>
      <c r="C300" s="1" t="s">
        <v>298</v>
      </c>
      <c r="D300" s="1" t="str">
        <f t="shared" si="2"/>
        <v>Electronics</v>
      </c>
      <c r="E300" s="1" t="str">
        <f t="shared" si="3"/>
        <v>HomeTheater,TV&amp;Video</v>
      </c>
      <c r="F300" s="2">
        <v>1850.0</v>
      </c>
      <c r="G300" s="2">
        <v>4500.0</v>
      </c>
      <c r="H300" s="3">
        <f t="shared" si="4"/>
        <v>0.5888888889</v>
      </c>
      <c r="I300" s="4">
        <f>IFERROR(__xludf.DUMMYFUNCTION("GOOGLEFINANCE(""CURRENCY:INRBRL"")*F300"),110.40489717999999)</f>
        <v>110.4048972</v>
      </c>
      <c r="J300" s="1">
        <v>4.0</v>
      </c>
      <c r="K300" s="1">
        <v>184.0</v>
      </c>
      <c r="L300" s="1" t="s">
        <v>1211</v>
      </c>
      <c r="M300" s="6" t="s">
        <v>1212</v>
      </c>
      <c r="N300" s="7" t="str">
        <f>VLOOKUP(A300, avaliacoes!A:G, 5, FALSE)</f>
        <v>A Good Product.,Does the job,Overpriced Item,A bit over priced,Recommended,There is not fit to my tv so that why I return it,Nice product,Not worth !</v>
      </c>
      <c r="O300" s="7" t="str">
        <f>VLOOKUP(A300, avaliacoes!A:G, 6, FALSE)</f>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v>
      </c>
    </row>
    <row r="301">
      <c r="A301" s="1" t="s">
        <v>1213</v>
      </c>
      <c r="B301" s="1" t="s">
        <v>1214</v>
      </c>
      <c r="C301" s="1" t="s">
        <v>653</v>
      </c>
      <c r="D301" s="1" t="str">
        <f t="shared" si="2"/>
        <v>Electronics</v>
      </c>
      <c r="E301" s="1" t="str">
        <f t="shared" si="3"/>
        <v>HomeTheater,TV&amp;Video</v>
      </c>
      <c r="F301" s="2">
        <v>13990.0</v>
      </c>
      <c r="G301" s="2">
        <v>28900.0</v>
      </c>
      <c r="H301" s="3">
        <f t="shared" si="4"/>
        <v>0.515916955</v>
      </c>
      <c r="I301" s="4">
        <f>IFERROR(__xludf.DUMMYFUNCTION("GOOGLEFINANCE(""CURRENCY:INRBRL"")*F301"),834.8997359719999)</f>
        <v>834.899736</v>
      </c>
      <c r="J301" s="1">
        <v>4.51</v>
      </c>
      <c r="K301" s="1">
        <v>7.0</v>
      </c>
      <c r="L301" s="1" t="s">
        <v>1215</v>
      </c>
      <c r="M301" s="6" t="s">
        <v>1216</v>
      </c>
      <c r="N301" s="7" t="str">
        <f>VLOOKUP(A301, avaliacoes!A:G, 5, FALSE)</f>
        <v>Very nice and good product at this price,Nothing,Good product for the budget,It's Perfect! Must Buy!! 😊</v>
      </c>
      <c r="O301" s="7" t="str">
        <f>VLOOKUP(A301, avaliacoes!A:G, 6, FALSE)</f>
        <v>Overall working is very smooth and it's easy to operate also. Highly satisfied with the product at this price. Hoping that higher versions of android os can be updated in future.,Quality and light weight,Good product for the price spent. Would last long if maintained well!,</v>
      </c>
    </row>
    <row r="302">
      <c r="A302" s="1" t="s">
        <v>1217</v>
      </c>
      <c r="B302" s="1" t="s">
        <v>1218</v>
      </c>
      <c r="C302" s="1" t="s">
        <v>21</v>
      </c>
      <c r="D302" s="1" t="str">
        <f t="shared" si="2"/>
        <v>Computers&amp;Accessories</v>
      </c>
      <c r="E302" s="1" t="str">
        <f t="shared" si="3"/>
        <v>Accessories&amp;Peripherals</v>
      </c>
      <c r="F302" s="2">
        <v>129.0</v>
      </c>
      <c r="G302" s="2">
        <v>449.0</v>
      </c>
      <c r="H302" s="3">
        <f t="shared" si="4"/>
        <v>0.7126948775</v>
      </c>
      <c r="I302" s="4">
        <f>IFERROR(__xludf.DUMMYFUNCTION("GOOGLEFINANCE(""CURRENCY:INRBRL"")*F302"),7.698503641199999)</f>
        <v>7.698503641</v>
      </c>
      <c r="J302" s="1">
        <v>4.51</v>
      </c>
      <c r="K302" s="1">
        <v>41.0</v>
      </c>
      <c r="L302" s="1" t="s">
        <v>1219</v>
      </c>
      <c r="M302" s="6" t="s">
        <v>1220</v>
      </c>
      <c r="N302" s="7" t="str">
        <f>VLOOKUP(A302, avaliacoes!A:G, 5, FALSE)</f>
        <v>Nice,सानदार है,Received damaged product,Good quality product,It's very good.,101% fake lava usb,Average product,Costless</v>
      </c>
      <c r="O302" s="7" t="str">
        <f>VLOOKUP(A302, avaliacoes!A:G, 6, FALSE)</f>
        <v>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v>
      </c>
    </row>
    <row r="303">
      <c r="A303" s="1" t="s">
        <v>1221</v>
      </c>
      <c r="B303" s="1" t="s">
        <v>1222</v>
      </c>
      <c r="C303" s="1" t="s">
        <v>71</v>
      </c>
      <c r="D303" s="1" t="str">
        <f t="shared" si="2"/>
        <v>Electronics</v>
      </c>
      <c r="E303" s="1" t="str">
        <f t="shared" si="3"/>
        <v>HomeTheater,TV&amp;Video</v>
      </c>
      <c r="F303" s="2">
        <v>379.0</v>
      </c>
      <c r="G303" s="2">
        <v>999.0</v>
      </c>
      <c r="H303" s="3">
        <f t="shared" si="4"/>
        <v>0.6206206206</v>
      </c>
      <c r="I303" s="4">
        <f>IFERROR(__xludf.DUMMYFUNCTION("GOOGLEFINANCE(""CURRENCY:INRBRL"")*F303"),22.6180843412)</f>
        <v>22.61808434</v>
      </c>
      <c r="J303" s="1">
        <v>4.5</v>
      </c>
      <c r="K303" s="1">
        <v>12153.0</v>
      </c>
      <c r="L303" s="1" t="s">
        <v>1223</v>
      </c>
      <c r="M303" s="6" t="s">
        <v>1224</v>
      </c>
      <c r="N303" s="7" t="str">
        <f>VLOOKUP(A303, avaliacoes!A:G, 5, FALSE)</f>
        <v>Cheap product and same is the performance but does the job,Good,No Box!!!,Good,Value for money,A very good quality cable with rubust built, and it does the work.,Value money,Good product.</v>
      </c>
      <c r="O303" s="7" t="str">
        <f>VLOOKUP(A303, avaliacoes!A:G,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row>
    <row r="304">
      <c r="A304" s="1" t="s">
        <v>1225</v>
      </c>
      <c r="B304" s="1" t="s">
        <v>1226</v>
      </c>
      <c r="C304" s="1" t="s">
        <v>71</v>
      </c>
      <c r="D304" s="1" t="str">
        <f t="shared" si="2"/>
        <v>Electronics</v>
      </c>
      <c r="E304" s="1" t="str">
        <f t="shared" si="3"/>
        <v>HomeTheater,TV&amp;Video</v>
      </c>
      <c r="F304" s="2">
        <v>185.0</v>
      </c>
      <c r="G304" s="2">
        <v>499.0</v>
      </c>
      <c r="H304" s="3">
        <f t="shared" si="4"/>
        <v>0.629258517</v>
      </c>
      <c r="I304" s="4">
        <f>IFERROR(__xludf.DUMMYFUNCTION("GOOGLEFINANCE(""CURRENCY:INRBRL"")*F304"),11.040489718)</f>
        <v>11.04048972</v>
      </c>
      <c r="J304" s="1">
        <v>4.5</v>
      </c>
      <c r="K304" s="1">
        <v>25.0</v>
      </c>
      <c r="L304" s="1" t="s">
        <v>1227</v>
      </c>
      <c r="M304" s="6" t="s">
        <v>1228</v>
      </c>
      <c r="N304" s="7" t="str">
        <f>VLOOKUP(A304, avaliacoes!A:G, 5, FALSE)</f>
        <v>Ok,Excellent product, must buy,Nice,Good product..i got this product rs 170,Good,Good Product. 5Meter cable. Purchase at 175.,Good product &amp; service</v>
      </c>
      <c r="O304" s="7" t="str">
        <f>VLOOKUP(A304, avaliacoes!A:G, 6, FALSE)</f>
        <v>Ok,Quality perfect , perfect 5m, must buy,Ok,Excellent,Value for money,https://m.media-amazon.com/images/I/71P8NCpa-AL._SY88.jpg,Good, received as per specification..</v>
      </c>
    </row>
    <row r="305">
      <c r="A305" s="1" t="s">
        <v>1229</v>
      </c>
      <c r="B305" s="1" t="s">
        <v>1230</v>
      </c>
      <c r="C305" s="1" t="s">
        <v>54</v>
      </c>
      <c r="D305" s="1" t="str">
        <f t="shared" si="2"/>
        <v>Computers&amp;Accessories</v>
      </c>
      <c r="E305" s="1" t="str">
        <f t="shared" si="3"/>
        <v>NetworkingDevices</v>
      </c>
      <c r="F305" s="2">
        <v>218.0</v>
      </c>
      <c r="G305" s="2">
        <v>999.0</v>
      </c>
      <c r="H305" s="3">
        <f t="shared" si="4"/>
        <v>0.7817817818</v>
      </c>
      <c r="I305" s="4">
        <f>IFERROR(__xludf.DUMMYFUNCTION("GOOGLEFINANCE(""CURRENCY:INRBRL"")*F305"),13.009874370399999)</f>
        <v>13.00987437</v>
      </c>
      <c r="J305" s="1">
        <v>4.5</v>
      </c>
      <c r="K305" s="1">
        <v>163.0</v>
      </c>
      <c r="L305" s="1" t="s">
        <v>1231</v>
      </c>
      <c r="M305" s="6" t="s">
        <v>1232</v>
      </c>
      <c r="N305" s="7" t="str">
        <f>VLOOKUP(A305, avaliacoes!A:G, 5, FALSE)</f>
        <v>Thank you,Satisfying product,Keeps disconnecting,Very nice product essy to use,Very nice,Nice and compatible product,Good,Solid product hai</v>
      </c>
      <c r="O305" s="7" t="str">
        <f>VLOOKUP(A305, avaliacoes!A:G, 6, FALSE)</f>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v>
      </c>
    </row>
    <row r="306">
      <c r="A306" s="1" t="s">
        <v>1233</v>
      </c>
      <c r="B306" s="1" t="s">
        <v>1234</v>
      </c>
      <c r="C306" s="1" t="s">
        <v>21</v>
      </c>
      <c r="D306" s="1" t="str">
        <f t="shared" si="2"/>
        <v>Computers&amp;Accessories</v>
      </c>
      <c r="E306" s="1" t="str">
        <f t="shared" si="3"/>
        <v>Accessories&amp;Peripherals</v>
      </c>
      <c r="F306" s="2">
        <v>199.0</v>
      </c>
      <c r="G306" s="2">
        <v>999.0</v>
      </c>
      <c r="H306" s="3">
        <f t="shared" si="4"/>
        <v>0.8008008008</v>
      </c>
      <c r="I306" s="4">
        <f>IFERROR(__xludf.DUMMYFUNCTION("GOOGLEFINANCE(""CURRENCY:INRBRL"")*F306"),11.8759862372)</f>
        <v>11.87598624</v>
      </c>
      <c r="J306" s="1">
        <v>4.5</v>
      </c>
      <c r="K306" s="1">
        <v>87.0</v>
      </c>
      <c r="L306" s="1" t="s">
        <v>1235</v>
      </c>
      <c r="M306" s="6" t="s">
        <v>1236</v>
      </c>
      <c r="N306" s="7" t="str">
        <f>VLOOKUP(A306, avaliacoes!A:G, 5, FALSE)</f>
        <v>Good product,Good,  work fine,Thickness of cable to be reduced.,Morho,This product is very good.,original product,USB ke pass or mjbuti Dena chahiye,Good product</v>
      </c>
      <c r="O306" s="7" t="str">
        <f>VLOOKUP(A306, avaliacoes!A:G, 6, FALSE)</f>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v>
      </c>
    </row>
    <row r="307">
      <c r="A307" s="1" t="s">
        <v>1237</v>
      </c>
      <c r="B307" s="1" t="s">
        <v>1238</v>
      </c>
      <c r="C307" s="1" t="s">
        <v>71</v>
      </c>
      <c r="D307" s="1" t="str">
        <f t="shared" si="2"/>
        <v>Electronics</v>
      </c>
      <c r="E307" s="1" t="str">
        <f t="shared" si="3"/>
        <v>HomeTheater,TV&amp;Video</v>
      </c>
      <c r="F307" s="2">
        <v>499.0</v>
      </c>
      <c r="G307" s="2">
        <v>900.0</v>
      </c>
      <c r="H307" s="3">
        <f t="shared" si="4"/>
        <v>0.4455555556</v>
      </c>
      <c r="I307" s="4">
        <f>IFERROR(__xludf.DUMMYFUNCTION("GOOGLEFINANCE(""CURRENCY:INRBRL"")*F307"),29.7794830772)</f>
        <v>29.77948308</v>
      </c>
      <c r="J307" s="1">
        <v>4.5</v>
      </c>
      <c r="K307" s="1">
        <v>2165.0</v>
      </c>
      <c r="L307" s="1" t="s">
        <v>1239</v>
      </c>
      <c r="M307" s="6" t="s">
        <v>1240</v>
      </c>
      <c r="N307" s="7" t="str">
        <f>VLOOKUP(A307, avaliacoes!A:G, 5, FALSE)</f>
        <v>Sturdy,Super,Working good,Always go for quality,Not suitable for 4k,I do not want this product,Working well👍,Excellent one. Worth buying</v>
      </c>
      <c r="O307" s="7" t="str">
        <f>VLOOKUP(A307, avaliacoes!A:G, 6, FALSE)</f>
        <v>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v>
      </c>
    </row>
    <row r="308">
      <c r="A308" s="1" t="s">
        <v>1241</v>
      </c>
      <c r="B308" s="1" t="s">
        <v>1242</v>
      </c>
      <c r="C308" s="1" t="s">
        <v>87</v>
      </c>
      <c r="D308" s="1" t="str">
        <f t="shared" si="2"/>
        <v>Electronics</v>
      </c>
      <c r="E308" s="1" t="str">
        <f t="shared" si="3"/>
        <v>HomeTheater,TV&amp;Video</v>
      </c>
      <c r="F308" s="2">
        <v>26999.0</v>
      </c>
      <c r="G308" s="2">
        <v>42999.0</v>
      </c>
      <c r="H308" s="3">
        <f t="shared" si="4"/>
        <v>0.3721016768</v>
      </c>
      <c r="I308" s="4">
        <f>IFERROR(__xludf.DUMMYFUNCTION("GOOGLEFINANCE(""CURRENCY:INRBRL"")*F308"),1611.2550372771998)</f>
        <v>1611.255037</v>
      </c>
      <c r="J308" s="1">
        <v>4.5</v>
      </c>
      <c r="K308" s="1">
        <v>151.0</v>
      </c>
      <c r="L308" s="1" t="s">
        <v>1243</v>
      </c>
      <c r="M308" s="6" t="s">
        <v>1244</v>
      </c>
      <c r="N308" s="7" t="str">
        <f>VLOOKUP(A308, avaliacoes!A:G, 5, FALSE)</f>
        <v>Kodak tv,Kodak tv,Kodak tv,Very less features to control or configure picture, sound or other key features through remote.,Excellent,Kodak 32inh,Kodak tv,Good</v>
      </c>
      <c r="O308" s="7" t="str">
        <f>VLOOKUP(A308, avaliacoes!A:G, 6, FALSE)</f>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v>
      </c>
    </row>
    <row r="309">
      <c r="A309" s="1" t="s">
        <v>1245</v>
      </c>
      <c r="B309" s="1" t="s">
        <v>1246</v>
      </c>
      <c r="C309" s="1" t="s">
        <v>298</v>
      </c>
      <c r="D309" s="1" t="str">
        <f t="shared" si="2"/>
        <v>Electronics</v>
      </c>
      <c r="E309" s="1" t="str">
        <f t="shared" si="3"/>
        <v>HomeTheater,TV&amp;Video</v>
      </c>
      <c r="F309" s="2">
        <v>893.0</v>
      </c>
      <c r="G309" s="2">
        <v>1052.0</v>
      </c>
      <c r="H309" s="3">
        <f t="shared" si="4"/>
        <v>0.1511406844</v>
      </c>
      <c r="I309" s="4">
        <f>IFERROR(__xludf.DUMMYFUNCTION("GOOGLEFINANCE(""CURRENCY:INRBRL"")*F309"),53.2927422604)</f>
        <v>53.29274226</v>
      </c>
      <c r="J309" s="1">
        <v>4.5</v>
      </c>
      <c r="K309" s="1">
        <v>106.0</v>
      </c>
      <c r="L309" s="1" t="s">
        <v>1247</v>
      </c>
      <c r="M309" s="6" t="s">
        <v>1248</v>
      </c>
      <c r="N309" s="7" t="str">
        <f>VLOOKUP(A309, avaliacoes!A:G, 5, FALSE)</f>
        <v>Concept is great but not at all value for money,Good product,You go for it,Perfect,Value for money but little bit expensive,Product is very useful, but very costly.,Nice but a little bit weak,100% satisfied 💐</v>
      </c>
      <c r="O309" s="7" t="str">
        <f>VLOOKUP(A309, avaliacoes!A:G, 6, FALSE)</f>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v>
      </c>
    </row>
    <row r="310">
      <c r="A310" s="1" t="s">
        <v>1249</v>
      </c>
      <c r="B310" s="1" t="s">
        <v>1250</v>
      </c>
      <c r="C310" s="1" t="s">
        <v>87</v>
      </c>
      <c r="D310" s="1" t="str">
        <f t="shared" si="2"/>
        <v>Electronics</v>
      </c>
      <c r="E310" s="1" t="str">
        <f t="shared" si="3"/>
        <v>HomeTheater,TV&amp;Video</v>
      </c>
      <c r="F310" s="2">
        <v>10990.0</v>
      </c>
      <c r="G310" s="2">
        <v>19990.0</v>
      </c>
      <c r="H310" s="3">
        <f t="shared" si="4"/>
        <v>0.4502251126</v>
      </c>
      <c r="I310" s="4">
        <f>IFERROR(__xludf.DUMMYFUNCTION("GOOGLEFINANCE(""CURRENCY:INRBRL"")*F310"),655.864767572)</f>
        <v>655.8647676</v>
      </c>
      <c r="J310" s="1">
        <v>4.51</v>
      </c>
      <c r="K310" s="1">
        <v>129.0</v>
      </c>
      <c r="L310" s="1" t="s">
        <v>1251</v>
      </c>
      <c r="M310" s="6" t="s">
        <v>1252</v>
      </c>
      <c r="N310" s="7" t="str">
        <f>VLOOKUP(A310, avaliacoes!A:G, 5, FALSE)</f>
        <v>Service, Quality, Software,Quality super, delivery persons were not good towards amazon,Good Quality as always by Sansui,OK,Good picture and product,Very bad quality of stand,This is average product.,Worth purchase</v>
      </c>
      <c r="O310" s="7" t="str">
        <f>VLOOKUP(A310, avaliacoes!A:G, 6, FALSE)</f>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v>
      </c>
    </row>
    <row r="311">
      <c r="A311" s="1" t="s">
        <v>1253</v>
      </c>
      <c r="B311" s="1" t="s">
        <v>1254</v>
      </c>
      <c r="C311" s="1" t="s">
        <v>21</v>
      </c>
      <c r="D311" s="1" t="str">
        <f t="shared" si="2"/>
        <v>Computers&amp;Accessories</v>
      </c>
      <c r="E311" s="1" t="str">
        <f t="shared" si="3"/>
        <v>Accessories&amp;Peripherals</v>
      </c>
      <c r="F311" s="2">
        <v>379.0</v>
      </c>
      <c r="G311" s="2">
        <v>1099.0</v>
      </c>
      <c r="H311" s="3">
        <f t="shared" si="4"/>
        <v>0.6551410373</v>
      </c>
      <c r="I311" s="4">
        <f>IFERROR(__xludf.DUMMYFUNCTION("GOOGLEFINANCE(""CURRENCY:INRBRL"")*F311"),22.6180843412)</f>
        <v>22.61808434</v>
      </c>
      <c r="J311" s="1">
        <v>4.5</v>
      </c>
      <c r="K311" s="1">
        <v>3049.0</v>
      </c>
      <c r="L311" s="1" t="s">
        <v>1255</v>
      </c>
      <c r="M311" s="6" t="s">
        <v>1256</v>
      </c>
      <c r="N311" s="7" t="str">
        <f>VLOOKUP(A311, avaliacoes!A:G, 5, FALSE)</f>
        <v>Good And Durable,Value for money product.,Right choice,Good product.,Charger is good,Cable is working as expected.,The best cable till now,Good 👍</v>
      </c>
      <c r="O311" s="7" t="str">
        <f>VLOOKUP(A311, avaliacoes!A:G, 6, FALSE)</f>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v>
      </c>
    </row>
    <row r="312">
      <c r="A312" s="1" t="s">
        <v>1257</v>
      </c>
      <c r="B312" s="1" t="s">
        <v>1258</v>
      </c>
      <c r="C312" s="1" t="s">
        <v>87</v>
      </c>
      <c r="D312" s="1" t="str">
        <f t="shared" si="2"/>
        <v>Electronics</v>
      </c>
      <c r="E312" s="1" t="str">
        <f t="shared" si="3"/>
        <v>HomeTheater,TV&amp;Video</v>
      </c>
      <c r="F312" s="2">
        <v>16999.0</v>
      </c>
      <c r="G312" s="2">
        <v>25999.0</v>
      </c>
      <c r="H312" s="3">
        <f t="shared" si="4"/>
        <v>0.3461671603</v>
      </c>
      <c r="I312" s="4">
        <f>IFERROR(__xludf.DUMMYFUNCTION("GOOGLEFINANCE(""CURRENCY:INRBRL"")*F312"),1014.4718092771999)</f>
        <v>1014.471809</v>
      </c>
      <c r="J312" s="1">
        <v>4.5</v>
      </c>
      <c r="K312" s="1">
        <v>3284.0</v>
      </c>
      <c r="L312" s="1" t="s">
        <v>1259</v>
      </c>
      <c r="M312" s="6" t="s">
        <v>1260</v>
      </c>
      <c r="N312" s="7" t="str">
        <f>VLOOKUP(A312, avaliacoes!A:G, 5, FALSE)</f>
        <v>It is the best tv if you are getting it in 10-12k,Good price but the OS lags,GARBAGE QUALITY,Good product.,Good quality,Great experience everything is fantastic 🤠,Super picture quality and sound quality,Awesome</v>
      </c>
      <c r="O312" s="7" t="str">
        <f>VLOOKUP(A312,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v>
      </c>
    </row>
    <row r="313">
      <c r="A313" s="1" t="s">
        <v>1261</v>
      </c>
      <c r="B313" s="1" t="s">
        <v>1262</v>
      </c>
      <c r="C313" s="1" t="s">
        <v>71</v>
      </c>
      <c r="D313" s="1" t="str">
        <f t="shared" si="2"/>
        <v>Electronics</v>
      </c>
      <c r="E313" s="1" t="str">
        <f t="shared" si="3"/>
        <v>HomeTheater,TV&amp;Video</v>
      </c>
      <c r="F313" s="2">
        <v>699.0</v>
      </c>
      <c r="G313" s="2">
        <v>1899.0</v>
      </c>
      <c r="H313" s="3">
        <f t="shared" si="4"/>
        <v>0.6319115324</v>
      </c>
      <c r="I313" s="4">
        <f>IFERROR(__xludf.DUMMYFUNCTION("GOOGLEFINANCE(""CURRENCY:INRBRL"")*F313"),41.7151476372)</f>
        <v>41.71514764</v>
      </c>
      <c r="J313" s="1">
        <v>4.5</v>
      </c>
      <c r="K313" s="1">
        <v>390.0</v>
      </c>
      <c r="L313" s="1" t="s">
        <v>1263</v>
      </c>
      <c r="M313" s="6" t="s">
        <v>1264</v>
      </c>
      <c r="N313" s="7" t="str">
        <f>VLOOKUP(A313, avaliacoes!A:G, 5, FALSE)</f>
        <v>Great value for ultra hi speed HDMI!,thickness,material,Works well, just plug and play,Good,Good product,Perfect cable and I'm getting 120Hz 4k when connected to my freesync-certified TV 55Q80T,Good Cable,Little expensive</v>
      </c>
      <c r="O313" s="7" t="str">
        <f>VLOOKUP(A313, avaliacoes!A:G, 6, FALSE)</f>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v>
      </c>
    </row>
    <row r="314">
      <c r="A314" s="1" t="s">
        <v>1265</v>
      </c>
      <c r="B314" s="1" t="s">
        <v>1266</v>
      </c>
      <c r="C314" s="1" t="s">
        <v>1267</v>
      </c>
      <c r="D314" s="1" t="str">
        <f t="shared" si="2"/>
        <v>Electronics</v>
      </c>
      <c r="E314" s="1" t="str">
        <f t="shared" si="3"/>
        <v>HomeTheater,TV&amp;Video</v>
      </c>
      <c r="F314" s="2">
        <v>2699.0</v>
      </c>
      <c r="G314" s="2">
        <v>3500.0</v>
      </c>
      <c r="H314" s="3">
        <f t="shared" si="4"/>
        <v>0.2288571429</v>
      </c>
      <c r="I314" s="4">
        <f>IFERROR(__xludf.DUMMYFUNCTION("GOOGLEFINANCE(""CURRENCY:INRBRL"")*F314"),161.07179323719998)</f>
        <v>161.0717932</v>
      </c>
      <c r="J314" s="1">
        <v>4.5</v>
      </c>
      <c r="K314" s="1">
        <v>621.0</v>
      </c>
      <c r="L314" s="1" t="s">
        <v>1268</v>
      </c>
      <c r="M314" s="6" t="s">
        <v>1269</v>
      </c>
      <c r="N314" s="7" t="str">
        <f>VLOOKUP(A314, avaliacoes!A:G, 5, FALSE)</f>
        <v>Really great device, love using it.,Superb,Good,Good product,Good product nice to have it...,Good VR set at this price range,Amazing product ☺️,Don't buy</v>
      </c>
      <c r="O314" s="7" t="str">
        <f>VLOOKUP(A314, avaliacoes!A:G, 6, FALSE)</f>
        <v>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v>
      </c>
    </row>
    <row r="315">
      <c r="A315" s="1" t="s">
        <v>1270</v>
      </c>
      <c r="B315" s="1" t="s">
        <v>1271</v>
      </c>
      <c r="C315" s="1" t="s">
        <v>21</v>
      </c>
      <c r="D315" s="1" t="str">
        <f t="shared" si="2"/>
        <v>Computers&amp;Accessories</v>
      </c>
      <c r="E315" s="1" t="str">
        <f t="shared" si="3"/>
        <v>Accessories&amp;Peripherals</v>
      </c>
      <c r="F315" s="2">
        <v>129.0</v>
      </c>
      <c r="G315" s="2">
        <v>599.0</v>
      </c>
      <c r="H315" s="3">
        <f t="shared" si="4"/>
        <v>0.7846410684</v>
      </c>
      <c r="I315" s="4">
        <f>IFERROR(__xludf.DUMMYFUNCTION("GOOGLEFINANCE(""CURRENCY:INRBRL"")*F315"),7.698503641199999)</f>
        <v>7.698503641</v>
      </c>
      <c r="J315" s="1">
        <v>4.49</v>
      </c>
      <c r="K315" s="1">
        <v>265.0</v>
      </c>
      <c r="L315" s="1" t="s">
        <v>1272</v>
      </c>
      <c r="M315" s="6" t="s">
        <v>1273</v>
      </c>
      <c r="N315" s="7" t="str">
        <f>VLOOKUP(A315, avaliacoes!A:G, 5, FALSE)</f>
        <v>Best,Good,Fast Charging works better than original cable!!,Durable cable,Low performance compare to original data cable,Great!,Good product,Fast charging and length is 3 meters above</v>
      </c>
      <c r="O315" s="7" t="str">
        <f>VLOOKUP(A315, avaliacoes!A:G, 6, FALSE)</f>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v>
      </c>
    </row>
    <row r="316">
      <c r="A316" s="1" t="s">
        <v>1274</v>
      </c>
      <c r="B316" s="1" t="s">
        <v>1275</v>
      </c>
      <c r="C316" s="1" t="s">
        <v>21</v>
      </c>
      <c r="D316" s="1" t="str">
        <f t="shared" si="2"/>
        <v>Computers&amp;Accessories</v>
      </c>
      <c r="E316" s="1" t="str">
        <f t="shared" si="3"/>
        <v>Accessories&amp;Peripherals</v>
      </c>
      <c r="F316" s="2">
        <v>389.0</v>
      </c>
      <c r="G316" s="2">
        <v>999.0</v>
      </c>
      <c r="H316" s="3">
        <f t="shared" si="4"/>
        <v>0.6106106106</v>
      </c>
      <c r="I316" s="4">
        <f>IFERROR(__xludf.DUMMYFUNCTION("GOOGLEFINANCE(""CURRENCY:INRBRL"")*F316"),23.2148675692)</f>
        <v>23.21486757</v>
      </c>
      <c r="J316" s="1">
        <v>4.5</v>
      </c>
      <c r="K316" s="1">
        <v>838.0</v>
      </c>
      <c r="L316" s="1" t="s">
        <v>1276</v>
      </c>
      <c r="M316" s="6" t="s">
        <v>1277</v>
      </c>
      <c r="N316" s="7" t="str">
        <f>VLOOKUP(A316, avaliacoes!A:G, 5, FALSE)</f>
        <v>Used for 10 months,Quality is good,Good Aftersale Service,Super fast charging suppurt,Superb Quality and value for money,Good small cable,Nice,Highly recommended</v>
      </c>
      <c r="O316" s="7" t="str">
        <f>VLOOKUP(A316, avaliacoes!A:G, 6, FALSE)</f>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v>
      </c>
    </row>
    <row r="317">
      <c r="A317" s="1" t="s">
        <v>1278</v>
      </c>
      <c r="B317" s="1" t="s">
        <v>1279</v>
      </c>
      <c r="C317" s="1" t="s">
        <v>216</v>
      </c>
      <c r="D317" s="1" t="str">
        <f t="shared" si="2"/>
        <v>Electronics</v>
      </c>
      <c r="E317" s="1" t="str">
        <f t="shared" si="3"/>
        <v>HomeTheater,TV&amp;Video</v>
      </c>
      <c r="F317" s="2">
        <v>246.0</v>
      </c>
      <c r="G317" s="2">
        <v>600.0</v>
      </c>
      <c r="H317" s="3">
        <f t="shared" si="4"/>
        <v>0.59</v>
      </c>
      <c r="I317" s="4">
        <f>IFERROR(__xludf.DUMMYFUNCTION("GOOGLEFINANCE(""CURRENCY:INRBRL"")*F317"),14.6808674088)</f>
        <v>14.68086741</v>
      </c>
      <c r="J317" s="1">
        <v>4.5</v>
      </c>
      <c r="K317" s="1">
        <v>143.0</v>
      </c>
      <c r="L317" s="1" t="s">
        <v>1280</v>
      </c>
      <c r="M317" s="6" t="s">
        <v>1281</v>
      </c>
      <c r="N317" s="7" t="str">
        <f>VLOOKUP(A317, avaliacoes!A:G, 5, FALSE)</f>
        <v>Cover is perfect size wise and it's exactly same as shown in picture.u can go for it.,Superb quality 👌,Price very high,Value for money,Perfect Snug Fit,Must buy,Nice,It's a good and solid fit</v>
      </c>
      <c r="O317" s="7" t="str">
        <f>VLOOKUP(A317, avaliacoes!A:G, 6, FALSE)</f>
        <v>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v>
      </c>
    </row>
    <row r="318">
      <c r="A318" s="1" t="s">
        <v>1282</v>
      </c>
      <c r="B318" s="1" t="s">
        <v>1283</v>
      </c>
      <c r="C318" s="1" t="s">
        <v>21</v>
      </c>
      <c r="D318" s="1" t="str">
        <f t="shared" si="2"/>
        <v>Computers&amp;Accessories</v>
      </c>
      <c r="E318" s="1" t="str">
        <f t="shared" si="3"/>
        <v>Accessories&amp;Peripherals</v>
      </c>
      <c r="F318" s="2">
        <v>299.0</v>
      </c>
      <c r="G318" s="2">
        <v>799.0</v>
      </c>
      <c r="H318" s="3">
        <f t="shared" si="4"/>
        <v>0.6257822278</v>
      </c>
      <c r="I318" s="4">
        <f>IFERROR(__xludf.DUMMYFUNCTION("GOOGLEFINANCE(""CURRENCY:INRBRL"")*F318"),17.8438185172)</f>
        <v>17.84381852</v>
      </c>
      <c r="J318" s="1">
        <v>4.0</v>
      </c>
      <c r="K318" s="1">
        <v>151.0</v>
      </c>
      <c r="L318" s="1" t="s">
        <v>1284</v>
      </c>
      <c r="M318" s="6" t="s">
        <v>1285</v>
      </c>
      <c r="N318" s="7" t="str">
        <f>VLOOKUP(A318, avaliacoes!A:G, 5, FALSE)</f>
        <v>Extended length for securiry camera,Dont judge a book by it's cover,Good sturdy product with neat finish.,cable quality is good and near 10 ft in length,Good enough to length,Good Product,PERFECT!,Super</v>
      </c>
      <c r="O318" s="7" t="str">
        <f>VLOOKUP(A318, avaliacoes!A:G, 6, FALSE)</f>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v>
      </c>
    </row>
    <row r="319">
      <c r="A319" s="1" t="s">
        <v>1286</v>
      </c>
      <c r="B319" s="1" t="s">
        <v>1287</v>
      </c>
      <c r="C319" s="1" t="s">
        <v>216</v>
      </c>
      <c r="D319" s="1" t="str">
        <f t="shared" si="2"/>
        <v>Electronics</v>
      </c>
      <c r="E319" s="1" t="str">
        <f t="shared" si="3"/>
        <v>HomeTheater,TV&amp;Video</v>
      </c>
      <c r="F319" s="2">
        <v>247.0</v>
      </c>
      <c r="G319" s="2">
        <v>399.0</v>
      </c>
      <c r="H319" s="3">
        <f t="shared" si="4"/>
        <v>0.380952381</v>
      </c>
      <c r="I319" s="4">
        <f>IFERROR(__xludf.DUMMYFUNCTION("GOOGLEFINANCE(""CURRENCY:INRBRL"")*F319"),14.7405457316)</f>
        <v>14.74054573</v>
      </c>
      <c r="J319" s="1">
        <v>4.52</v>
      </c>
      <c r="K319" s="1">
        <v>200.0</v>
      </c>
      <c r="L319" s="1" t="s">
        <v>1288</v>
      </c>
      <c r="M319" s="6" t="s">
        <v>1289</v>
      </c>
      <c r="N319" s="7" t="str">
        <f>VLOOKUP(A319, avaliacoes!A:G, 5, FALSE)</f>
        <v>Fits the remote correctly,Fits well but bit costly,Protected remote properly,Good Quality but Slightly Pricey!!,The case is good and it is apt for the Jio TV remote. I recommend this product.,Perfect fit,Fits Jio Remote,Superb</v>
      </c>
      <c r="O319" s="7" t="str">
        <f>VLOOKUP(A319, avaliacoes!A:G, 6, FALSE)</f>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v>
      </c>
    </row>
    <row r="320">
      <c r="A320" s="1" t="s">
        <v>1290</v>
      </c>
      <c r="B320" s="1" t="s">
        <v>1291</v>
      </c>
      <c r="C320" s="1" t="s">
        <v>216</v>
      </c>
      <c r="D320" s="1" t="str">
        <f t="shared" si="2"/>
        <v>Electronics</v>
      </c>
      <c r="E320" s="1" t="str">
        <f t="shared" si="3"/>
        <v>HomeTheater,TV&amp;Video</v>
      </c>
      <c r="F320" s="2">
        <v>1369.0</v>
      </c>
      <c r="G320" s="2">
        <v>2999.0</v>
      </c>
      <c r="H320" s="3">
        <f t="shared" si="4"/>
        <v>0.5435145048</v>
      </c>
      <c r="I320" s="4">
        <f>IFERROR(__xludf.DUMMYFUNCTION("GOOGLEFINANCE(""CURRENCY:INRBRL"")*F320"),81.6996239132)</f>
        <v>81.69962391</v>
      </c>
      <c r="J320" s="1">
        <v>4.5</v>
      </c>
      <c r="K320" s="1">
        <v>227.0</v>
      </c>
      <c r="L320" s="1" t="s">
        <v>1292</v>
      </c>
      <c r="M320" s="6" t="s">
        <v>1293</v>
      </c>
      <c r="N320" s="7" t="str">
        <f>VLOOKUP(A320, avaliacoes!A:G, 5, FALSE)</f>
        <v>Good, But Disappointed,Perfect replacement,Have to press buttons harder,Very expensive,Not working properly after one month,Product quality,Not satisfactory,Good</v>
      </c>
      <c r="O320" s="7" t="str">
        <f>VLOOKUP(A320, avaliacoes!A:G, 6, FALSE)</f>
        <v>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v>
      </c>
    </row>
    <row r="321">
      <c r="A321" s="1" t="s">
        <v>1294</v>
      </c>
      <c r="B321" s="1" t="s">
        <v>1295</v>
      </c>
      <c r="C321" s="1" t="s">
        <v>216</v>
      </c>
      <c r="D321" s="1" t="str">
        <f t="shared" si="2"/>
        <v>Electronics</v>
      </c>
      <c r="E321" s="1" t="str">
        <f t="shared" si="3"/>
        <v>HomeTheater,TV&amp;Video</v>
      </c>
      <c r="F321" s="2">
        <v>199.0</v>
      </c>
      <c r="G321" s="2">
        <v>499.0</v>
      </c>
      <c r="H321" s="3">
        <f t="shared" si="4"/>
        <v>0.6012024048</v>
      </c>
      <c r="I321" s="4">
        <f>IFERROR(__xludf.DUMMYFUNCTION("GOOGLEFINANCE(""CURRENCY:INRBRL"")*F321"),11.8759862372)</f>
        <v>11.87598624</v>
      </c>
      <c r="J321" s="1">
        <v>4.51</v>
      </c>
      <c r="K321" s="1">
        <v>538.0</v>
      </c>
      <c r="L321" s="1" t="s">
        <v>1296</v>
      </c>
      <c r="M321" s="6" t="s">
        <v>1297</v>
      </c>
      <c r="N321" s="7" t="str">
        <f>VLOOKUP(A321, avaliacoes!A:G, 5, FALSE)</f>
        <v>Nice,Good,Good protective cover fo Airtel Xtreme settop box remote,Very nice cover.,Expensive,Very uncomfortable to use,Value for money....height of the cover can be made small.,Good product</v>
      </c>
      <c r="O321" s="7" t="str">
        <f>VLOOKUP(A321, avaliacoes!A:G, 6, FALSE)</f>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v>
      </c>
    </row>
    <row r="322">
      <c r="A322" s="1" t="s">
        <v>1298</v>
      </c>
      <c r="B322" s="1" t="s">
        <v>1299</v>
      </c>
      <c r="C322" s="1" t="s">
        <v>71</v>
      </c>
      <c r="D322" s="1" t="str">
        <f t="shared" si="2"/>
        <v>Electronics</v>
      </c>
      <c r="E322" s="1" t="str">
        <f t="shared" si="3"/>
        <v>HomeTheater,TV&amp;Video</v>
      </c>
      <c r="F322" s="2">
        <v>299.0</v>
      </c>
      <c r="G322" s="2">
        <v>599.0</v>
      </c>
      <c r="H322" s="3">
        <f t="shared" si="4"/>
        <v>0.5008347245</v>
      </c>
      <c r="I322" s="4">
        <f>IFERROR(__xludf.DUMMYFUNCTION("GOOGLEFINANCE(""CURRENCY:INRBRL"")*F322"),17.8438185172)</f>
        <v>17.84381852</v>
      </c>
      <c r="J322" s="1">
        <v>4.0</v>
      </c>
      <c r="K322" s="1">
        <v>171.0</v>
      </c>
      <c r="L322" s="1" t="s">
        <v>1300</v>
      </c>
      <c r="M322" s="6" t="s">
        <v>1301</v>
      </c>
      <c r="N322" s="7" t="str">
        <f>VLOOKUP(A322, avaliacoes!A:G, 5, FALSE)</f>
        <v>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v>
      </c>
      <c r="O322" s="7" t="str">
        <f>VLOOKUP(A322, avaliacoes!A:G, 6, FALSE)</f>
        <v>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v>
      </c>
    </row>
    <row r="323">
      <c r="A323" s="1" t="s">
        <v>1302</v>
      </c>
      <c r="B323" s="1" t="s">
        <v>1303</v>
      </c>
      <c r="C323" s="1" t="s">
        <v>87</v>
      </c>
      <c r="D323" s="1" t="str">
        <f t="shared" si="2"/>
        <v>Electronics</v>
      </c>
      <c r="E323" s="1" t="str">
        <f t="shared" si="3"/>
        <v>HomeTheater,TV&amp;Video</v>
      </c>
      <c r="F323" s="2">
        <v>14999.0</v>
      </c>
      <c r="G323" s="2">
        <v>14999.0</v>
      </c>
      <c r="H323" s="3">
        <f t="shared" si="4"/>
        <v>0</v>
      </c>
      <c r="I323" s="4">
        <f>IFERROR(__xludf.DUMMYFUNCTION("GOOGLEFINANCE(""CURRENCY:INRBRL"")*F323"),895.1151636771999)</f>
        <v>895.1151637</v>
      </c>
      <c r="J323" s="1">
        <v>4.5</v>
      </c>
      <c r="K323" s="1">
        <v>27508.0</v>
      </c>
      <c r="L323" s="1" t="s">
        <v>1304</v>
      </c>
      <c r="M323" s="6" t="s">
        <v>1305</v>
      </c>
      <c r="N323" s="7" t="str">
        <f>VLOOKUP(A323, avaliacoes!A:G, 5, FALSE)</f>
        <v>Nice tv,Good product,Average,No operation button in television which is big irritate when the remote not working,Facing Sound/Audio Problem after 12 days of installation only - Please don't buy it,The after service is very good!,Good,........</v>
      </c>
      <c r="O323" s="7" t="str">
        <f>VLOOKUP(A323, avaliacoes!A:G, 6, FALSE)</f>
        <v>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v>
      </c>
    </row>
    <row r="324">
      <c r="A324" s="1" t="s">
        <v>1306</v>
      </c>
      <c r="B324" s="1" t="s">
        <v>1307</v>
      </c>
      <c r="C324" s="1" t="s">
        <v>21</v>
      </c>
      <c r="D324" s="1" t="str">
        <f t="shared" si="2"/>
        <v>Computers&amp;Accessories</v>
      </c>
      <c r="E324" s="1" t="str">
        <f t="shared" si="3"/>
        <v>Accessories&amp;Peripherals</v>
      </c>
      <c r="F324" s="2">
        <v>299.0</v>
      </c>
      <c r="G324" s="2">
        <v>699.0</v>
      </c>
      <c r="H324" s="3">
        <f t="shared" si="4"/>
        <v>0.5722460658</v>
      </c>
      <c r="I324" s="4">
        <f>IFERROR(__xludf.DUMMYFUNCTION("GOOGLEFINANCE(""CURRENCY:INRBRL"")*F324"),17.8438185172)</f>
        <v>17.84381852</v>
      </c>
      <c r="J324" s="1">
        <v>4.52</v>
      </c>
      <c r="K324" s="1">
        <v>1454.0</v>
      </c>
      <c r="L324" s="1" t="s">
        <v>1308</v>
      </c>
      <c r="M324" s="6" t="s">
        <v>1309</v>
      </c>
      <c r="N324" s="7" t="str">
        <f>VLOOKUP(A324, avaliacoes!A:G, 5, FALSE)</f>
        <v>Good product, but not excellent I should say.,Very poor quality,OK,Good,Very good product. Satisfied with the performance.,will get job done,Good,Value for money ✌️</v>
      </c>
      <c r="O324" s="7" t="str">
        <f>VLOOKUP(A324, avaliacoes!A:G, 6, FALSE)</f>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v>
      </c>
    </row>
    <row r="325">
      <c r="A325" s="1" t="s">
        <v>1310</v>
      </c>
      <c r="B325" s="1" t="s">
        <v>1311</v>
      </c>
      <c r="C325" s="1" t="s">
        <v>87</v>
      </c>
      <c r="D325" s="1" t="str">
        <f t="shared" si="2"/>
        <v>Electronics</v>
      </c>
      <c r="E325" s="1" t="str">
        <f t="shared" si="3"/>
        <v>HomeTheater,TV&amp;Video</v>
      </c>
      <c r="F325" s="2">
        <v>24990.0</v>
      </c>
      <c r="G325" s="2">
        <v>51990.0</v>
      </c>
      <c r="H325" s="3">
        <f t="shared" si="4"/>
        <v>0.5193306405</v>
      </c>
      <c r="I325" s="4">
        <f>IFERROR(__xludf.DUMMYFUNCTION("GOOGLEFINANCE(""CURRENCY:INRBRL"")*F325"),1491.3612867719999)</f>
        <v>1491.361287</v>
      </c>
      <c r="J325" s="1">
        <v>4.5</v>
      </c>
      <c r="K325" s="1">
        <v>2951.0</v>
      </c>
      <c r="L325" s="1" t="s">
        <v>1312</v>
      </c>
      <c r="M325" s="6" t="s">
        <v>1313</v>
      </c>
      <c r="N325" s="7" t="str">
        <f>VLOOKUP(A325, avaliacoes!A:G, 5, FALSE)</f>
        <v>Best one,Nice product,Nice Purchase,A nice TV,Good quality...i have a trust on TCL,Best survice,Good,value for money</v>
      </c>
      <c r="O325" s="7" t="str">
        <f>VLOOKUP(A325, avaliacoes!A:G, 6, FALSE)</f>
        <v>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v>
      </c>
    </row>
    <row r="326">
      <c r="A326" s="1" t="s">
        <v>1314</v>
      </c>
      <c r="B326" s="1" t="s">
        <v>1315</v>
      </c>
      <c r="C326" s="1" t="s">
        <v>21</v>
      </c>
      <c r="D326" s="1" t="str">
        <f t="shared" si="2"/>
        <v>Computers&amp;Accessories</v>
      </c>
      <c r="E326" s="1" t="str">
        <f t="shared" si="3"/>
        <v>Accessories&amp;Peripherals</v>
      </c>
      <c r="F326" s="2">
        <v>249.0</v>
      </c>
      <c r="G326" s="2">
        <v>999.0</v>
      </c>
      <c r="H326" s="3">
        <f t="shared" si="4"/>
        <v>0.7507507508</v>
      </c>
      <c r="I326" s="4">
        <f>IFERROR(__xludf.DUMMYFUNCTION("GOOGLEFINANCE(""CURRENCY:INRBRL"")*F326"),14.8599023772)</f>
        <v>14.85990238</v>
      </c>
      <c r="J326" s="1">
        <v>5.0</v>
      </c>
      <c r="K326" s="1">
        <v>0.0</v>
      </c>
      <c r="L326" s="1" t="s">
        <v>1316</v>
      </c>
      <c r="M326" s="6" t="s">
        <v>1317</v>
      </c>
      <c r="N326" s="7" t="str">
        <f>VLOOKUP(A326, avaliacoes!A:G, 5, FALSE)</f>
        <v>Awesome Product</v>
      </c>
      <c r="O326" s="7" t="str">
        <f>VLOOKUP(A326, avaliacoes!A:G, 6, FALSE)</f>
        <v>Quick delivery.Awesome ProductPacking was goodJust opened the productExcited to you it</v>
      </c>
    </row>
    <row r="327">
      <c r="A327" s="1" t="s">
        <v>1318</v>
      </c>
      <c r="B327" s="1" t="s">
        <v>1319</v>
      </c>
      <c r="C327" s="1" t="s">
        <v>87</v>
      </c>
      <c r="D327" s="1" t="str">
        <f t="shared" si="2"/>
        <v>Electronics</v>
      </c>
      <c r="E327" s="1" t="str">
        <f t="shared" si="3"/>
        <v>HomeTheater,TV&amp;Video</v>
      </c>
      <c r="F327" s="2">
        <v>61999.0</v>
      </c>
      <c r="G327" s="2">
        <v>69999.0</v>
      </c>
      <c r="H327" s="3">
        <f t="shared" si="4"/>
        <v>0.114287347</v>
      </c>
      <c r="I327" s="4">
        <f>IFERROR(__xludf.DUMMYFUNCTION("GOOGLEFINANCE(""CURRENCY:INRBRL"")*F327"),3699.9963352771997)</f>
        <v>3699.996335</v>
      </c>
      <c r="J327" s="1">
        <v>4.49</v>
      </c>
      <c r="K327" s="1">
        <v>6753.0</v>
      </c>
      <c r="L327" s="1" t="s">
        <v>1320</v>
      </c>
      <c r="M327" s="6" t="s">
        <v>1321</v>
      </c>
      <c r="N327" s="7" t="str">
        <f>VLOOKUP(A327, avaliacoes!A:G, 5, FALSE)</f>
        <v>Almost Perfect!,Review After using 1month,Nice tv,Panel and video quality,Good Product,Worth for money,Nice,Good</v>
      </c>
      <c r="O327" s="7" t="str">
        <f>VLOOKUP(A327, avaliacoes!A:G, 6, FALSE)</f>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v>
      </c>
    </row>
    <row r="328">
      <c r="A328" s="1" t="s">
        <v>1322</v>
      </c>
      <c r="B328" s="1" t="s">
        <v>1323</v>
      </c>
      <c r="C328" s="1" t="s">
        <v>87</v>
      </c>
      <c r="D328" s="1" t="str">
        <f t="shared" si="2"/>
        <v>Electronics</v>
      </c>
      <c r="E328" s="1" t="str">
        <f t="shared" si="3"/>
        <v>HomeTheater,TV&amp;Video</v>
      </c>
      <c r="F328" s="2">
        <v>24499.0</v>
      </c>
      <c r="G328" s="2">
        <v>50000.0</v>
      </c>
      <c r="H328" s="3">
        <f t="shared" si="4"/>
        <v>0.51002</v>
      </c>
      <c r="I328" s="4">
        <f>IFERROR(__xludf.DUMMYFUNCTION("GOOGLEFINANCE(""CURRENCY:INRBRL"")*F328"),1462.0592302772)</f>
        <v>1462.05923</v>
      </c>
      <c r="J328" s="1">
        <v>4.52</v>
      </c>
      <c r="K328" s="1">
        <v>3518.0</v>
      </c>
      <c r="L328" s="1" t="s">
        <v>1324</v>
      </c>
      <c r="M328" s="6" t="s">
        <v>1325</v>
      </c>
      <c r="N328" s="7" t="str">
        <f>VLOOKUP(A328, avaliacoes!A:G, 5, FALSE)</f>
        <v>(after nearly one year use) Value for money TV, except for the sound,Spectacular Specification, Build Quality, and Performance</v>
      </c>
      <c r="O328" s="7" t="str">
        <f>VLOOKUP(A328, avaliacoes!A:G, 6, FALSE)</f>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v>
      </c>
    </row>
    <row r="329">
      <c r="A329" s="1" t="s">
        <v>1326</v>
      </c>
      <c r="B329" s="1" t="s">
        <v>1327</v>
      </c>
      <c r="C329" s="1" t="s">
        <v>87</v>
      </c>
      <c r="D329" s="1" t="str">
        <f t="shared" si="2"/>
        <v>Electronics</v>
      </c>
      <c r="E329" s="1" t="str">
        <f t="shared" si="3"/>
        <v>HomeTheater,TV&amp;Video</v>
      </c>
      <c r="F329" s="2">
        <v>10499.0</v>
      </c>
      <c r="G329" s="2">
        <v>19499.0</v>
      </c>
      <c r="H329" s="3">
        <f t="shared" si="4"/>
        <v>0.4615621314</v>
      </c>
      <c r="I329" s="4">
        <f>IFERROR(__xludf.DUMMYFUNCTION("GOOGLEFINANCE(""CURRENCY:INRBRL"")*F329"),626.5627110772)</f>
        <v>626.5627111</v>
      </c>
      <c r="J329" s="1">
        <v>4.5</v>
      </c>
      <c r="K329" s="1">
        <v>151.0</v>
      </c>
      <c r="L329" s="1" t="s">
        <v>1328</v>
      </c>
      <c r="M329" s="6" t="s">
        <v>1329</v>
      </c>
      <c r="N329" s="7" t="str">
        <f>VLOOKUP(A329, avaliacoes!A:G, 5, FALSE)</f>
        <v>Kodak tv,Kodak tv,Kodak tv,Very less features to control or configure picture, sound or other key features through remote.,Excellent,Kodak 32inh,Kodak tv,Good</v>
      </c>
      <c r="O329" s="7" t="str">
        <f>VLOOKUP(A329, avaliacoes!A:G, 6, FALSE)</f>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v>
      </c>
    </row>
    <row r="330">
      <c r="A330" s="1" t="s">
        <v>1330</v>
      </c>
      <c r="B330" s="1" t="s">
        <v>1331</v>
      </c>
      <c r="C330" s="1" t="s">
        <v>21</v>
      </c>
      <c r="D330" s="1" t="str">
        <f t="shared" si="2"/>
        <v>Computers&amp;Accessories</v>
      </c>
      <c r="E330" s="1" t="str">
        <f t="shared" si="3"/>
        <v>Accessories&amp;Peripherals</v>
      </c>
      <c r="F330" s="2">
        <v>349.0</v>
      </c>
      <c r="G330" s="2">
        <v>999.0</v>
      </c>
      <c r="H330" s="3">
        <f t="shared" si="4"/>
        <v>0.6506506507</v>
      </c>
      <c r="I330" s="4">
        <f>IFERROR(__xludf.DUMMYFUNCTION("GOOGLEFINANCE(""CURRENCY:INRBRL"")*F330"),20.827734657199997)</f>
        <v>20.82773466</v>
      </c>
      <c r="J330" s="1">
        <v>4.5</v>
      </c>
      <c r="K330" s="1">
        <v>838.0</v>
      </c>
      <c r="L330" s="1" t="s">
        <v>1332</v>
      </c>
      <c r="M330" s="6" t="s">
        <v>1333</v>
      </c>
      <c r="N330" s="7" t="str">
        <f>VLOOKUP(A330, avaliacoes!A:G, 5, FALSE)</f>
        <v>Used for 10 months,Quality is good,Good Aftersale Service,Super fast charging suppurt,Superb Quality and value for money,Good small cable,Nice,Highly recommended</v>
      </c>
      <c r="O330" s="7" t="str">
        <f>VLOOKUP(A330, avaliacoes!A:G, 6, FALSE)</f>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v>
      </c>
    </row>
    <row r="331">
      <c r="A331" s="1" t="s">
        <v>1334</v>
      </c>
      <c r="B331" s="1" t="s">
        <v>1335</v>
      </c>
      <c r="C331" s="1" t="s">
        <v>216</v>
      </c>
      <c r="D331" s="1" t="str">
        <f t="shared" si="2"/>
        <v>Electronics</v>
      </c>
      <c r="E331" s="1" t="str">
        <f t="shared" si="3"/>
        <v>HomeTheater,TV&amp;Video</v>
      </c>
      <c r="F331" s="2">
        <v>197.0</v>
      </c>
      <c r="G331" s="2">
        <v>499.0</v>
      </c>
      <c r="H331" s="3">
        <f t="shared" si="4"/>
        <v>0.6052104208</v>
      </c>
      <c r="I331" s="4">
        <f>IFERROR(__xludf.DUMMYFUNCTION("GOOGLEFINANCE(""CURRENCY:INRBRL"")*F331"),11.7566295916)</f>
        <v>11.75662959</v>
      </c>
      <c r="J331" s="1">
        <v>4.51</v>
      </c>
      <c r="K331" s="1">
        <v>136.0</v>
      </c>
      <c r="L331" s="1" t="s">
        <v>1336</v>
      </c>
      <c r="M331" s="6" t="s">
        <v>1337</v>
      </c>
      <c r="N331" s="7" t="str">
        <f>VLOOKUP(A331, avaliacoes!A:G, 5, FALSE)</f>
        <v>Working fine but cheap quality,Original but small,ನೀವು ಕಳುಹಿಸಿದ ವಸ್ತು ಸರಿಯಾಗಿ ಕೆಲಸ ಮಾಡುತ್ತಿಲ,Sturdy,Good,Works perfectly with Airtel HD set up box,Item is value for money.,,On Off button doesn’t work.</v>
      </c>
      <c r="O331" s="7" t="str">
        <f>VLOOKUP(A331, avaliacoes!A:G, 6, FALSE)</f>
        <v>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v>
      </c>
    </row>
    <row r="332">
      <c r="A332" s="1" t="s">
        <v>1338</v>
      </c>
      <c r="B332" s="1" t="s">
        <v>1339</v>
      </c>
      <c r="C332" s="1" t="s">
        <v>919</v>
      </c>
      <c r="D332" s="1" t="str">
        <f t="shared" si="2"/>
        <v>Electronics</v>
      </c>
      <c r="E332" s="1" t="str">
        <f t="shared" si="3"/>
        <v>HomeTheater,TV&amp;Video</v>
      </c>
      <c r="F332" s="2">
        <v>1299.0</v>
      </c>
      <c r="G332" s="2">
        <v>2499.0</v>
      </c>
      <c r="H332" s="3">
        <f t="shared" si="4"/>
        <v>0.4801920768</v>
      </c>
      <c r="I332" s="4">
        <f>IFERROR(__xludf.DUMMYFUNCTION("GOOGLEFINANCE(""CURRENCY:INRBRL"")*F332"),77.5221413172)</f>
        <v>77.52214132</v>
      </c>
      <c r="J332" s="1">
        <v>4.5</v>
      </c>
      <c r="K332" s="1">
        <v>301.0</v>
      </c>
      <c r="L332" s="1" t="s">
        <v>1340</v>
      </c>
      <c r="M332" s="6" t="s">
        <v>1341</v>
      </c>
      <c r="N332" s="7" t="str">
        <f>VLOOKUP(A332, avaliacoes!A:G, 5, FALSE)</f>
        <v>Good ptoduct,Overall good product,, and good choice,, ☺️,Cable is short,Good,All channel  view nice,Very fast and good service,Ok,The product was 🙌</v>
      </c>
      <c r="O332" s="7" t="str">
        <f>VLOOKUP(A332, avaliacoes!A:G, 6, FALSE)</f>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v>
      </c>
    </row>
    <row r="333">
      <c r="A333" s="1" t="s">
        <v>1342</v>
      </c>
      <c r="B333" s="1" t="s">
        <v>1343</v>
      </c>
      <c r="C333" s="1" t="s">
        <v>21</v>
      </c>
      <c r="D333" s="1" t="str">
        <f t="shared" si="2"/>
        <v>Computers&amp;Accessories</v>
      </c>
      <c r="E333" s="1" t="str">
        <f t="shared" si="3"/>
        <v>Accessories&amp;Peripherals</v>
      </c>
      <c r="F333" s="2">
        <v>1519.0</v>
      </c>
      <c r="G333" s="2">
        <v>1899.0</v>
      </c>
      <c r="H333" s="3">
        <f t="shared" si="4"/>
        <v>0.2001053186</v>
      </c>
      <c r="I333" s="4">
        <f>IFERROR(__xludf.DUMMYFUNCTION("GOOGLEFINANCE(""CURRENCY:INRBRL"")*F333"),90.65137233319999)</f>
        <v>90.65137233</v>
      </c>
      <c r="J333" s="1">
        <v>4.5</v>
      </c>
      <c r="K333" s="1">
        <v>19763.0</v>
      </c>
      <c r="L333" s="1" t="s">
        <v>1344</v>
      </c>
      <c r="M333" s="6" t="s">
        <v>1345</v>
      </c>
      <c r="N333" s="7" t="str">
        <f>VLOOKUP(A333, avaliacoes!A:G, 5, FALSE)</f>
        <v>Go for it,Fast charging,Good product,Good,So Far So Good,Quality is good 👍 you can go for it ♥️,Excellent Product,Yup good in all over</v>
      </c>
      <c r="O333" s="7" t="str">
        <f>VLOOKUP(A333, avaliacoes!A:G, 6, FALSE)</f>
        <v>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v>
      </c>
    </row>
    <row r="334">
      <c r="A334" s="1" t="s">
        <v>1346</v>
      </c>
      <c r="B334" s="1" t="s">
        <v>1347</v>
      </c>
      <c r="C334" s="1" t="s">
        <v>87</v>
      </c>
      <c r="D334" s="1" t="str">
        <f t="shared" si="2"/>
        <v>Electronics</v>
      </c>
      <c r="E334" s="1" t="str">
        <f t="shared" si="3"/>
        <v>HomeTheater,TV&amp;Video</v>
      </c>
      <c r="F334" s="2">
        <v>46999.0</v>
      </c>
      <c r="G334" s="2">
        <v>69999.0</v>
      </c>
      <c r="H334" s="3">
        <f t="shared" si="4"/>
        <v>0.3285761225</v>
      </c>
      <c r="I334" s="4">
        <f>IFERROR(__xludf.DUMMYFUNCTION("GOOGLEFINANCE(""CURRENCY:INRBRL"")*F334"),2804.8214932772)</f>
        <v>2804.821493</v>
      </c>
      <c r="J334" s="1">
        <v>4.5</v>
      </c>
      <c r="K334" s="1">
        <v>21252.0</v>
      </c>
      <c r="L334" s="1" t="s">
        <v>1348</v>
      </c>
      <c r="M334" s="6" t="s">
        <v>1349</v>
      </c>
      <c r="N334" s="7" t="str">
        <f>VLOOKUP(A334, avaliacoes!A:G, 5, FALSE)</f>
        <v>It's super,Value of money 💰,Display and build,Good Sound and pictures,Good product 👍,Good and smart tv for reasonable rate,Good for low budget,Good</v>
      </c>
      <c r="O334" s="7" t="str">
        <f>VLOOKUP(A334, avaliacoes!A:G, 6, FALSE)</f>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v>
      </c>
    </row>
    <row r="335">
      <c r="A335" s="1" t="s">
        <v>1350</v>
      </c>
      <c r="B335" s="1" t="s">
        <v>1351</v>
      </c>
      <c r="C335" s="1" t="s">
        <v>21</v>
      </c>
      <c r="D335" s="1" t="str">
        <f t="shared" si="2"/>
        <v>Computers&amp;Accessories</v>
      </c>
      <c r="E335" s="1" t="str">
        <f t="shared" si="3"/>
        <v>Accessories&amp;Peripherals</v>
      </c>
      <c r="F335" s="2">
        <v>299.0</v>
      </c>
      <c r="G335" s="2">
        <v>799.0</v>
      </c>
      <c r="H335" s="3">
        <f t="shared" si="4"/>
        <v>0.6257822278</v>
      </c>
      <c r="I335" s="4">
        <f>IFERROR(__xludf.DUMMYFUNCTION("GOOGLEFINANCE(""CURRENCY:INRBRL"")*F335"),17.8438185172)</f>
        <v>17.84381852</v>
      </c>
      <c r="J335" s="1">
        <v>4.5</v>
      </c>
      <c r="K335" s="1">
        <v>1902.0</v>
      </c>
      <c r="L335" s="1" t="s">
        <v>1352</v>
      </c>
      <c r="M335" s="6" t="s">
        <v>1353</v>
      </c>
      <c r="N335" s="7" t="str">
        <f>VLOOKUP(A335, avaliacoes!A:G, 5, FALSE)</f>
        <v>Works perfect for connecting my Dslr to ipad &amp; tethering. Seems like a durable cable,H,GOOD,USB,Supar,It's good,Very good cable,Okaysih</v>
      </c>
      <c r="O335" s="7" t="str">
        <f>VLOOKUP(A335, avaliacoes!A:G, 6, FALSE)</f>
        <v>Works perfect for connecting my Dslr to ipad &amp; tethering. Seems like a durable cable.,Good,WORTH FOR MONEY, EASY TO USE,Nice easy to carry,Supar,Product is nyc.. Price is bit high,Good,Okayish</v>
      </c>
    </row>
    <row r="336">
      <c r="A336" s="1" t="s">
        <v>1354</v>
      </c>
      <c r="B336" s="1" t="s">
        <v>1355</v>
      </c>
      <c r="C336" s="1" t="s">
        <v>1356</v>
      </c>
      <c r="D336" s="1" t="str">
        <f t="shared" si="2"/>
        <v>Electronics</v>
      </c>
      <c r="E336" s="1" t="str">
        <f t="shared" si="3"/>
        <v>WearableTechnology</v>
      </c>
      <c r="F336" s="2">
        <v>1799.0</v>
      </c>
      <c r="G336" s="2">
        <v>1999.0</v>
      </c>
      <c r="H336" s="3">
        <f t="shared" si="4"/>
        <v>0.100050025</v>
      </c>
      <c r="I336" s="4">
        <f>IFERROR(__xludf.DUMMYFUNCTION("GOOGLEFINANCE(""CURRENCY:INRBRL"")*F336"),107.36130271719999)</f>
        <v>107.3613027</v>
      </c>
      <c r="J336" s="1">
        <v>4.5</v>
      </c>
      <c r="K336" s="1">
        <v>13937.0</v>
      </c>
      <c r="L336" s="1" t="s">
        <v>1357</v>
      </c>
      <c r="M336" s="6" t="s">
        <v>1358</v>
      </c>
      <c r="N336" s="7" t="str">
        <f>VLOOKUP(A336,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36" s="7" t="str">
        <f>VLOOKUP(A336,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row>
    <row r="337">
      <c r="A337" s="1" t="s">
        <v>1359</v>
      </c>
      <c r="B337" s="1" t="s">
        <v>1360</v>
      </c>
      <c r="C337" s="1" t="s">
        <v>1356</v>
      </c>
      <c r="D337" s="1" t="str">
        <f t="shared" si="2"/>
        <v>Electronics</v>
      </c>
      <c r="E337" s="1" t="str">
        <f t="shared" si="3"/>
        <v>WearableTechnology</v>
      </c>
      <c r="F337" s="2">
        <v>1998.0</v>
      </c>
      <c r="G337" s="2">
        <v>9999.0</v>
      </c>
      <c r="H337" s="3">
        <f t="shared" si="4"/>
        <v>0.800180018</v>
      </c>
      <c r="I337" s="4">
        <f>IFERROR(__xludf.DUMMYFUNCTION("GOOGLEFINANCE(""CURRENCY:INRBRL"")*F337"),119.23728895439999)</f>
        <v>119.237289</v>
      </c>
      <c r="J337" s="1">
        <v>4.5</v>
      </c>
      <c r="K337" s="1">
        <v>27696.0</v>
      </c>
      <c r="L337" s="1" t="s">
        <v>1361</v>
      </c>
      <c r="M337" s="6" t="s">
        <v>1362</v>
      </c>
      <c r="N337" s="7" t="str">
        <f>VLOOKUP(A337, avaliacoes!A:G, 5, FALSE)</f>
        <v>7-8/10, Decent, good for day to day use,Good choice under budget of Rs2000,Average product.,Budget friendly,Overall it's a good watch,Good product,Best in design, accuracy and looks fancy. A must buy for every person who is watch enthusiast.,Having a great experience</v>
      </c>
      <c r="O337" s="7" t="str">
        <f>VLOOKUP(A337, avaliacoes!A:G,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row>
    <row r="338">
      <c r="A338" s="1" t="s">
        <v>1363</v>
      </c>
      <c r="B338" s="1" t="s">
        <v>1364</v>
      </c>
      <c r="C338" s="1" t="s">
        <v>1356</v>
      </c>
      <c r="D338" s="1" t="str">
        <f t="shared" si="2"/>
        <v>Electronics</v>
      </c>
      <c r="E338" s="1" t="str">
        <f t="shared" si="3"/>
        <v>WearableTechnology</v>
      </c>
      <c r="F338" s="2">
        <v>1999.0</v>
      </c>
      <c r="G338" s="2">
        <v>7990.0</v>
      </c>
      <c r="H338" s="3">
        <f t="shared" si="4"/>
        <v>0.7498122653</v>
      </c>
      <c r="I338" s="4">
        <f>IFERROR(__xludf.DUMMYFUNCTION("GOOGLEFINANCE(""CURRENCY:INRBRL"")*F338"),119.2969672772)</f>
        <v>119.2969673</v>
      </c>
      <c r="J338" s="1">
        <v>4.51</v>
      </c>
      <c r="K338" s="1">
        <v>17831.0</v>
      </c>
      <c r="L338" s="1" t="s">
        <v>1365</v>
      </c>
      <c r="M338" s="6" t="s">
        <v>1366</v>
      </c>
      <c r="N338" s="7" t="str">
        <f>VLOOKUP(A338, avaliacoes!A:G, 5, FALSE)</f>
        <v>Not Polished Enough. (Improving with updates),Best for the budget 👍,Value of money,nice product,Good product,Super value for money,Awesome product,Product itv</v>
      </c>
      <c r="O338" s="7" t="str">
        <f>VLOOKUP(A338,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row>
    <row r="339">
      <c r="A339" s="1" t="s">
        <v>1367</v>
      </c>
      <c r="B339" s="1" t="s">
        <v>1368</v>
      </c>
      <c r="C339" s="1" t="s">
        <v>1369</v>
      </c>
      <c r="D339" s="1" t="str">
        <f t="shared" si="2"/>
        <v>Electronics</v>
      </c>
      <c r="E339" s="1" t="str">
        <f t="shared" si="3"/>
        <v>Mobiles&amp;Accessories</v>
      </c>
      <c r="F339" s="2">
        <v>2049.0</v>
      </c>
      <c r="G339" s="2">
        <v>2199.0</v>
      </c>
      <c r="H339" s="3">
        <f t="shared" si="4"/>
        <v>0.06821282401</v>
      </c>
      <c r="I339" s="4">
        <f>IFERROR(__xludf.DUMMYFUNCTION("GOOGLEFINANCE(""CURRENCY:INRBRL"")*F339"),122.28088341719999)</f>
        <v>122.2808834</v>
      </c>
      <c r="J339" s="1">
        <v>4.5</v>
      </c>
      <c r="K339" s="1">
        <v>178912.0</v>
      </c>
      <c r="L339" s="1" t="s">
        <v>1370</v>
      </c>
      <c r="M339" s="6" t="s">
        <v>1371</v>
      </c>
      <c r="N339" s="7" t="str">
        <f>VLOOKUP(A339, avaliacoes!A:G, 5, FALSE)</f>
        <v>Ok product to buy,Better than any other power banks,👍,Nice product,Performance is OK,Very Slim &amp; easy to carry,Decent product,GOAT</v>
      </c>
      <c r="O339" s="7" t="str">
        <f>VLOOKUP(A339, avaliacoes!A:G,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row>
    <row r="340">
      <c r="A340" s="1" t="s">
        <v>1372</v>
      </c>
      <c r="B340" s="1" t="s">
        <v>1373</v>
      </c>
      <c r="C340" s="1" t="s">
        <v>1374</v>
      </c>
      <c r="D340" s="1" t="str">
        <f t="shared" si="2"/>
        <v>Electronics</v>
      </c>
      <c r="E340" s="1" t="str">
        <f t="shared" si="3"/>
        <v>Mobiles&amp;Accessories</v>
      </c>
      <c r="F340" s="2">
        <v>6499.0</v>
      </c>
      <c r="G340" s="2">
        <v>8999.0</v>
      </c>
      <c r="H340" s="3">
        <f t="shared" si="4"/>
        <v>0.2778086454</v>
      </c>
      <c r="I340" s="4">
        <f>IFERROR(__xludf.DUMMYFUNCTION("GOOGLEFINANCE(""CURRENCY:INRBRL"")*F340"),387.8494198772)</f>
        <v>387.8494199</v>
      </c>
      <c r="J340" s="1">
        <v>4.0</v>
      </c>
      <c r="K340" s="1">
        <v>7807.0</v>
      </c>
      <c r="L340" s="1" t="s">
        <v>1375</v>
      </c>
      <c r="M340" s="6" t="s">
        <v>1376</v>
      </c>
      <c r="N340" s="7" t="str">
        <f>VLOOKUP(A340, avaliacoes!A:G, 5, FALSE)</f>
        <v>If you leave it only to make calls or receive calls, then it is a completely useless phone.,Readmi a 1,Budget friendly phone.,Hi,Budget phone,Good for the price. But ANDROID 12 is actually GO Edition.,Good budget phone,10/10 value for money 🤑</v>
      </c>
      <c r="O340" s="7" t="str">
        <f>VLOOKUP(A340, avaliacoes!A:G,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row>
    <row r="341">
      <c r="A341" s="1" t="s">
        <v>1377</v>
      </c>
      <c r="B341" s="1" t="s">
        <v>1378</v>
      </c>
      <c r="C341" s="1" t="s">
        <v>1374</v>
      </c>
      <c r="D341" s="1" t="str">
        <f t="shared" si="2"/>
        <v>Electronics</v>
      </c>
      <c r="E341" s="1" t="str">
        <f t="shared" si="3"/>
        <v>Mobiles&amp;Accessories</v>
      </c>
      <c r="F341" s="2">
        <v>28999.0</v>
      </c>
      <c r="G341" s="2">
        <v>28999.0</v>
      </c>
      <c r="H341" s="3">
        <f t="shared" si="4"/>
        <v>0</v>
      </c>
      <c r="I341" s="4">
        <f>IFERROR(__xludf.DUMMYFUNCTION("GOOGLEFINANCE(""CURRENCY:INRBRL"")*F341"),1730.6116828771999)</f>
        <v>1730.611683</v>
      </c>
      <c r="J341" s="1">
        <v>4.5</v>
      </c>
      <c r="K341" s="1">
        <v>17415.0</v>
      </c>
      <c r="L341" s="1" t="s">
        <v>1379</v>
      </c>
      <c r="M341" s="6" t="s">
        <v>1380</v>
      </c>
      <c r="N341" s="7" t="str">
        <f>VLOOKUP(A341, avaliacoes!A:G, 5, FALSE)</f>
        <v>Really a Good Buy in this price range in 2022,Expected better Battery,Over-all a very balanced product.,Poor Battery life,Good,Temper glasses not istalle properly,It's 8 gb not working like 12gb,Apart from battery and sound quality, everything else is good.</v>
      </c>
      <c r="O341" s="7" t="str">
        <f>VLOOKUP(A341, avaliacoes!A:G,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row>
    <row r="342">
      <c r="A342" s="1" t="s">
        <v>1381</v>
      </c>
      <c r="B342" s="1" t="s">
        <v>1382</v>
      </c>
      <c r="C342" s="1" t="s">
        <v>1374</v>
      </c>
      <c r="D342" s="1" t="str">
        <f t="shared" si="2"/>
        <v>Electronics</v>
      </c>
      <c r="E342" s="1" t="str">
        <f t="shared" si="3"/>
        <v>Mobiles&amp;Accessories</v>
      </c>
      <c r="F342" s="2">
        <v>28999.0</v>
      </c>
      <c r="G342" s="2">
        <v>28999.0</v>
      </c>
      <c r="H342" s="3">
        <f t="shared" si="4"/>
        <v>0</v>
      </c>
      <c r="I342" s="4">
        <f>IFERROR(__xludf.DUMMYFUNCTION("GOOGLEFINANCE(""CURRENCY:INRBRL"")*F342"),1730.6116828771999)</f>
        <v>1730.611683</v>
      </c>
      <c r="J342" s="1">
        <v>4.5</v>
      </c>
      <c r="K342" s="1">
        <v>17415.0</v>
      </c>
      <c r="L342" s="1" t="s">
        <v>1383</v>
      </c>
      <c r="M342" s="6" t="s">
        <v>1384</v>
      </c>
      <c r="N342" s="7" t="str">
        <f>VLOOKUP(A342, avaliacoes!A:G, 5, FALSE)</f>
        <v>Really a Good Buy in this price range in 2022,Expected better Battery,Over-all a very balanced product.,Poor Battery life,Good,Temper glasses not istalle properly,It's 8 gb not working like 12gb,Apart from battery and sound quality, everything else is good.</v>
      </c>
      <c r="O342" s="7" t="str">
        <f>VLOOKUP(A342, avaliacoes!A:G,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row>
    <row r="343">
      <c r="A343" s="1" t="s">
        <v>1385</v>
      </c>
      <c r="B343" s="1" t="s">
        <v>1386</v>
      </c>
      <c r="C343" s="1" t="s">
        <v>1374</v>
      </c>
      <c r="D343" s="1" t="str">
        <f t="shared" si="2"/>
        <v>Electronics</v>
      </c>
      <c r="E343" s="1" t="str">
        <f t="shared" si="3"/>
        <v>Mobiles&amp;Accessories</v>
      </c>
      <c r="F343" s="2">
        <v>6499.0</v>
      </c>
      <c r="G343" s="2">
        <v>8999.0</v>
      </c>
      <c r="H343" s="3">
        <f t="shared" si="4"/>
        <v>0.2778086454</v>
      </c>
      <c r="I343" s="4">
        <f>IFERROR(__xludf.DUMMYFUNCTION("GOOGLEFINANCE(""CURRENCY:INRBRL"")*F343"),387.8494198772)</f>
        <v>387.8494199</v>
      </c>
      <c r="J343" s="1">
        <v>4.0</v>
      </c>
      <c r="K343" s="1">
        <v>7807.0</v>
      </c>
      <c r="L343" s="1" t="s">
        <v>1375</v>
      </c>
      <c r="M343" s="6" t="s">
        <v>1387</v>
      </c>
      <c r="N343" s="7" t="str">
        <f>VLOOKUP(A343, avaliacoes!A:G, 5, FALSE)</f>
        <v>If you leave it only to make calls or receive calls, then it is a completely useless phone.,Readmi a 1,Budget friendly phone.,Hi,Budget phone,Good for the price. But ANDROID 12 is actually GO Edition.,Good budget phone,10/10 value for money 🤑</v>
      </c>
      <c r="O343" s="7" t="str">
        <f>VLOOKUP(A343, avaliacoes!A:G,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row>
    <row r="344">
      <c r="A344" s="1" t="s">
        <v>1388</v>
      </c>
      <c r="B344" s="1" t="s">
        <v>1389</v>
      </c>
      <c r="C344" s="1" t="s">
        <v>1374</v>
      </c>
      <c r="D344" s="1" t="str">
        <f t="shared" si="2"/>
        <v>Electronics</v>
      </c>
      <c r="E344" s="1" t="str">
        <f t="shared" si="3"/>
        <v>Mobiles&amp;Accessories</v>
      </c>
      <c r="F344" s="2">
        <v>6499.0</v>
      </c>
      <c r="G344" s="2">
        <v>8999.0</v>
      </c>
      <c r="H344" s="3">
        <f t="shared" si="4"/>
        <v>0.2778086454</v>
      </c>
      <c r="I344" s="4">
        <f>IFERROR(__xludf.DUMMYFUNCTION("GOOGLEFINANCE(""CURRENCY:INRBRL"")*F344"),387.8494198772)</f>
        <v>387.8494199</v>
      </c>
      <c r="J344" s="1">
        <v>4.0</v>
      </c>
      <c r="K344" s="1">
        <v>7807.0</v>
      </c>
      <c r="L344" s="1" t="s">
        <v>1375</v>
      </c>
      <c r="M344" s="6" t="s">
        <v>1390</v>
      </c>
      <c r="N344" s="7" t="str">
        <f>VLOOKUP(A344, avaliacoes!A:G, 5, FALSE)</f>
        <v>If you leave it only to make calls or receive calls, then it is a completely useless phone.,Readmi a 1,Budget friendly phone.,Hi,Budget phone,Good for the price. But ANDROID 12 is actually GO Edition.,Good budget phone,10/10 value for money 🤑</v>
      </c>
      <c r="O344" s="7" t="str">
        <f>VLOOKUP(A344, avaliacoes!A:G,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row>
    <row r="345">
      <c r="A345" s="1" t="s">
        <v>1391</v>
      </c>
      <c r="B345" s="1" t="s">
        <v>1392</v>
      </c>
      <c r="C345" s="1" t="s">
        <v>1393</v>
      </c>
      <c r="D345" s="1" t="str">
        <f t="shared" si="2"/>
        <v>Electronics</v>
      </c>
      <c r="E345" s="1" t="str">
        <f t="shared" si="3"/>
        <v>Accessories</v>
      </c>
      <c r="F345" s="2">
        <v>569.0</v>
      </c>
      <c r="G345" s="2">
        <v>1000.0</v>
      </c>
      <c r="H345" s="3">
        <f t="shared" si="4"/>
        <v>0.431</v>
      </c>
      <c r="I345" s="4">
        <f>IFERROR(__xludf.DUMMYFUNCTION("GOOGLEFINANCE(""CURRENCY:INRBRL"")*F345"),33.956965673199996)</f>
        <v>33.95696567</v>
      </c>
      <c r="J345" s="1">
        <v>4.5</v>
      </c>
      <c r="K345" s="1">
        <v>67259.0</v>
      </c>
      <c r="L345" s="1" t="s">
        <v>1394</v>
      </c>
      <c r="M345" s="6" t="s">
        <v>1395</v>
      </c>
      <c r="N345" s="7" t="str">
        <f>VLOOKUP(A345, avaliacoes!A:G, 5, FALSE)</f>
        <v>Fake Product,Costly but excellent quality,Storage good but don't know how to Activate warantee??,Good for use,5 stas nahi diya kyuki capacity 477gb hi rahta hai,Speed not as advertise,Good one,It's ok</v>
      </c>
      <c r="O345" s="7" t="str">
        <f>VLOOKUP(A345,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row>
    <row r="346">
      <c r="A346" s="1" t="s">
        <v>1396</v>
      </c>
      <c r="B346" s="1" t="s">
        <v>1397</v>
      </c>
      <c r="C346" s="1" t="s">
        <v>1356</v>
      </c>
      <c r="D346" s="1" t="str">
        <f t="shared" si="2"/>
        <v>Electronics</v>
      </c>
      <c r="E346" s="1" t="str">
        <f t="shared" si="3"/>
        <v>WearableTechnology</v>
      </c>
      <c r="F346" s="2">
        <v>1898.0</v>
      </c>
      <c r="G346" s="2">
        <v>4999.0</v>
      </c>
      <c r="H346" s="3">
        <f t="shared" si="4"/>
        <v>0.6203240648</v>
      </c>
      <c r="I346" s="4">
        <f>IFERROR(__xludf.DUMMYFUNCTION("GOOGLEFINANCE(""CURRENCY:INRBRL"")*F346"),113.26945667439999)</f>
        <v>113.2694567</v>
      </c>
      <c r="J346" s="1">
        <v>4.49</v>
      </c>
      <c r="K346" s="1">
        <v>10689.0</v>
      </c>
      <c r="L346" s="1" t="s">
        <v>1398</v>
      </c>
      <c r="M346" s="6" t="s">
        <v>1399</v>
      </c>
      <c r="N346" s="7" t="str">
        <f>VLOOKUP(A346, avaliacoes!A:G, 5, FALSE)</f>
        <v>Sumit Nath,For the price, it is a good purchase but can be better,Happy with product...,It's really smart with elegant design,Amazing,Noise,All good,Good</v>
      </c>
      <c r="O346" s="7" t="str">
        <f>VLOOKUP(A346, avaliacoes!A:G, 6, FALSE)</f>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v>
      </c>
    </row>
    <row r="347">
      <c r="A347" s="1" t="s">
        <v>1400</v>
      </c>
      <c r="B347" s="1" t="s">
        <v>1401</v>
      </c>
      <c r="C347" s="1" t="s">
        <v>1402</v>
      </c>
      <c r="D347" s="1" t="str">
        <f t="shared" si="2"/>
        <v>Electronics</v>
      </c>
      <c r="E347" s="1" t="str">
        <f t="shared" si="3"/>
        <v>Mobiles&amp;Accessories</v>
      </c>
      <c r="F347" s="2">
        <v>1299.0</v>
      </c>
      <c r="G347" s="2">
        <v>1599.0</v>
      </c>
      <c r="H347" s="3">
        <f t="shared" si="4"/>
        <v>0.1876172608</v>
      </c>
      <c r="I347" s="4">
        <f>IFERROR(__xludf.DUMMYFUNCTION("GOOGLEFINANCE(""CURRENCY:INRBRL"")*F347"),77.5221413172)</f>
        <v>77.52214132</v>
      </c>
      <c r="J347" s="1">
        <v>4.0</v>
      </c>
      <c r="K347" s="1">
        <v>128311.0</v>
      </c>
      <c r="L347" s="1" t="s">
        <v>1403</v>
      </c>
      <c r="M347" s="6" t="s">
        <v>1404</v>
      </c>
      <c r="N347" s="7" t="str">
        <f>VLOOKUP(A347, avaliacoes!A:G, 5, FALSE)</f>
        <v>Centre key,Nice phone,Good for Exam preparing students,Center button is not good,Battery runs out quickly,Nokia trusted brand only needs to improve ringtone sound,best phone,..</v>
      </c>
      <c r="O347" s="7" t="str">
        <f>VLOOKUP(A347, avaliacoes!A:G,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row>
    <row r="348">
      <c r="A348" s="1" t="s">
        <v>1405</v>
      </c>
      <c r="B348" s="1" t="s">
        <v>1406</v>
      </c>
      <c r="C348" s="1" t="s">
        <v>1356</v>
      </c>
      <c r="D348" s="1" t="str">
        <f t="shared" si="2"/>
        <v>Electronics</v>
      </c>
      <c r="E348" s="1" t="str">
        <f t="shared" si="3"/>
        <v>WearableTechnology</v>
      </c>
      <c r="F348" s="2">
        <v>1499.0</v>
      </c>
      <c r="G348" s="2">
        <v>6990.0</v>
      </c>
      <c r="H348" s="3">
        <f t="shared" si="4"/>
        <v>0.7855507868</v>
      </c>
      <c r="I348" s="4">
        <f>IFERROR(__xludf.DUMMYFUNCTION("GOOGLEFINANCE(""CURRENCY:INRBRL"")*F348"),89.45780587719999)</f>
        <v>89.45780588</v>
      </c>
      <c r="J348" s="1">
        <v>4.52</v>
      </c>
      <c r="K348" s="1">
        <v>21796.0</v>
      </c>
      <c r="L348" s="1" t="s">
        <v>1407</v>
      </c>
      <c r="M348" s="6" t="s">
        <v>1408</v>
      </c>
      <c r="N348" s="7" t="str">
        <f>VLOOKUP(A348, avaliacoes!A:G, 5, FALSE)</f>
        <v>Ideal Product,Ok,उपयोगी एवं संतोषजनक,Ok in this price range,Battery,It is a good watch,Nice watch,Average</v>
      </c>
      <c r="O348" s="7" t="str">
        <f>VLOOKUP(A348, avaliacoes!A:G,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row>
    <row r="349">
      <c r="A349" s="1" t="s">
        <v>1409</v>
      </c>
      <c r="B349" s="1" t="s">
        <v>1410</v>
      </c>
      <c r="C349" s="1" t="s">
        <v>1411</v>
      </c>
      <c r="D349" s="1" t="str">
        <f t="shared" si="2"/>
        <v>Electronics</v>
      </c>
      <c r="E349" s="1" t="str">
        <f t="shared" si="3"/>
        <v>Headphones,Earbuds&amp;Accessories</v>
      </c>
      <c r="F349" s="2">
        <v>599.0</v>
      </c>
      <c r="G349" s="2">
        <v>999.0</v>
      </c>
      <c r="H349" s="3">
        <f t="shared" si="4"/>
        <v>0.4004004004</v>
      </c>
      <c r="I349" s="4">
        <f>IFERROR(__xludf.DUMMYFUNCTION("GOOGLEFINANCE(""CURRENCY:INRBRL"")*F349"),35.747315357199994)</f>
        <v>35.74731536</v>
      </c>
      <c r="J349" s="1">
        <v>4.49</v>
      </c>
      <c r="K349" s="1">
        <v>192590.0</v>
      </c>
      <c r="L349" s="1" t="s">
        <v>1412</v>
      </c>
      <c r="M349" s="6" t="s">
        <v>1413</v>
      </c>
      <c r="N349" s="7" t="str">
        <f>VLOOKUP(A349, avaliacoes!A:G, 5, FALSE)</f>
        <v>Good maybe okay,Defective Product Delivered,Amazing Sound at Budget,Not for bass lover,Best one,Quality,Durability,Superb voice quality</v>
      </c>
      <c r="O349" s="7" t="str">
        <f>VLOOKUP(A349, avaliacoes!A:G,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row>
    <row r="350">
      <c r="A350" s="1" t="s">
        <v>1414</v>
      </c>
      <c r="B350" s="1" t="s">
        <v>1415</v>
      </c>
      <c r="C350" s="1" t="s">
        <v>1374</v>
      </c>
      <c r="D350" s="1" t="str">
        <f t="shared" si="2"/>
        <v>Electronics</v>
      </c>
      <c r="E350" s="1" t="str">
        <f t="shared" si="3"/>
        <v>Mobiles&amp;Accessories</v>
      </c>
      <c r="F350" s="2">
        <v>9499.0</v>
      </c>
      <c r="G350" s="2">
        <v>11999.0</v>
      </c>
      <c r="H350" s="3">
        <f t="shared" si="4"/>
        <v>0.2083506959</v>
      </c>
      <c r="I350" s="4">
        <f>IFERROR(__xludf.DUMMYFUNCTION("GOOGLEFINANCE(""CURRENCY:INRBRL"")*F350"),566.8843882772)</f>
        <v>566.8843883</v>
      </c>
      <c r="J350" s="1">
        <v>4.5</v>
      </c>
      <c r="K350" s="1">
        <v>284.0</v>
      </c>
      <c r="L350" s="1" t="s">
        <v>1416</v>
      </c>
      <c r="M350" s="6" t="s">
        <v>1417</v>
      </c>
      <c r="N350" s="7" t="str">
        <f>VLOOKUP(A350, avaliacoes!A:G, 5, FALSE)</f>
        <v>Get it with bundled discounts.,Heating &amp; Touch screen,Buy for normal usage. NOT FOR CAMERA,The phone is a good device and I am happy with the purchase.,Average quality.,Exlent mobile,Valueable buy,A GOOD AND AFFORDABLE PRODUCT</v>
      </c>
      <c r="O350" s="7" t="str">
        <f>VLOOKUP(A350, avaliacoes!A:G,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row>
    <row r="351">
      <c r="A351" s="1" t="s">
        <v>1418</v>
      </c>
      <c r="B351" s="1" t="s">
        <v>1419</v>
      </c>
      <c r="C351" s="1" t="s">
        <v>1411</v>
      </c>
      <c r="D351" s="1" t="str">
        <f t="shared" si="2"/>
        <v>Electronics</v>
      </c>
      <c r="E351" s="1" t="str">
        <f t="shared" si="3"/>
        <v>Headphones,Earbuds&amp;Accessories</v>
      </c>
      <c r="F351" s="2">
        <v>599.0</v>
      </c>
      <c r="G351" s="2">
        <v>2499.0</v>
      </c>
      <c r="H351" s="3">
        <f t="shared" si="4"/>
        <v>0.7603041216</v>
      </c>
      <c r="I351" s="4">
        <f>IFERROR(__xludf.DUMMYFUNCTION("GOOGLEFINANCE(""CURRENCY:INRBRL"")*F351"),35.747315357199994)</f>
        <v>35.74731536</v>
      </c>
      <c r="J351" s="1">
        <v>4.52</v>
      </c>
      <c r="K351" s="1">
        <v>58162.0</v>
      </c>
      <c r="L351" s="1" t="s">
        <v>1420</v>
      </c>
      <c r="M351" s="6" t="s">
        <v>1421</v>
      </c>
      <c r="N351" s="7" t="str">
        <f>VLOOKUP(A351, avaliacoes!A:G, 5, FALSE)</f>
        <v>this is good product.,Too much bass for my liking😅,A good deal under Rs.800/-,Worth the price,Itam damage,Le skte hain,Nice product👍👍,Nice</v>
      </c>
      <c r="O351" s="7" t="str">
        <f>VLOOKUP(A351, avaliacoes!A:G, 6, FALSE)</f>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v>
      </c>
    </row>
    <row r="352">
      <c r="A352" s="1" t="s">
        <v>1422</v>
      </c>
      <c r="B352" s="1" t="s">
        <v>1423</v>
      </c>
      <c r="C352" s="1" t="s">
        <v>1374</v>
      </c>
      <c r="D352" s="1" t="str">
        <f t="shared" si="2"/>
        <v>Electronics</v>
      </c>
      <c r="E352" s="1" t="str">
        <f t="shared" si="3"/>
        <v>Mobiles&amp;Accessories</v>
      </c>
      <c r="F352" s="2">
        <v>8999.0</v>
      </c>
      <c r="G352" s="2">
        <v>11999.0</v>
      </c>
      <c r="H352" s="3">
        <f t="shared" si="4"/>
        <v>0.2500208351</v>
      </c>
      <c r="I352" s="4">
        <f>IFERROR(__xludf.DUMMYFUNCTION("GOOGLEFINANCE(""CURRENCY:INRBRL"")*F352"),537.0452268772)</f>
        <v>537.0452269</v>
      </c>
      <c r="J352" s="1">
        <v>4.0</v>
      </c>
      <c r="K352" s="1">
        <v>12796.0</v>
      </c>
      <c r="L352" s="1" t="s">
        <v>1424</v>
      </c>
      <c r="M352" s="6" t="s">
        <v>1425</v>
      </c>
      <c r="N352" s="7" t="str">
        <f>VLOOKUP(A352, avaliacoes!A:G, 5, FALSE)</f>
        <v>Good.,Best at the price,Good phone,NICE,Value for money,ठीक-ठाक hai ☺️,Overall review,Good</v>
      </c>
      <c r="O352" s="7" t="str">
        <f>VLOOKUP(A352, avaliacoes!A:G, 6, FALSE)</f>
        <v>Camera and display is very poor quality and battery 🔋 is very good nothing bad,Nice phone at reasonable price.,Good,NICE,Value for money,Theek hai 🥰,Not bad,Good</v>
      </c>
    </row>
    <row r="353">
      <c r="A353" s="1" t="s">
        <v>1426</v>
      </c>
      <c r="B353" s="1" t="s">
        <v>1427</v>
      </c>
      <c r="C353" s="1" t="s">
        <v>1428</v>
      </c>
      <c r="D353" s="1" t="str">
        <f t="shared" si="2"/>
        <v>Electronics</v>
      </c>
      <c r="E353" s="1" t="str">
        <f t="shared" si="3"/>
        <v>Mobiles&amp;Accessories</v>
      </c>
      <c r="F353" s="2">
        <v>349.0</v>
      </c>
      <c r="G353" s="2">
        <v>1299.0</v>
      </c>
      <c r="H353" s="3">
        <f t="shared" si="4"/>
        <v>0.7313317937</v>
      </c>
      <c r="I353" s="4">
        <f>IFERROR(__xludf.DUMMYFUNCTION("GOOGLEFINANCE(""CURRENCY:INRBRL"")*F353"),20.827734657199997)</f>
        <v>20.82773466</v>
      </c>
      <c r="J353" s="1">
        <v>4.0</v>
      </c>
      <c r="K353" s="1">
        <v>14282.0</v>
      </c>
      <c r="L353" s="1" t="s">
        <v>1429</v>
      </c>
      <c r="M353" s="6" t="s">
        <v>1430</v>
      </c>
      <c r="N353" s="7" t="str">
        <f>VLOOKUP(A353, avaliacoes!A:G, 5, FALSE)</f>
        <v>Good,Good product,Charging well but build quality could be better,Quite nice,Good quality product,Ok,Good Purchase,Built quality could have been better</v>
      </c>
      <c r="O353" s="7" t="str">
        <f>VLOOKUP(A353, avaliacoes!A:G, 6, FALSE)</f>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v>
      </c>
    </row>
    <row r="354">
      <c r="A354" s="1" t="s">
        <v>1431</v>
      </c>
      <c r="B354" s="1" t="s">
        <v>1432</v>
      </c>
      <c r="C354" s="1" t="s">
        <v>1411</v>
      </c>
      <c r="D354" s="1" t="str">
        <f t="shared" si="2"/>
        <v>Electronics</v>
      </c>
      <c r="E354" s="1" t="str">
        <f t="shared" si="3"/>
        <v>Headphones,Earbuds&amp;Accessories</v>
      </c>
      <c r="F354" s="2">
        <v>349.0</v>
      </c>
      <c r="G354" s="2">
        <v>999.0</v>
      </c>
      <c r="H354" s="3">
        <f t="shared" si="4"/>
        <v>0.6506506507</v>
      </c>
      <c r="I354" s="4">
        <f>IFERROR(__xludf.DUMMYFUNCTION("GOOGLEFINANCE(""CURRENCY:INRBRL"")*F354"),20.827734657199997)</f>
        <v>20.82773466</v>
      </c>
      <c r="J354" s="1">
        <v>4.49</v>
      </c>
      <c r="K354" s="1">
        <v>363713.0</v>
      </c>
      <c r="L354" s="1" t="s">
        <v>1433</v>
      </c>
      <c r="M354" s="6" t="s">
        <v>1434</v>
      </c>
      <c r="N354" s="7" t="str">
        <f>VLOOKUP(A354, avaliacoes!A:G, 5, FALSE)</f>
        <v>Best value for money,HEAD PHONE POUCH NOT RECEIVED,Overall good in this pricerange,It's not working in my Phone properly Plz help me in exchange or return, I ll be thankful to you,Worth the money 🤑,Best,Nice sound,Wonderful product</v>
      </c>
      <c r="O354" s="7" t="str">
        <f>VLOOKUP(A354, avaliacoes!A:G,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row>
    <row r="355">
      <c r="A355" s="1" t="s">
        <v>1435</v>
      </c>
      <c r="B355" s="1" t="s">
        <v>1436</v>
      </c>
      <c r="C355" s="1" t="s">
        <v>1393</v>
      </c>
      <c r="D355" s="1" t="str">
        <f t="shared" si="2"/>
        <v>Electronics</v>
      </c>
      <c r="E355" s="1" t="str">
        <f t="shared" si="3"/>
        <v>Accessories</v>
      </c>
      <c r="F355" s="2">
        <v>959.0</v>
      </c>
      <c r="G355" s="2">
        <v>1800.0</v>
      </c>
      <c r="H355" s="3">
        <f t="shared" si="4"/>
        <v>0.4672222222</v>
      </c>
      <c r="I355" s="4">
        <f>IFERROR(__xludf.DUMMYFUNCTION("GOOGLEFINANCE(""CURRENCY:INRBRL"")*F355"),57.231511565199995)</f>
        <v>57.23151157</v>
      </c>
      <c r="J355" s="1">
        <v>4.5</v>
      </c>
      <c r="K355" s="1">
        <v>67259.0</v>
      </c>
      <c r="L355" s="1" t="s">
        <v>1394</v>
      </c>
      <c r="M355" s="6" t="s">
        <v>1437</v>
      </c>
      <c r="N355" s="7" t="str">
        <f>VLOOKUP(A355, avaliacoes!A:G, 5, FALSE)</f>
        <v>Fake Product,Costly but excellent quality,Storage good but don't know how to Activate warantee??,Good for use,5 stas nahi diya kyuki capacity 477gb hi rahta hai,Speed not as advertise,Good one,It's ok</v>
      </c>
      <c r="O355" s="7" t="str">
        <f>VLOOKUP(A355,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row>
    <row r="356">
      <c r="A356" s="1" t="s">
        <v>1438</v>
      </c>
      <c r="B356" s="1" t="s">
        <v>1439</v>
      </c>
      <c r="C356" s="1" t="s">
        <v>1374</v>
      </c>
      <c r="D356" s="1" t="str">
        <f t="shared" si="2"/>
        <v>Electronics</v>
      </c>
      <c r="E356" s="1" t="str">
        <f t="shared" si="3"/>
        <v>Mobiles&amp;Accessories</v>
      </c>
      <c r="F356" s="2">
        <v>9499.0</v>
      </c>
      <c r="G356" s="2">
        <v>11999.0</v>
      </c>
      <c r="H356" s="3">
        <f t="shared" si="4"/>
        <v>0.2083506959</v>
      </c>
      <c r="I356" s="4">
        <f>IFERROR(__xludf.DUMMYFUNCTION("GOOGLEFINANCE(""CURRENCY:INRBRL"")*F356"),566.8843882772)</f>
        <v>566.8843883</v>
      </c>
      <c r="J356" s="1">
        <v>4.5</v>
      </c>
      <c r="K356" s="1">
        <v>284.0</v>
      </c>
      <c r="L356" s="1" t="s">
        <v>1416</v>
      </c>
      <c r="M356" s="6" t="s">
        <v>1440</v>
      </c>
      <c r="N356" s="7" t="str">
        <f>VLOOKUP(A356, avaliacoes!A:G, 5, FALSE)</f>
        <v>Get it with bundled discounts.,Heating &amp; Touch screen,Buy for normal usage. NOT FOR CAMERA,The phone is a good device and I am happy with the purchase.,Average quality.,Exlent mobile,Valueable buy,A GOOD AND AFFORDABLE PRODUCT</v>
      </c>
      <c r="O356" s="7" t="str">
        <f>VLOOKUP(A356, avaliacoes!A:G,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row>
    <row r="357">
      <c r="A357" s="1" t="s">
        <v>1441</v>
      </c>
      <c r="B357" s="1" t="s">
        <v>1442</v>
      </c>
      <c r="C357" s="1" t="s">
        <v>1369</v>
      </c>
      <c r="D357" s="1" t="str">
        <f t="shared" si="2"/>
        <v>Electronics</v>
      </c>
      <c r="E357" s="1" t="str">
        <f t="shared" si="3"/>
        <v>Mobiles&amp;Accessories</v>
      </c>
      <c r="F357" s="2">
        <v>1499.0</v>
      </c>
      <c r="G357" s="2">
        <v>2499.0</v>
      </c>
      <c r="H357" s="3">
        <f t="shared" si="4"/>
        <v>0.400160064</v>
      </c>
      <c r="I357" s="4">
        <f>IFERROR(__xludf.DUMMYFUNCTION("GOOGLEFINANCE(""CURRENCY:INRBRL"")*F357"),89.45780587719999)</f>
        <v>89.45780588</v>
      </c>
      <c r="J357" s="1">
        <v>4.5</v>
      </c>
      <c r="K357" s="1">
        <v>1597.0</v>
      </c>
      <c r="L357" s="1" t="s">
        <v>1443</v>
      </c>
      <c r="M357" s="6" t="s">
        <v>1444</v>
      </c>
      <c r="N357" s="7" t="str">
        <f>VLOOKUP(A357, avaliacoes!A:G, 5, FALSE)</f>
        <v>Best power bank on the market.,Small &amp; Handy,Good Quality and functional and practical design,5v out put ravatam ledu 2or3v matrame vasthundi..,Good,Nice,Easy to carry,It is really good</v>
      </c>
      <c r="O357" s="7" t="str">
        <f>VLOOKUP(A357, avaliacoes!A:G, 6, FALSE)</f>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v>
      </c>
    </row>
    <row r="358">
      <c r="A358" s="1" t="s">
        <v>1445</v>
      </c>
      <c r="B358" s="1" t="s">
        <v>1446</v>
      </c>
      <c r="C358" s="1" t="s">
        <v>1369</v>
      </c>
      <c r="D358" s="1" t="str">
        <f t="shared" si="2"/>
        <v>Electronics</v>
      </c>
      <c r="E358" s="1" t="str">
        <f t="shared" si="3"/>
        <v>Mobiles&amp;Accessories</v>
      </c>
      <c r="F358" s="2">
        <v>1149.0</v>
      </c>
      <c r="G358" s="2">
        <v>2199.0</v>
      </c>
      <c r="H358" s="3">
        <f t="shared" si="4"/>
        <v>0.4774897681</v>
      </c>
      <c r="I358" s="4">
        <f>IFERROR(__xludf.DUMMYFUNCTION("GOOGLEFINANCE(""CURRENCY:INRBRL"")*F358"),68.5703928972)</f>
        <v>68.5703929</v>
      </c>
      <c r="J358" s="1">
        <v>4.5</v>
      </c>
      <c r="K358" s="1">
        <v>178912.0</v>
      </c>
      <c r="L358" s="1" t="s">
        <v>1447</v>
      </c>
      <c r="M358" s="6" t="s">
        <v>1448</v>
      </c>
      <c r="N358" s="7" t="str">
        <f>VLOOKUP(A358, avaliacoes!A:G, 5, FALSE)</f>
        <v>Ok product to buy,Better than any other power banks,👍,Nice product,Performance is OK,Very Slim &amp; easy to carry,Decent product,GOAT</v>
      </c>
      <c r="O358" s="7" t="str">
        <f>VLOOKUP(A358, avaliacoes!A:G,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row>
    <row r="359">
      <c r="A359" s="1" t="s">
        <v>1449</v>
      </c>
      <c r="B359" s="1" t="s">
        <v>1450</v>
      </c>
      <c r="C359" s="1" t="s">
        <v>1451</v>
      </c>
      <c r="D359" s="1" t="str">
        <f t="shared" si="2"/>
        <v>Electronics</v>
      </c>
      <c r="E359" s="1" t="str">
        <f t="shared" si="3"/>
        <v>Mobiles&amp;Accessories</v>
      </c>
      <c r="F359" s="2">
        <v>349.0</v>
      </c>
      <c r="G359" s="2">
        <v>999.0</v>
      </c>
      <c r="H359" s="3">
        <f t="shared" si="4"/>
        <v>0.6506506507</v>
      </c>
      <c r="I359" s="4">
        <f>IFERROR(__xludf.DUMMYFUNCTION("GOOGLEFINANCE(""CURRENCY:INRBRL"")*F359"),20.827734657199997)</f>
        <v>20.82773466</v>
      </c>
      <c r="J359" s="1">
        <v>4.52</v>
      </c>
      <c r="K359" s="1">
        <v>46399.0</v>
      </c>
      <c r="L359" s="1" t="s">
        <v>1452</v>
      </c>
      <c r="M359" s="6" t="s">
        <v>1453</v>
      </c>
      <c r="N359" s="7" t="str">
        <f>VLOOKUP(A359, avaliacoes!A:G, 5, FALSE)</f>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v>
      </c>
      <c r="O359" s="7" t="str">
        <f>VLOOKUP(A359, avaliacoes!A:G, 6, FALSE)</f>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v>
      </c>
    </row>
    <row r="360">
      <c r="A360" s="1" t="s">
        <v>1454</v>
      </c>
      <c r="B360" s="1" t="s">
        <v>1455</v>
      </c>
      <c r="C360" s="1" t="s">
        <v>1456</v>
      </c>
      <c r="D360" s="1" t="str">
        <f t="shared" si="2"/>
        <v>Electronics</v>
      </c>
      <c r="E360" s="1" t="str">
        <f t="shared" si="3"/>
        <v>Mobiles&amp;Accessories</v>
      </c>
      <c r="F360" s="2">
        <v>1219.0</v>
      </c>
      <c r="G360" s="2">
        <v>1699.0</v>
      </c>
      <c r="H360" s="3">
        <f t="shared" si="4"/>
        <v>0.2825191289</v>
      </c>
      <c r="I360" s="4">
        <f>IFERROR(__xludf.DUMMYFUNCTION("GOOGLEFINANCE(""CURRENCY:INRBRL"")*F360"),72.7478754932)</f>
        <v>72.74787549</v>
      </c>
      <c r="J360" s="1">
        <v>4.5</v>
      </c>
      <c r="K360" s="1">
        <v>8891.0</v>
      </c>
      <c r="L360" s="1" t="s">
        <v>1457</v>
      </c>
      <c r="M360" s="6" t="s">
        <v>1458</v>
      </c>
      <c r="N360" s="7" t="str">
        <f>VLOOKUP(A360, avaliacoes!A:G, 5, FALSE)</f>
        <v>Fine,Difference between this and a 15W is not that big,Original product,Fast charging👍,Good for Google Pixel 6a,Best a big charger as big as galaxy z flip 3,Great but little hot the mobile,Need to buy a wire seperately</v>
      </c>
      <c r="O360" s="7" t="str">
        <f>VLOOKUP(A360, avaliacoes!A:G, 6, FALSE)</f>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v>
      </c>
    </row>
    <row r="361">
      <c r="A361" s="1" t="s">
        <v>1459</v>
      </c>
      <c r="B361" s="1" t="s">
        <v>1460</v>
      </c>
      <c r="C361" s="1" t="s">
        <v>1356</v>
      </c>
      <c r="D361" s="1" t="str">
        <f t="shared" si="2"/>
        <v>Electronics</v>
      </c>
      <c r="E361" s="1" t="str">
        <f t="shared" si="3"/>
        <v>WearableTechnology</v>
      </c>
      <c r="F361" s="2">
        <v>1599.0</v>
      </c>
      <c r="G361" s="2">
        <v>3999.0</v>
      </c>
      <c r="H361" s="3">
        <f t="shared" si="4"/>
        <v>0.6001500375</v>
      </c>
      <c r="I361" s="4">
        <f>IFERROR(__xludf.DUMMYFUNCTION("GOOGLEFINANCE(""CURRENCY:INRBRL"")*F361"),95.4256381572)</f>
        <v>95.42563816</v>
      </c>
      <c r="J361" s="1">
        <v>4.0</v>
      </c>
      <c r="K361" s="1">
        <v>30254.0</v>
      </c>
      <c r="L361" s="1" t="s">
        <v>1461</v>
      </c>
      <c r="M361" s="6" t="s">
        <v>1462</v>
      </c>
      <c r="N361" s="7" t="str">
        <f>VLOOKUP(A361, avaliacoes!A:G, 5, FALSE)</f>
        <v>Ranjitha,Good one,Best One!!!,Good and average usage,IT'S BEEN GOOD,Good,Noise,Overall good product</v>
      </c>
      <c r="O361" s="7" t="str">
        <f>VLOOKUP(A361, avaliacoes!A:G,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row>
    <row r="362">
      <c r="A362" s="1" t="s">
        <v>1463</v>
      </c>
      <c r="B362" s="1" t="s">
        <v>1464</v>
      </c>
      <c r="C362" s="1" t="s">
        <v>1356</v>
      </c>
      <c r="D362" s="1" t="str">
        <f t="shared" si="2"/>
        <v>Electronics</v>
      </c>
      <c r="E362" s="1" t="str">
        <f t="shared" si="3"/>
        <v>WearableTechnology</v>
      </c>
      <c r="F362" s="2">
        <v>1499.0</v>
      </c>
      <c r="G362" s="2">
        <v>7999.0</v>
      </c>
      <c r="H362" s="3">
        <f t="shared" si="4"/>
        <v>0.8126015752</v>
      </c>
      <c r="I362" s="4">
        <f>IFERROR(__xludf.DUMMYFUNCTION("GOOGLEFINANCE(""CURRENCY:INRBRL"")*F362"),89.45780587719999)</f>
        <v>89.45780588</v>
      </c>
      <c r="J362" s="1">
        <v>4.5</v>
      </c>
      <c r="K362" s="1">
        <v>22636.0</v>
      </c>
      <c r="L362" s="1" t="s">
        <v>1465</v>
      </c>
      <c r="M362" s="6" t="s">
        <v>1466</v>
      </c>
      <c r="N362" s="7" t="str">
        <f>VLOOKUP(A362, avaliacoes!A:G, 5, FALSE)</f>
        <v>Premium looking watch,Excellent Product,The Tracking and touch would be better,Bluetooth connectivity,Very good,The watch is good,Felt Good,Not bad</v>
      </c>
      <c r="O362" s="7" t="str">
        <f>VLOOKUP(A362, avaliacoes!A:G,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row>
    <row r="363">
      <c r="A363" s="1" t="s">
        <v>1467</v>
      </c>
      <c r="B363" s="1" t="s">
        <v>1468</v>
      </c>
      <c r="C363" s="1" t="s">
        <v>1374</v>
      </c>
      <c r="D363" s="1" t="str">
        <f t="shared" si="2"/>
        <v>Electronics</v>
      </c>
      <c r="E363" s="1" t="str">
        <f t="shared" si="3"/>
        <v>Mobiles&amp;Accessories</v>
      </c>
      <c r="F363" s="2">
        <v>18499.0</v>
      </c>
      <c r="G363" s="2">
        <v>25999.0</v>
      </c>
      <c r="H363" s="3">
        <f t="shared" si="4"/>
        <v>0.2884726336</v>
      </c>
      <c r="I363" s="4">
        <f>IFERROR(__xludf.DUMMYFUNCTION("GOOGLEFINANCE(""CURRENCY:INRBRL"")*F363"),1103.9892934772)</f>
        <v>1103.989293</v>
      </c>
      <c r="J363" s="1">
        <v>4.49</v>
      </c>
      <c r="K363" s="1">
        <v>22318.0</v>
      </c>
      <c r="L363" s="1" t="s">
        <v>1469</v>
      </c>
      <c r="M363" s="6" t="s">
        <v>1470</v>
      </c>
      <c r="N363" s="7" t="str">
        <f>VLOOKUP(A363, avaliacoes!A:G, 5, FALSE)</f>
        <v>THE PERFECT PHONE – FOR MY REQUIREMENTS,Galaxy M33 5G a mixed bag of Affordability</v>
      </c>
      <c r="O363" s="7" t="str">
        <f>VLOOKUP(A363, avaliacoes!A:G,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row>
    <row r="364">
      <c r="A364" s="1" t="s">
        <v>1471</v>
      </c>
      <c r="B364" s="1" t="s">
        <v>1472</v>
      </c>
      <c r="C364" s="1" t="s">
        <v>1393</v>
      </c>
      <c r="D364" s="1" t="str">
        <f t="shared" si="2"/>
        <v>Electronics</v>
      </c>
      <c r="E364" s="1" t="str">
        <f t="shared" si="3"/>
        <v>Accessories</v>
      </c>
      <c r="F364" s="2">
        <v>369.0</v>
      </c>
      <c r="G364" s="2">
        <v>700.0</v>
      </c>
      <c r="H364" s="3">
        <f t="shared" si="4"/>
        <v>0.4728571429</v>
      </c>
      <c r="I364" s="4">
        <f>IFERROR(__xludf.DUMMYFUNCTION("GOOGLEFINANCE(""CURRENCY:INRBRL"")*F364"),22.0213011132)</f>
        <v>22.02130111</v>
      </c>
      <c r="J364" s="1">
        <v>4.5</v>
      </c>
      <c r="K364" s="1">
        <v>67259.0</v>
      </c>
      <c r="L364" s="1" t="s">
        <v>1473</v>
      </c>
      <c r="M364" s="6" t="s">
        <v>1474</v>
      </c>
      <c r="N364" s="7" t="str">
        <f>VLOOKUP(A364, avaliacoes!A:G, 5, FALSE)</f>
        <v>Fake Product,Costly but excellent quality,Storage good but don't know how to Activate warantee??,Good for use,5 stas nahi diya kyuki capacity 477gb hi rahta hai,Speed not as advertise,Good one,It's ok</v>
      </c>
      <c r="O364" s="7" t="str">
        <f>VLOOKUP(A364,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row>
    <row r="365">
      <c r="A365" s="1" t="s">
        <v>1475</v>
      </c>
      <c r="B365" s="1" t="s">
        <v>1476</v>
      </c>
      <c r="C365" s="1" t="s">
        <v>1374</v>
      </c>
      <c r="D365" s="1" t="str">
        <f t="shared" si="2"/>
        <v>Electronics</v>
      </c>
      <c r="E365" s="1" t="str">
        <f t="shared" si="3"/>
        <v>Mobiles&amp;Accessories</v>
      </c>
      <c r="F365" s="2">
        <v>12999.0</v>
      </c>
      <c r="G365" s="2">
        <v>17999.0</v>
      </c>
      <c r="H365" s="3">
        <f t="shared" si="4"/>
        <v>0.2777932107</v>
      </c>
      <c r="I365" s="4">
        <f>IFERROR(__xludf.DUMMYFUNCTION("GOOGLEFINANCE(""CURRENCY:INRBRL"")*F365"),775.7585180771999)</f>
        <v>775.7585181</v>
      </c>
      <c r="J365" s="1">
        <v>4.49</v>
      </c>
      <c r="K365" s="1">
        <v>18998.0</v>
      </c>
      <c r="L365" s="1" t="s">
        <v>1477</v>
      </c>
      <c r="M365" s="6" t="s">
        <v>1478</v>
      </c>
      <c r="N365" s="7" t="str">
        <f>VLOOKUP(A365, avaliacoes!A:G, 5, FALSE)</f>
        <v>Phone, camera, heating - works for me, may not for all,Good Mobile,Good but not excellent under this budget,Worth the price at 9499,Ok type phone... but unable to make videocall within same service provider.,Phone review,Budget king,Battery backup is good</v>
      </c>
      <c r="O365" s="7" t="str">
        <f>VLOOKUP(A365,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row>
    <row r="366">
      <c r="A366" s="1" t="s">
        <v>1479</v>
      </c>
      <c r="B366" s="1" t="s">
        <v>1355</v>
      </c>
      <c r="C366" s="1" t="s">
        <v>1356</v>
      </c>
      <c r="D366" s="1" t="str">
        <f t="shared" si="2"/>
        <v>Electronics</v>
      </c>
      <c r="E366" s="1" t="str">
        <f t="shared" si="3"/>
        <v>WearableTechnology</v>
      </c>
      <c r="F366" s="2">
        <v>1799.0</v>
      </c>
      <c r="G366" s="2">
        <v>19999.0</v>
      </c>
      <c r="H366" s="3">
        <f t="shared" si="4"/>
        <v>0.9100455023</v>
      </c>
      <c r="I366" s="4">
        <f>IFERROR(__xludf.DUMMYFUNCTION("GOOGLEFINANCE(""CURRENCY:INRBRL"")*F366"),107.36130271719999)</f>
        <v>107.3613027</v>
      </c>
      <c r="J366" s="1">
        <v>4.5</v>
      </c>
      <c r="K366" s="1">
        <v>13937.0</v>
      </c>
      <c r="L366" s="1" t="s">
        <v>1480</v>
      </c>
      <c r="M366" s="6" t="s">
        <v>1481</v>
      </c>
      <c r="N366" s="7" t="str">
        <f>VLOOKUP(A366,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66" s="7" t="str">
        <f>VLOOKUP(A366,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row>
    <row r="367">
      <c r="A367" s="1" t="s">
        <v>1482</v>
      </c>
      <c r="B367" s="1" t="s">
        <v>1483</v>
      </c>
      <c r="C367" s="1" t="s">
        <v>1356</v>
      </c>
      <c r="D367" s="1" t="str">
        <f t="shared" si="2"/>
        <v>Electronics</v>
      </c>
      <c r="E367" s="1" t="str">
        <f t="shared" si="3"/>
        <v>WearableTechnology</v>
      </c>
      <c r="F367" s="2">
        <v>2199.0</v>
      </c>
      <c r="G367" s="2">
        <v>9999.0</v>
      </c>
      <c r="H367" s="3">
        <f t="shared" si="4"/>
        <v>0.7800780078</v>
      </c>
      <c r="I367" s="4">
        <f>IFERROR(__xludf.DUMMYFUNCTION("GOOGLEFINANCE(""CURRENCY:INRBRL"")*F367"),131.2326318372)</f>
        <v>131.2326318</v>
      </c>
      <c r="J367" s="1">
        <v>4.5</v>
      </c>
      <c r="K367" s="1">
        <v>29471.0</v>
      </c>
      <c r="L367" s="1" t="s">
        <v>1484</v>
      </c>
      <c r="M367" s="6" t="s">
        <v>1485</v>
      </c>
      <c r="N367" s="7" t="str">
        <f>VLOOKUP(A367, avaliacoes!A:G,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367" s="7" t="str">
        <f>VLOOKUP(A367, avaliacoes!A:G,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row>
    <row r="368">
      <c r="A368" s="1" t="s">
        <v>1486</v>
      </c>
      <c r="B368" s="1" t="s">
        <v>1487</v>
      </c>
      <c r="C368" s="1" t="s">
        <v>1374</v>
      </c>
      <c r="D368" s="1" t="str">
        <f t="shared" si="2"/>
        <v>Electronics</v>
      </c>
      <c r="E368" s="1" t="str">
        <f t="shared" si="3"/>
        <v>Mobiles&amp;Accessories</v>
      </c>
      <c r="F368" s="2">
        <v>16999.0</v>
      </c>
      <c r="G368" s="2">
        <v>24999.0</v>
      </c>
      <c r="H368" s="3">
        <f t="shared" si="4"/>
        <v>0.3200128005</v>
      </c>
      <c r="I368" s="4">
        <f>IFERROR(__xludf.DUMMYFUNCTION("GOOGLEFINANCE(""CURRENCY:INRBRL"")*F368"),1014.4718092771999)</f>
        <v>1014.471809</v>
      </c>
      <c r="J368" s="1">
        <v>4.49</v>
      </c>
      <c r="K368" s="1">
        <v>22318.0</v>
      </c>
      <c r="L368" s="1" t="s">
        <v>1488</v>
      </c>
      <c r="M368" s="6" t="s">
        <v>1489</v>
      </c>
      <c r="N368" s="7" t="str">
        <f>VLOOKUP(A368, avaliacoes!A:G, 5, FALSE)</f>
        <v>THE PERFECT PHONE – FOR MY REQUIREMENTS,Galaxy M33 5G a mixed bag of Affordability</v>
      </c>
      <c r="O368" s="7" t="str">
        <f>VLOOKUP(A368, avaliacoes!A:G,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row>
    <row r="369">
      <c r="A369" s="1" t="s">
        <v>1490</v>
      </c>
      <c r="B369" s="1" t="s">
        <v>1491</v>
      </c>
      <c r="C369" s="1" t="s">
        <v>1374</v>
      </c>
      <c r="D369" s="1" t="str">
        <f t="shared" si="2"/>
        <v>Electronics</v>
      </c>
      <c r="E369" s="1" t="str">
        <f t="shared" si="3"/>
        <v>Mobiles&amp;Accessories</v>
      </c>
      <c r="F369" s="2">
        <v>16499.0</v>
      </c>
      <c r="G369" s="2">
        <v>20999.0</v>
      </c>
      <c r="H369" s="3">
        <f t="shared" si="4"/>
        <v>0.2142959189</v>
      </c>
      <c r="I369" s="4">
        <f>IFERROR(__xludf.DUMMYFUNCTION("GOOGLEFINANCE(""CURRENCY:INRBRL"")*F369"),984.6326478771999)</f>
        <v>984.6326479</v>
      </c>
      <c r="J369" s="1">
        <v>4.0</v>
      </c>
      <c r="K369" s="1">
        <v>2135.0</v>
      </c>
      <c r="L369" s="1" t="s">
        <v>1492</v>
      </c>
      <c r="M369" s="6" t="s">
        <v>1493</v>
      </c>
      <c r="N369" s="7" t="str">
        <f>VLOOKUP(A369, avaliacoes!A:G,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369" s="7" t="str">
        <f>VLOOKUP(A369, avaliacoes!A:G,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row>
    <row r="370">
      <c r="A370" s="1" t="s">
        <v>1494</v>
      </c>
      <c r="B370" s="1" t="s">
        <v>1355</v>
      </c>
      <c r="C370" s="1" t="s">
        <v>1356</v>
      </c>
      <c r="D370" s="1" t="str">
        <f t="shared" si="2"/>
        <v>Electronics</v>
      </c>
      <c r="E370" s="1" t="str">
        <f t="shared" si="3"/>
        <v>WearableTechnology</v>
      </c>
      <c r="F370" s="2">
        <v>1799.0</v>
      </c>
      <c r="G370" s="2">
        <v>19999.0</v>
      </c>
      <c r="H370" s="3">
        <f t="shared" si="4"/>
        <v>0.9100455023</v>
      </c>
      <c r="I370" s="4">
        <f>IFERROR(__xludf.DUMMYFUNCTION("GOOGLEFINANCE(""CURRENCY:INRBRL"")*F370"),107.36130271719999)</f>
        <v>107.3613027</v>
      </c>
      <c r="J370" s="1">
        <v>4.5</v>
      </c>
      <c r="K370" s="1">
        <v>13937.0</v>
      </c>
      <c r="L370" s="1" t="s">
        <v>1480</v>
      </c>
      <c r="M370" s="6" t="s">
        <v>1495</v>
      </c>
      <c r="N370" s="7" t="str">
        <f>VLOOKUP(A370,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70" s="7" t="str">
        <f>VLOOKUP(A370,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row>
    <row r="371">
      <c r="A371" s="1" t="s">
        <v>19</v>
      </c>
      <c r="B371" s="1" t="s">
        <v>20</v>
      </c>
      <c r="C371" s="1" t="s">
        <v>21</v>
      </c>
      <c r="D371" s="1" t="str">
        <f t="shared" si="2"/>
        <v>Computers&amp;Accessories</v>
      </c>
      <c r="E371" s="1" t="str">
        <f t="shared" si="3"/>
        <v>Accessories&amp;Peripherals</v>
      </c>
      <c r="F371" s="2">
        <v>399.0</v>
      </c>
      <c r="G371" s="2">
        <v>1099.0</v>
      </c>
      <c r="H371" s="3">
        <f t="shared" si="4"/>
        <v>0.6369426752</v>
      </c>
      <c r="I371" s="4">
        <f>IFERROR(__xludf.DUMMYFUNCTION("GOOGLEFINANCE(""CURRENCY:INRBRL"")*F371"),23.8116507972)</f>
        <v>23.8116508</v>
      </c>
      <c r="J371" s="1">
        <v>4.5</v>
      </c>
      <c r="K371" s="1">
        <v>2427.0</v>
      </c>
      <c r="L371" s="1" t="s">
        <v>22</v>
      </c>
      <c r="M371" s="6" t="s">
        <v>1496</v>
      </c>
      <c r="N371" s="7" t="str">
        <f>VLOOKUP(A371, avaliacoes!A:G, 5, FALSE)</f>
        <v>Satisfied,Charging is really fast,Value for money,Product review,Good quality,Good product,Good Product,As of now seems good</v>
      </c>
      <c r="O371" s="7" t="str">
        <f>VLOOKUP(A371,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row>
    <row r="372">
      <c r="A372" s="1" t="s">
        <v>1497</v>
      </c>
      <c r="B372" s="1" t="s">
        <v>1498</v>
      </c>
      <c r="C372" s="1" t="s">
        <v>1374</v>
      </c>
      <c r="D372" s="1" t="str">
        <f t="shared" si="2"/>
        <v>Electronics</v>
      </c>
      <c r="E372" s="1" t="str">
        <f t="shared" si="3"/>
        <v>Mobiles&amp;Accessories</v>
      </c>
      <c r="F372" s="2">
        <v>8499.0</v>
      </c>
      <c r="G372" s="2">
        <v>10999.0</v>
      </c>
      <c r="H372" s="3">
        <f t="shared" si="4"/>
        <v>0.2272933903</v>
      </c>
      <c r="I372" s="4">
        <f>IFERROR(__xludf.DUMMYFUNCTION("GOOGLEFINANCE(""CURRENCY:INRBRL"")*F372"),507.20606547719996)</f>
        <v>507.2060655</v>
      </c>
      <c r="J372" s="1">
        <v>4.49</v>
      </c>
      <c r="K372" s="1">
        <v>313836.0</v>
      </c>
      <c r="L372" s="1" t="s">
        <v>1499</v>
      </c>
      <c r="M372" s="6" t="s">
        <v>1500</v>
      </c>
      <c r="N372" s="7" t="str">
        <f>VLOOKUP(A372, avaliacoes!A:G, 5, FALSE)</f>
        <v>Best phone for below normal use,Good mobile for minimal usage , but technically highly worth,For simple use,Ok,Good quality product,Good unit,Good,Best Budget mobile</v>
      </c>
      <c r="O372" s="7" t="str">
        <f>VLOOKUP(A372, avaliacoes!A:G,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row>
    <row r="373">
      <c r="A373" s="1" t="s">
        <v>1501</v>
      </c>
      <c r="B373" s="1" t="s">
        <v>1502</v>
      </c>
      <c r="C373" s="1" t="s">
        <v>1374</v>
      </c>
      <c r="D373" s="1" t="str">
        <f t="shared" si="2"/>
        <v>Electronics</v>
      </c>
      <c r="E373" s="1" t="str">
        <f t="shared" si="3"/>
        <v>Mobiles&amp;Accessories</v>
      </c>
      <c r="F373" s="2">
        <v>6499.0</v>
      </c>
      <c r="G373" s="2">
        <v>8499.0</v>
      </c>
      <c r="H373" s="3">
        <f t="shared" si="4"/>
        <v>0.2353218026</v>
      </c>
      <c r="I373" s="4">
        <f>IFERROR(__xludf.DUMMYFUNCTION("GOOGLEFINANCE(""CURRENCY:INRBRL"")*F373"),387.8494198772)</f>
        <v>387.8494199</v>
      </c>
      <c r="J373" s="1">
        <v>4.49</v>
      </c>
      <c r="K373" s="1">
        <v>313836.0</v>
      </c>
      <c r="L373" s="1" t="s">
        <v>1503</v>
      </c>
      <c r="M373" s="6" t="s">
        <v>1504</v>
      </c>
      <c r="N373" s="7" t="str">
        <f>VLOOKUP(A373, avaliacoes!A:G, 5, FALSE)</f>
        <v>Best phone for below normal use,Good mobile for minimal usage , but technically highly worth,For simple use,Ok,Good quality product,Good unit,Good,Best Budget mobile</v>
      </c>
      <c r="O373" s="7" t="str">
        <f>VLOOKUP(A373, avaliacoes!A:G,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row>
    <row r="374">
      <c r="A374" s="1" t="s">
        <v>1505</v>
      </c>
      <c r="B374" s="1" t="s">
        <v>1355</v>
      </c>
      <c r="C374" s="1" t="s">
        <v>1356</v>
      </c>
      <c r="D374" s="1" t="str">
        <f t="shared" si="2"/>
        <v>Electronics</v>
      </c>
      <c r="E374" s="1" t="str">
        <f t="shared" si="3"/>
        <v>WearableTechnology</v>
      </c>
      <c r="F374" s="2">
        <v>1799.0</v>
      </c>
      <c r="G374" s="2">
        <v>19999.0</v>
      </c>
      <c r="H374" s="3">
        <f t="shared" si="4"/>
        <v>0.9100455023</v>
      </c>
      <c r="I374" s="4">
        <f>IFERROR(__xludf.DUMMYFUNCTION("GOOGLEFINANCE(""CURRENCY:INRBRL"")*F374"),107.36130271719999)</f>
        <v>107.3613027</v>
      </c>
      <c r="J374" s="1">
        <v>4.5</v>
      </c>
      <c r="K374" s="1">
        <v>13937.0</v>
      </c>
      <c r="L374" s="1" t="s">
        <v>1506</v>
      </c>
      <c r="M374" s="6" t="s">
        <v>1507</v>
      </c>
      <c r="N374" s="7" t="str">
        <f>VLOOKUP(A374,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74" s="7" t="str">
        <f>VLOOKUP(A374,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row>
    <row r="375">
      <c r="A375" s="1" t="s">
        <v>1508</v>
      </c>
      <c r="B375" s="1" t="s">
        <v>1509</v>
      </c>
      <c r="C375" s="1" t="s">
        <v>1374</v>
      </c>
      <c r="D375" s="1" t="str">
        <f t="shared" si="2"/>
        <v>Electronics</v>
      </c>
      <c r="E375" s="1" t="str">
        <f t="shared" si="3"/>
        <v>Mobiles&amp;Accessories</v>
      </c>
      <c r="F375" s="2">
        <v>8999.0</v>
      </c>
      <c r="G375" s="2">
        <v>11999.0</v>
      </c>
      <c r="H375" s="3">
        <f t="shared" si="4"/>
        <v>0.2500208351</v>
      </c>
      <c r="I375" s="4">
        <f>IFERROR(__xludf.DUMMYFUNCTION("GOOGLEFINANCE(""CURRENCY:INRBRL"")*F375"),537.0452268772)</f>
        <v>537.0452269</v>
      </c>
      <c r="J375" s="1">
        <v>4.0</v>
      </c>
      <c r="K375" s="1">
        <v>12796.0</v>
      </c>
      <c r="L375" s="1" t="s">
        <v>1424</v>
      </c>
      <c r="M375" s="6" t="s">
        <v>1510</v>
      </c>
      <c r="N375" s="7" t="str">
        <f>VLOOKUP(A375, avaliacoes!A:G, 5, FALSE)</f>
        <v>Good.,Best at the price,Good phone,NICE,Value for money,ठीक-ठाक hai ☺️,Overall review,Good</v>
      </c>
      <c r="O375" s="7" t="str">
        <f>VLOOKUP(A375, avaliacoes!A:G, 6, FALSE)</f>
        <v>Camera and display is very poor quality and battery 🔋 is very good nothing bad,Nice phone at reasonable price.,Good,NICE,Value for money,Theek hai 🥰,Not bad,Good</v>
      </c>
    </row>
    <row r="376">
      <c r="A376" s="1" t="s">
        <v>1511</v>
      </c>
      <c r="B376" s="1" t="s">
        <v>1512</v>
      </c>
      <c r="C376" s="1" t="s">
        <v>1513</v>
      </c>
      <c r="D376" s="1" t="str">
        <f t="shared" si="2"/>
        <v>Electronics</v>
      </c>
      <c r="E376" s="1" t="str">
        <f t="shared" si="3"/>
        <v>Mobiles&amp;Accessories</v>
      </c>
      <c r="F376" s="2">
        <v>139.0</v>
      </c>
      <c r="G376" s="2">
        <v>495.0</v>
      </c>
      <c r="H376" s="3">
        <f t="shared" si="4"/>
        <v>0.7191919192</v>
      </c>
      <c r="I376" s="4">
        <f>IFERROR(__xludf.DUMMYFUNCTION("GOOGLEFINANCE(""CURRENCY:INRBRL"")*F376"),8.2952868692)</f>
        <v>8.295286869</v>
      </c>
      <c r="J376" s="1">
        <v>4.5</v>
      </c>
      <c r="K376" s="1">
        <v>14185.0</v>
      </c>
      <c r="L376" s="1" t="s">
        <v>1514</v>
      </c>
      <c r="M376" s="6" t="s">
        <v>1515</v>
      </c>
      <c r="N376" s="7" t="str">
        <f>VLOOKUP(A376, avaliacoes!A:G, 5, FALSE)</f>
        <v>Very good quality.,Nice product,Not a fast charger....,nice,A Good Type C adapter,Nice product,Value for money and easy to use.,Good</v>
      </c>
      <c r="O376" s="7" t="str">
        <f>VLOOKUP(A376, avaliacoes!A:G, 6, FALSE)</f>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v>
      </c>
    </row>
    <row r="377">
      <c r="A377" s="1" t="s">
        <v>1516</v>
      </c>
      <c r="B377" s="1" t="s">
        <v>1517</v>
      </c>
      <c r="C377" s="1" t="s">
        <v>1356</v>
      </c>
      <c r="D377" s="1" t="str">
        <f t="shared" si="2"/>
        <v>Electronics</v>
      </c>
      <c r="E377" s="1" t="str">
        <f t="shared" si="3"/>
        <v>WearableTechnology</v>
      </c>
      <c r="F377" s="2">
        <v>3999.0</v>
      </c>
      <c r="G377" s="2">
        <v>16999.0</v>
      </c>
      <c r="H377" s="3">
        <f t="shared" si="4"/>
        <v>0.7647508677</v>
      </c>
      <c r="I377" s="4">
        <f>IFERROR(__xludf.DUMMYFUNCTION("GOOGLEFINANCE(""CURRENCY:INRBRL"")*F377"),238.65361287719998)</f>
        <v>238.6536129</v>
      </c>
      <c r="J377" s="1">
        <v>4.5</v>
      </c>
      <c r="K377" s="1">
        <v>17159.0</v>
      </c>
      <c r="L377" s="1" t="s">
        <v>1518</v>
      </c>
      <c r="M377" s="6" t="s">
        <v>1519</v>
      </c>
      <c r="N377" s="7" t="str">
        <f>VLOOKUP(A377, avaliacoes!A:G, 5, FALSE)</f>
        <v>Nice watch but some cons,Great device for the budget !! And amazing amazon service!!,Good watch in this price,Watch faces could have been better,Amoled Screen &amp; Touch, Average Wrist Band.</v>
      </c>
      <c r="O377" s="7" t="str">
        <f>VLOOKUP(A377, avaliacoes!A:G,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row>
    <row r="378">
      <c r="A378" s="1" t="s">
        <v>1520</v>
      </c>
      <c r="B378" s="1" t="s">
        <v>1521</v>
      </c>
      <c r="C378" s="1" t="s">
        <v>1356</v>
      </c>
      <c r="D378" s="1" t="str">
        <f t="shared" si="2"/>
        <v>Electronics</v>
      </c>
      <c r="E378" s="1" t="str">
        <f t="shared" si="3"/>
        <v>WearableTechnology</v>
      </c>
      <c r="F378" s="2">
        <v>2998.0</v>
      </c>
      <c r="G378" s="2">
        <v>5999.0</v>
      </c>
      <c r="H378" s="3">
        <f t="shared" si="4"/>
        <v>0.5002500417</v>
      </c>
      <c r="I378" s="4">
        <f>IFERROR(__xludf.DUMMYFUNCTION("GOOGLEFINANCE(""CURRENCY:INRBRL"")*F378"),178.91561175439998)</f>
        <v>178.9156118</v>
      </c>
      <c r="J378" s="1">
        <v>4.49</v>
      </c>
      <c r="K378" s="1">
        <v>5179.0</v>
      </c>
      <c r="L378" s="1" t="s">
        <v>1522</v>
      </c>
      <c r="M378" s="6" t="s">
        <v>1523</v>
      </c>
      <c r="N378" s="7" t="str">
        <f>VLOOKUP(A378, avaliacoes!A:G, 5, FALSE)</f>
        <v>Some improvement required,Not best for tracking sleep, calories burnt of heart rate.,Noise,Noise watch is good,NOISE,Noises,Bluetooth calling,Noise</v>
      </c>
      <c r="O378" s="7" t="str">
        <f>VLOOKUP(A378, avaliacoes!A:G, 6, FALSE)</f>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v>
      </c>
    </row>
    <row r="379">
      <c r="A379" s="1" t="s">
        <v>24</v>
      </c>
      <c r="B379" s="1" t="s">
        <v>25</v>
      </c>
      <c r="C379" s="1" t="s">
        <v>21</v>
      </c>
      <c r="D379" s="1" t="str">
        <f t="shared" si="2"/>
        <v>Computers&amp;Accessories</v>
      </c>
      <c r="E379" s="1" t="str">
        <f t="shared" si="3"/>
        <v>Accessories&amp;Peripherals</v>
      </c>
      <c r="F379" s="2">
        <v>199.0</v>
      </c>
      <c r="G379" s="2">
        <v>349.0</v>
      </c>
      <c r="H379" s="3">
        <f t="shared" si="4"/>
        <v>0.4297994269</v>
      </c>
      <c r="I379" s="4">
        <f>IFERROR(__xludf.DUMMYFUNCTION("GOOGLEFINANCE(""CURRENCY:INRBRL"")*F379"),11.8759862372)</f>
        <v>11.87598624</v>
      </c>
      <c r="J379" s="1">
        <v>4.0</v>
      </c>
      <c r="K379" s="1">
        <v>43993.0</v>
      </c>
      <c r="L379" s="1" t="s">
        <v>26</v>
      </c>
      <c r="M379" s="6" t="s">
        <v>1524</v>
      </c>
      <c r="N379" s="7" t="str">
        <f>VLOOKUP(A379, avaliacoes!A:G, 5, FALSE)</f>
        <v>A Good Braided Cable for Your Type C Device,Good quality product from ambrane,Super cable,As,Good quality,Good product,its good,Good quality for the price but one issue with my unit</v>
      </c>
      <c r="O379" s="7" t="str">
        <f>VLOOKUP(A379,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row>
    <row r="380">
      <c r="A380" s="1" t="s">
        <v>1525</v>
      </c>
      <c r="B380" s="1" t="s">
        <v>1526</v>
      </c>
      <c r="C380" s="1" t="s">
        <v>1374</v>
      </c>
      <c r="D380" s="1" t="str">
        <f t="shared" si="2"/>
        <v>Electronics</v>
      </c>
      <c r="E380" s="1" t="str">
        <f t="shared" si="3"/>
        <v>Mobiles&amp;Accessories</v>
      </c>
      <c r="F380" s="2">
        <v>15499.0</v>
      </c>
      <c r="G380" s="2">
        <v>18999.0</v>
      </c>
      <c r="H380" s="3">
        <f t="shared" si="4"/>
        <v>0.1842202221</v>
      </c>
      <c r="I380" s="4">
        <f>IFERROR(__xludf.DUMMYFUNCTION("GOOGLEFINANCE(""CURRENCY:INRBRL"")*F380"),924.9543250771999)</f>
        <v>924.9543251</v>
      </c>
      <c r="J380" s="1">
        <v>4.49</v>
      </c>
      <c r="K380" s="1">
        <v>19252.0</v>
      </c>
      <c r="L380" s="1" t="s">
        <v>1527</v>
      </c>
      <c r="M380" s="6" t="s">
        <v>1528</v>
      </c>
      <c r="N380" s="7" t="str">
        <f>VLOOKUP(A380, avaliacoes!A:G, 5, FALSE)</f>
        <v>Above average phone,Worth For The Money 💰,Okie,Phone is excellent,Purchased in good budget at 12k,It can fulfill basic needs in affordable price range,Nice,About features</v>
      </c>
      <c r="O380" s="7" t="str">
        <f>VLOOKUP(A380,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row>
    <row r="381">
      <c r="A381" s="1" t="s">
        <v>28</v>
      </c>
      <c r="B381" s="1" t="s">
        <v>29</v>
      </c>
      <c r="C381" s="1" t="s">
        <v>21</v>
      </c>
      <c r="D381" s="1" t="str">
        <f t="shared" si="2"/>
        <v>Computers&amp;Accessories</v>
      </c>
      <c r="E381" s="1" t="str">
        <f t="shared" si="3"/>
        <v>Accessories&amp;Peripherals</v>
      </c>
      <c r="F381" s="2">
        <v>199.0</v>
      </c>
      <c r="G381" s="2">
        <v>999.0</v>
      </c>
      <c r="H381" s="3">
        <f t="shared" si="4"/>
        <v>0.8008008008</v>
      </c>
      <c r="I381" s="4">
        <f>IFERROR(__xludf.DUMMYFUNCTION("GOOGLEFINANCE(""CURRENCY:INRBRL"")*F381"),11.8759862372)</f>
        <v>11.87598624</v>
      </c>
      <c r="J381" s="1">
        <v>4.52</v>
      </c>
      <c r="K381" s="1">
        <v>7928.0</v>
      </c>
      <c r="L381" s="1" t="s">
        <v>1529</v>
      </c>
      <c r="M381" s="6" t="s">
        <v>1530</v>
      </c>
      <c r="N381" s="7" t="str">
        <f>VLOOKUP(A381, avaliacoes!A:G, 5, FALSE)</f>
        <v>Good speed for earlier versions,Good Product,Working good,Good for the price,Good,Worth for money,Working nice,it's a really nice product</v>
      </c>
      <c r="O381" s="7" t="str">
        <f>VLOOKUP(A381, avaliacoes!A:G, 6, FALSE)</f>
        <v>Not quite durable and sturdy,https://m.media-amazon.com/images/W/WEBP_402378-T1/images/I/71rIggrbUCL._SY88.jpg,Working good,https://m.media-amazon.com/images/W/WEBP_402378-T1/images/I/61bKp9YO6wL._SY88.jpg,Product,Very nice product,Working well,It's a really nice product</v>
      </c>
    </row>
    <row r="382">
      <c r="A382" s="1" t="s">
        <v>1531</v>
      </c>
      <c r="B382" s="1" t="s">
        <v>1355</v>
      </c>
      <c r="C382" s="1" t="s">
        <v>1356</v>
      </c>
      <c r="D382" s="1" t="str">
        <f t="shared" si="2"/>
        <v>Electronics</v>
      </c>
      <c r="E382" s="1" t="str">
        <f t="shared" si="3"/>
        <v>WearableTechnology</v>
      </c>
      <c r="F382" s="2">
        <v>1799.0</v>
      </c>
      <c r="G382" s="2">
        <v>19999.0</v>
      </c>
      <c r="H382" s="3">
        <f t="shared" si="4"/>
        <v>0.9100455023</v>
      </c>
      <c r="I382" s="4">
        <f>IFERROR(__xludf.DUMMYFUNCTION("GOOGLEFINANCE(""CURRENCY:INRBRL"")*F382"),107.36130271719999)</f>
        <v>107.3613027</v>
      </c>
      <c r="J382" s="1">
        <v>4.5</v>
      </c>
      <c r="K382" s="1">
        <v>13937.0</v>
      </c>
      <c r="L382" s="1" t="s">
        <v>1357</v>
      </c>
      <c r="M382" s="6" t="s">
        <v>1532</v>
      </c>
      <c r="N382" s="7" t="str">
        <f>VLOOKUP(A382,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82" s="7" t="str">
        <f>VLOOKUP(A382,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row>
    <row r="383">
      <c r="A383" s="1" t="s">
        <v>1533</v>
      </c>
      <c r="B383" s="1" t="s">
        <v>1534</v>
      </c>
      <c r="C383" s="1" t="s">
        <v>1374</v>
      </c>
      <c r="D383" s="1" t="str">
        <f t="shared" si="2"/>
        <v>Electronics</v>
      </c>
      <c r="E383" s="1" t="str">
        <f t="shared" si="3"/>
        <v>Mobiles&amp;Accessories</v>
      </c>
      <c r="F383" s="2">
        <v>8999.0</v>
      </c>
      <c r="G383" s="2">
        <v>11999.0</v>
      </c>
      <c r="H383" s="3">
        <f t="shared" si="4"/>
        <v>0.2500208351</v>
      </c>
      <c r="I383" s="4">
        <f>IFERROR(__xludf.DUMMYFUNCTION("GOOGLEFINANCE(""CURRENCY:INRBRL"")*F383"),537.0452268772)</f>
        <v>537.0452269</v>
      </c>
      <c r="J383" s="1">
        <v>4.0</v>
      </c>
      <c r="K383" s="1">
        <v>12796.0</v>
      </c>
      <c r="L383" s="1" t="s">
        <v>1424</v>
      </c>
      <c r="M383" s="6" t="s">
        <v>1535</v>
      </c>
      <c r="N383" s="7" t="str">
        <f>VLOOKUP(A383, avaliacoes!A:G, 5, FALSE)</f>
        <v>Good.,Best at the price,Good phone,NICE,Value for money,ठीक-ठाक hai ☺️,Overall review,Good</v>
      </c>
      <c r="O383" s="7" t="str">
        <f>VLOOKUP(A383, avaliacoes!A:G, 6, FALSE)</f>
        <v>Camera and display is very poor quality and battery 🔋 is very good nothing bad,Nice phone at reasonable price.,Good,NICE,Value for money,Theek hai 🥰,Not bad,Good</v>
      </c>
    </row>
    <row r="384">
      <c r="A384" s="1" t="s">
        <v>1536</v>
      </c>
      <c r="B384" s="1" t="s">
        <v>1537</v>
      </c>
      <c r="C384" s="1" t="s">
        <v>1428</v>
      </c>
      <c r="D384" s="1" t="str">
        <f t="shared" si="2"/>
        <v>Electronics</v>
      </c>
      <c r="E384" s="1" t="str">
        <f t="shared" si="3"/>
        <v>Mobiles&amp;Accessories</v>
      </c>
      <c r="F384" s="2">
        <v>873.0</v>
      </c>
      <c r="G384" s="2">
        <v>1699.0</v>
      </c>
      <c r="H384" s="3">
        <f t="shared" si="4"/>
        <v>0.4861683343</v>
      </c>
      <c r="I384" s="4">
        <f>IFERROR(__xludf.DUMMYFUNCTION("GOOGLEFINANCE(""CURRENCY:INRBRL"")*F384"),52.0991758044)</f>
        <v>52.0991758</v>
      </c>
      <c r="J384" s="1">
        <v>4.5</v>
      </c>
      <c r="K384" s="1">
        <v>168.0</v>
      </c>
      <c r="L384" s="1" t="s">
        <v>1538</v>
      </c>
      <c r="M384" s="6" t="s">
        <v>1539</v>
      </c>
      <c r="N384" s="7" t="str">
        <f>VLOOKUP(A384, avaliacoes!A:G, 5, FALSE)</f>
        <v>Not that faster.....,Good quality product,Nice product.,Beauty and the beast,♥️👌Super fast charging, 1 hour main full charge, dono mobile hi fast charge hote hai.,Nice product,Super fast charger,Very Good!!</v>
      </c>
      <c r="O384" s="7" t="str">
        <f>VLOOKUP(A384, avaliacoes!A:G, 6, FALSE)</f>
        <v>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v>
      </c>
    </row>
    <row r="385">
      <c r="A385" s="1" t="s">
        <v>1540</v>
      </c>
      <c r="B385" s="1" t="s">
        <v>1541</v>
      </c>
      <c r="C385" s="1" t="s">
        <v>1374</v>
      </c>
      <c r="D385" s="1" t="str">
        <f t="shared" si="2"/>
        <v>Electronics</v>
      </c>
      <c r="E385" s="1" t="str">
        <f t="shared" si="3"/>
        <v>Mobiles&amp;Accessories</v>
      </c>
      <c r="F385" s="2">
        <v>12999.0</v>
      </c>
      <c r="G385" s="2">
        <v>15999.0</v>
      </c>
      <c r="H385" s="3">
        <f t="shared" si="4"/>
        <v>0.1875117195</v>
      </c>
      <c r="I385" s="4">
        <f>IFERROR(__xludf.DUMMYFUNCTION("GOOGLEFINANCE(""CURRENCY:INRBRL"")*F385"),775.7585180771999)</f>
        <v>775.7585181</v>
      </c>
      <c r="J385" s="1">
        <v>4.5</v>
      </c>
      <c r="K385" s="1">
        <v>13246.0</v>
      </c>
      <c r="L385" s="1" t="s">
        <v>1542</v>
      </c>
      <c r="M385" s="6" t="s">
        <v>1543</v>
      </c>
      <c r="N385" s="7" t="str">
        <f>VLOOKUP(A385, avaliacoes!A:G, 5, FALSE)</f>
        <v>Cons that most youtubers won't tell you,It's good,Battery is normal,Good celphone,Nice phone,Phone is good at the price range,Affordable,Multi featured mobile at economical price.</v>
      </c>
      <c r="O385" s="7" t="str">
        <f>VLOOKUP(A385, avaliacoes!A:G, 6, FALSE)</f>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v>
      </c>
    </row>
    <row r="386">
      <c r="A386" s="1" t="s">
        <v>1544</v>
      </c>
      <c r="B386" s="1" t="s">
        <v>1545</v>
      </c>
      <c r="C386" s="1" t="s">
        <v>1546</v>
      </c>
      <c r="D386" s="1" t="str">
        <f t="shared" si="2"/>
        <v>Electronics</v>
      </c>
      <c r="E386" s="1" t="str">
        <f t="shared" si="3"/>
        <v>Mobiles&amp;Accessories</v>
      </c>
      <c r="F386" s="2">
        <v>539.0</v>
      </c>
      <c r="G386" s="2">
        <v>1599.0</v>
      </c>
      <c r="H386" s="3">
        <f t="shared" si="4"/>
        <v>0.6629143215</v>
      </c>
      <c r="I386" s="4">
        <f>IFERROR(__xludf.DUMMYFUNCTION("GOOGLEFINANCE(""CURRENCY:INRBRL"")*F386"),32.1666159892)</f>
        <v>32.16661599</v>
      </c>
      <c r="J386" s="1">
        <v>4.51</v>
      </c>
      <c r="K386" s="1">
        <v>14648.0</v>
      </c>
      <c r="L386" s="1" t="s">
        <v>1547</v>
      </c>
      <c r="M386" s="6" t="s">
        <v>1548</v>
      </c>
      <c r="N386" s="7" t="str">
        <f>VLOOKUP(A386, avaliacoes!A:G, 5, FALSE)</f>
        <v>Do not waste your money!,stable only till half opening, battery cost is very high (2 batteries cost the same as selfie stick),light weight and useful gadget for a family to have cool pictures,The length of the selfie stick should be more.,Good,Superb,Nice product,Good product</v>
      </c>
      <c r="O386" s="7" t="str">
        <f>VLOOKUP(A386, avaliacoes!A:G, 6, FALSE)</f>
        <v>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v>
      </c>
    </row>
    <row r="387">
      <c r="A387" s="1" t="s">
        <v>1549</v>
      </c>
      <c r="B387" s="1" t="s">
        <v>1360</v>
      </c>
      <c r="C387" s="1" t="s">
        <v>1356</v>
      </c>
      <c r="D387" s="1" t="str">
        <f t="shared" si="2"/>
        <v>Electronics</v>
      </c>
      <c r="E387" s="1" t="str">
        <f t="shared" si="3"/>
        <v>WearableTechnology</v>
      </c>
      <c r="F387" s="2">
        <v>1999.0</v>
      </c>
      <c r="G387" s="2">
        <v>9999.0</v>
      </c>
      <c r="H387" s="3">
        <f t="shared" si="4"/>
        <v>0.800080008</v>
      </c>
      <c r="I387" s="4">
        <f>IFERROR(__xludf.DUMMYFUNCTION("GOOGLEFINANCE(""CURRENCY:INRBRL"")*F387"),119.2969672772)</f>
        <v>119.2969673</v>
      </c>
      <c r="J387" s="1">
        <v>4.5</v>
      </c>
      <c r="K387" s="1">
        <v>27696.0</v>
      </c>
      <c r="L387" s="1" t="s">
        <v>1550</v>
      </c>
      <c r="M387" s="6" t="s">
        <v>1551</v>
      </c>
      <c r="N387" s="7" t="str">
        <f>VLOOKUP(A387, avaliacoes!A:G, 5, FALSE)</f>
        <v>7-8/10, Decent, good for day to day use,Good choice under budget of Rs2000,Average product.,Budget friendly,Overall it's a good watch,Good product,Best in design, accuracy and looks fancy. A must buy for every person who is watch enthusiast.,Having a great experience</v>
      </c>
      <c r="O387" s="7" t="str">
        <f>VLOOKUP(A387, avaliacoes!A:G,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row>
    <row r="388">
      <c r="A388" s="1" t="s">
        <v>1552</v>
      </c>
      <c r="B388" s="1" t="s">
        <v>1553</v>
      </c>
      <c r="C388" s="1" t="s">
        <v>1374</v>
      </c>
      <c r="D388" s="1" t="str">
        <f t="shared" si="2"/>
        <v>Electronics</v>
      </c>
      <c r="E388" s="1" t="str">
        <f t="shared" si="3"/>
        <v>Mobiles&amp;Accessories</v>
      </c>
      <c r="F388" s="2">
        <v>15490.0</v>
      </c>
      <c r="G388" s="2">
        <v>20990.0</v>
      </c>
      <c r="H388" s="3">
        <f t="shared" si="4"/>
        <v>0.2620295379</v>
      </c>
      <c r="I388" s="4">
        <f>IFERROR(__xludf.DUMMYFUNCTION("GOOGLEFINANCE(""CURRENCY:INRBRL"")*F388"),924.4172201719999)</f>
        <v>924.4172202</v>
      </c>
      <c r="J388" s="1">
        <v>4.5</v>
      </c>
      <c r="K388" s="1">
        <v>32916.0</v>
      </c>
      <c r="L388" s="1" t="s">
        <v>1554</v>
      </c>
      <c r="M388" s="6" t="s">
        <v>1555</v>
      </c>
      <c r="N388" s="7" t="str">
        <f>VLOOKUP(A388, avaliacoes!A:G, 5, FALSE)</f>
        <v>Good,Amazing phone,Nice mobile ... But Amazon very low service.. every product,Value for money,Good prpduct,Good,Overal a good product,Best phone in this range</v>
      </c>
      <c r="O388" s="7" t="str">
        <f>VLOOKUP(A388, avaliacoes!A:G, 6, FALSE)</f>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v>
      </c>
    </row>
    <row r="389">
      <c r="A389" s="1" t="s">
        <v>1556</v>
      </c>
      <c r="B389" s="1" t="s">
        <v>1557</v>
      </c>
      <c r="C389" s="1" t="s">
        <v>1374</v>
      </c>
      <c r="D389" s="1" t="str">
        <f t="shared" si="2"/>
        <v>Electronics</v>
      </c>
      <c r="E389" s="1" t="str">
        <f t="shared" si="3"/>
        <v>Mobiles&amp;Accessories</v>
      </c>
      <c r="F389" s="2">
        <v>19999.0</v>
      </c>
      <c r="G389" s="2">
        <v>24999.0</v>
      </c>
      <c r="H389" s="3">
        <f t="shared" si="4"/>
        <v>0.2000080003</v>
      </c>
      <c r="I389" s="4">
        <f>IFERROR(__xludf.DUMMYFUNCTION("GOOGLEFINANCE(""CURRENCY:INRBRL"")*F389"),1193.5067776771998)</f>
        <v>1193.506778</v>
      </c>
      <c r="J389" s="1">
        <v>4.52</v>
      </c>
      <c r="K389" s="1">
        <v>25824.0</v>
      </c>
      <c r="L389" s="1" t="s">
        <v>1558</v>
      </c>
      <c r="M389" s="6" t="s">
        <v>1559</v>
      </c>
      <c r="N389" s="7" t="str">
        <f>VLOOKUP(A389, avaliacoes!A:G, 5, FALSE)</f>
        <v>Solid phone, worth considering,Good Phone,Overall decent product,Apart from the camera everything is fine,Product is good,Honest Review after 14 days usage,Superb but need improvement in camera,Best camera</v>
      </c>
      <c r="O389" s="7" t="str">
        <f>VLOOKUP(A389, avaliacoes!A:G,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row>
    <row r="390">
      <c r="A390" s="1" t="s">
        <v>1560</v>
      </c>
      <c r="B390" s="1" t="s">
        <v>1561</v>
      </c>
      <c r="C390" s="1" t="s">
        <v>1456</v>
      </c>
      <c r="D390" s="1" t="str">
        <f t="shared" si="2"/>
        <v>Electronics</v>
      </c>
      <c r="E390" s="1" t="str">
        <f t="shared" si="3"/>
        <v>Mobiles&amp;Accessories</v>
      </c>
      <c r="F390" s="2">
        <v>1075.0</v>
      </c>
      <c r="G390" s="2">
        <v>1699.0</v>
      </c>
      <c r="H390" s="3">
        <f t="shared" si="4"/>
        <v>0.3672748676</v>
      </c>
      <c r="I390" s="4">
        <f>IFERROR(__xludf.DUMMYFUNCTION("GOOGLEFINANCE(""CURRENCY:INRBRL"")*F390"),64.15419700999999)</f>
        <v>64.15419701</v>
      </c>
      <c r="J390" s="1">
        <v>4.5</v>
      </c>
      <c r="K390" s="1">
        <v>7462.0</v>
      </c>
      <c r="L390" s="1" t="s">
        <v>1562</v>
      </c>
      <c r="M390" s="6" t="s">
        <v>1563</v>
      </c>
      <c r="N390" s="7" t="str">
        <f>VLOOKUP(A390, avaliacoes!A:G, 5, FALSE)</f>
        <v>Not same as original!,Good product,Original charger,Good,Good indeed,Good item,Authentic Samsung 25W type C fast charger,Good product</v>
      </c>
      <c r="O390" s="7" t="str">
        <f>VLOOKUP(A390, avaliacoes!A:G, 6, FALSE)</f>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v>
      </c>
    </row>
    <row r="391">
      <c r="A391" s="1" t="s">
        <v>1564</v>
      </c>
      <c r="B391" s="1" t="s">
        <v>1565</v>
      </c>
      <c r="C391" s="1" t="s">
        <v>1411</v>
      </c>
      <c r="D391" s="1" t="str">
        <f t="shared" si="2"/>
        <v>Electronics</v>
      </c>
      <c r="E391" s="1" t="str">
        <f t="shared" si="3"/>
        <v>Headphones,Earbuds&amp;Accessories</v>
      </c>
      <c r="F391" s="2">
        <v>399.0</v>
      </c>
      <c r="G391" s="2">
        <v>699.0</v>
      </c>
      <c r="H391" s="3">
        <f t="shared" si="4"/>
        <v>0.4291845494</v>
      </c>
      <c r="I391" s="4">
        <f>IFERROR(__xludf.DUMMYFUNCTION("GOOGLEFINANCE(""CURRENCY:INRBRL"")*F391"),23.8116507972)</f>
        <v>23.8116508</v>
      </c>
      <c r="J391" s="1">
        <v>4.0</v>
      </c>
      <c r="K391" s="1">
        <v>37817.0</v>
      </c>
      <c r="L391" s="1" t="s">
        <v>1566</v>
      </c>
      <c r="M391" s="6" t="s">
        <v>1567</v>
      </c>
      <c r="N391" s="7" t="str">
        <f>VLOOKUP(A391, avaliacoes!A:G, 5, FALSE)</f>
        <v>Value-for-money,Worth to buy,Good product bass bhi achha hai,This is AWESOME,Nice earphone, India should also make like this,Good earphone comfortable feel, microphones, sound, calling.,It’s good build quality,I just love this. Amezing sound quality</v>
      </c>
      <c r="O391" s="7" t="str">
        <f>VLOOKUP(A391, avaliacoes!A:G, 6, FALSE)</f>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v>
      </c>
    </row>
    <row r="392">
      <c r="A392" s="1" t="s">
        <v>1568</v>
      </c>
      <c r="B392" s="1" t="s">
        <v>1569</v>
      </c>
      <c r="C392" s="1" t="s">
        <v>1356</v>
      </c>
      <c r="D392" s="1" t="str">
        <f t="shared" si="2"/>
        <v>Electronics</v>
      </c>
      <c r="E392" s="1" t="str">
        <f t="shared" si="3"/>
        <v>WearableTechnology</v>
      </c>
      <c r="F392" s="2">
        <v>1999.0</v>
      </c>
      <c r="G392" s="2">
        <v>3990.0</v>
      </c>
      <c r="H392" s="3">
        <f t="shared" si="4"/>
        <v>0.4989974937</v>
      </c>
      <c r="I392" s="4">
        <f>IFERROR(__xludf.DUMMYFUNCTION("GOOGLEFINANCE(""CURRENCY:INRBRL"")*F392"),119.2969672772)</f>
        <v>119.2969673</v>
      </c>
      <c r="J392" s="1">
        <v>4.0</v>
      </c>
      <c r="K392" s="1">
        <v>30254.0</v>
      </c>
      <c r="L392" s="1" t="s">
        <v>1570</v>
      </c>
      <c r="M392" s="6" t="s">
        <v>1571</v>
      </c>
      <c r="N392" s="7" t="str">
        <f>VLOOKUP(A392, avaliacoes!A:G, 5, FALSE)</f>
        <v>Ranjitha,Good one,Best One!!!,Good and average usage,IT'S BEEN GOOD,Good,Noise,Overall good product</v>
      </c>
      <c r="O392" s="7" t="str">
        <f>VLOOKUP(A392, avaliacoes!A:G,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row>
    <row r="393">
      <c r="A393" s="1" t="s">
        <v>1572</v>
      </c>
      <c r="B393" s="1" t="s">
        <v>1573</v>
      </c>
      <c r="C393" s="1" t="s">
        <v>1356</v>
      </c>
      <c r="D393" s="1" t="str">
        <f t="shared" si="2"/>
        <v>Electronics</v>
      </c>
      <c r="E393" s="1" t="str">
        <f t="shared" si="3"/>
        <v>WearableTechnology</v>
      </c>
      <c r="F393" s="2">
        <v>1999.0</v>
      </c>
      <c r="G393" s="2">
        <v>7990.0</v>
      </c>
      <c r="H393" s="3">
        <f t="shared" si="4"/>
        <v>0.7498122653</v>
      </c>
      <c r="I393" s="4">
        <f>IFERROR(__xludf.DUMMYFUNCTION("GOOGLEFINANCE(""CURRENCY:INRBRL"")*F393"),119.2969672772)</f>
        <v>119.2969673</v>
      </c>
      <c r="J393" s="1">
        <v>4.51</v>
      </c>
      <c r="K393" s="1">
        <v>17831.0</v>
      </c>
      <c r="L393" s="1" t="s">
        <v>1365</v>
      </c>
      <c r="M393" s="6" t="s">
        <v>1574</v>
      </c>
      <c r="N393" s="7" t="str">
        <f>VLOOKUP(A393, avaliacoes!A:G, 5, FALSE)</f>
        <v>Not Polished Enough. (Improving with updates),Best for the budget 👍,Value of money,nice product,Good product,Super value for money,Awesome product,Product itv</v>
      </c>
      <c r="O393" s="7" t="str">
        <f>VLOOKUP(A393,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row>
    <row r="394">
      <c r="A394" s="1" t="s">
        <v>32</v>
      </c>
      <c r="B394" s="1" t="s">
        <v>33</v>
      </c>
      <c r="C394" s="1" t="s">
        <v>21</v>
      </c>
      <c r="D394" s="1" t="str">
        <f t="shared" si="2"/>
        <v>Computers&amp;Accessories</v>
      </c>
      <c r="E394" s="1" t="str">
        <f t="shared" si="3"/>
        <v>Accessories&amp;Peripherals</v>
      </c>
      <c r="F394" s="2">
        <v>329.0</v>
      </c>
      <c r="G394" s="2">
        <v>699.0</v>
      </c>
      <c r="H394" s="3">
        <f t="shared" si="4"/>
        <v>0.5293276109</v>
      </c>
      <c r="I394" s="4">
        <f>IFERROR(__xludf.DUMMYFUNCTION("GOOGLEFINANCE(""CURRENCY:INRBRL"")*F394"),19.634168201199998)</f>
        <v>19.6341682</v>
      </c>
      <c r="J394" s="1">
        <v>4.5</v>
      </c>
      <c r="K394" s="1">
        <v>94364.0</v>
      </c>
      <c r="L394" s="1" t="s">
        <v>34</v>
      </c>
      <c r="M394" s="6" t="s">
        <v>1575</v>
      </c>
      <c r="N394" s="7" t="str">
        <f>VLOOKUP(A394, avaliacoes!A:G, 5, FALSE)</f>
        <v>Good product,Good one,Nice,Really nice product,Very first time change,Good,Fine product but could be better,Very nice it's charging like jet</v>
      </c>
      <c r="O394" s="7" t="str">
        <f>VLOOKUP(A394,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row>
    <row r="395">
      <c r="A395" s="1" t="s">
        <v>36</v>
      </c>
      <c r="B395" s="1" t="s">
        <v>37</v>
      </c>
      <c r="C395" s="1" t="s">
        <v>21</v>
      </c>
      <c r="D395" s="1" t="str">
        <f t="shared" si="2"/>
        <v>Computers&amp;Accessories</v>
      </c>
      <c r="E395" s="1" t="str">
        <f t="shared" si="3"/>
        <v>Accessories&amp;Peripherals</v>
      </c>
      <c r="F395" s="2">
        <v>154.0</v>
      </c>
      <c r="G395" s="2">
        <v>399.0</v>
      </c>
      <c r="H395" s="3">
        <f t="shared" si="4"/>
        <v>0.6140350877</v>
      </c>
      <c r="I395" s="4">
        <f>IFERROR(__xludf.DUMMYFUNCTION("GOOGLEFINANCE(""CURRENCY:INRBRL"")*F395"),9.1904617112)</f>
        <v>9.190461711</v>
      </c>
      <c r="J395" s="1">
        <v>4.5</v>
      </c>
      <c r="K395" s="1">
        <v>16905.0</v>
      </c>
      <c r="L395" s="1" t="s">
        <v>38</v>
      </c>
      <c r="M395" s="6" t="s">
        <v>1576</v>
      </c>
      <c r="N395" s="7" t="str">
        <f>VLOOKUP(A395, avaliacoes!A:G, 5, FALSE)</f>
        <v>As good as original,Decent,Good one for secondary use,Best quality,GOOD,Amazing product at a mind blowing price!,Nice Quality,Good product</v>
      </c>
      <c r="O395" s="7" t="str">
        <f>VLOOKUP(A395, avaliacoes!A:G,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row>
    <row r="396">
      <c r="A396" s="1" t="s">
        <v>1577</v>
      </c>
      <c r="B396" s="1" t="s">
        <v>1578</v>
      </c>
      <c r="C396" s="1" t="s">
        <v>1374</v>
      </c>
      <c r="D396" s="1" t="str">
        <f t="shared" si="2"/>
        <v>Electronics</v>
      </c>
      <c r="E396" s="1" t="str">
        <f t="shared" si="3"/>
        <v>Mobiles&amp;Accessories</v>
      </c>
      <c r="F396" s="2">
        <v>28999.0</v>
      </c>
      <c r="G396" s="2">
        <v>34999.0</v>
      </c>
      <c r="H396" s="3">
        <f t="shared" si="4"/>
        <v>0.1714334695</v>
      </c>
      <c r="I396" s="4">
        <f>IFERROR(__xludf.DUMMYFUNCTION("GOOGLEFINANCE(""CURRENCY:INRBRL"")*F396"),1730.6116828771999)</f>
        <v>1730.611683</v>
      </c>
      <c r="J396" s="1">
        <v>4.5</v>
      </c>
      <c r="K396" s="1">
        <v>20311.0</v>
      </c>
      <c r="L396" s="1" t="s">
        <v>1579</v>
      </c>
      <c r="M396" s="6" t="s">
        <v>1580</v>
      </c>
      <c r="N396" s="7" t="str">
        <f>VLOOKUP(A396, avaliacoes!A:G, 5, FALSE)</f>
        <v>Let's bust some myth,IQOO Neo 6 5G – A midrange model that offers virtually everything I want</v>
      </c>
      <c r="O396" s="7" t="str">
        <f>VLOOKUP(A396, avaliacoes!A:G, 6, FALSE)</f>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v>
      </c>
    </row>
    <row r="397">
      <c r="A397" s="1" t="s">
        <v>1581</v>
      </c>
      <c r="B397" s="1" t="s">
        <v>1582</v>
      </c>
      <c r="C397" s="1" t="s">
        <v>1356</v>
      </c>
      <c r="D397" s="1" t="str">
        <f t="shared" si="2"/>
        <v>Electronics</v>
      </c>
      <c r="E397" s="1" t="str">
        <f t="shared" si="3"/>
        <v>WearableTechnology</v>
      </c>
      <c r="F397" s="2">
        <v>2299.0</v>
      </c>
      <c r="G397" s="2">
        <v>7999.0</v>
      </c>
      <c r="H397" s="3">
        <f t="shared" si="4"/>
        <v>0.7125890736</v>
      </c>
      <c r="I397" s="4">
        <f>IFERROR(__xludf.DUMMYFUNCTION("GOOGLEFINANCE(""CURRENCY:INRBRL"")*F397"),137.2004641172)</f>
        <v>137.2004641</v>
      </c>
      <c r="J397" s="1">
        <v>4.5</v>
      </c>
      <c r="K397" s="1">
        <v>69622.0</v>
      </c>
      <c r="L397" s="1" t="s">
        <v>1583</v>
      </c>
      <c r="M397" s="6" t="s">
        <v>1584</v>
      </c>
      <c r="N397" s="7" t="str">
        <f>VLOOKUP(A397, avaliacoes!A:G, 5, FALSE)</f>
        <v>Best Budget watch,MERA WAQT BADAL KE RAKH DIYA!!,Nice product and user friendly compare to other smart watch,Nice watch...,Vikas,Nice,Not worth it,Grt</v>
      </c>
      <c r="O397" s="7" t="str">
        <f>VLOOKUP(A397, avaliacoes!A:G, 6, FALSE)</f>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v>
      </c>
    </row>
    <row r="398">
      <c r="A398" s="1" t="s">
        <v>1585</v>
      </c>
      <c r="B398" s="1" t="s">
        <v>1586</v>
      </c>
      <c r="C398" s="1" t="s">
        <v>1587</v>
      </c>
      <c r="D398" s="1" t="str">
        <f t="shared" si="2"/>
        <v>Electronics</v>
      </c>
      <c r="E398" s="1" t="str">
        <f t="shared" si="3"/>
        <v>Mobiles&amp;Accessories</v>
      </c>
      <c r="F398" s="2">
        <v>399.0</v>
      </c>
      <c r="G398" s="2">
        <v>1999.0</v>
      </c>
      <c r="H398" s="3">
        <f t="shared" si="4"/>
        <v>0.8004002001</v>
      </c>
      <c r="I398" s="4">
        <f>IFERROR(__xludf.DUMMYFUNCTION("GOOGLEFINANCE(""CURRENCY:INRBRL"")*F398"),23.8116507972)</f>
        <v>23.8116508</v>
      </c>
      <c r="J398" s="1">
        <v>4.0</v>
      </c>
      <c r="K398" s="1">
        <v>3382.0</v>
      </c>
      <c r="L398" s="1" t="s">
        <v>1588</v>
      </c>
      <c r="M398" s="6" t="s">
        <v>1589</v>
      </c>
      <c r="N398" s="7" t="str">
        <f>VLOOKUP(A398, avaliacoes!A:G, 5, FALSE)</f>
        <v>Value for Money,After 1 month usage review,Good product,Product is good and light weight.,Good product,Nice product.Bluetooth option Is good,Can go for it, not much stable but a decent product,Seems to be a good product by first use</v>
      </c>
      <c r="O398" s="7" t="str">
        <f>VLOOKUP(A398, avaliacoes!A:G, 6, FALSE)</f>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v>
      </c>
    </row>
    <row r="399">
      <c r="A399" s="1" t="s">
        <v>1590</v>
      </c>
      <c r="B399" s="1" t="s">
        <v>1591</v>
      </c>
      <c r="C399" s="1" t="s">
        <v>1393</v>
      </c>
      <c r="D399" s="1" t="str">
        <f t="shared" si="2"/>
        <v>Electronics</v>
      </c>
      <c r="E399" s="1" t="str">
        <f t="shared" si="3"/>
        <v>Accessories</v>
      </c>
      <c r="F399" s="2">
        <v>1149.0</v>
      </c>
      <c r="G399" s="2">
        <v>3999.0</v>
      </c>
      <c r="H399" s="3">
        <f t="shared" si="4"/>
        <v>0.7126781695</v>
      </c>
      <c r="I399" s="4">
        <f>IFERROR(__xludf.DUMMYFUNCTION("GOOGLEFINANCE(""CURRENCY:INRBRL"")*F399"),68.5703928972)</f>
        <v>68.5703929</v>
      </c>
      <c r="J399" s="1">
        <v>4.5</v>
      </c>
      <c r="K399" s="1">
        <v>140036.0</v>
      </c>
      <c r="L399" s="1" t="s">
        <v>1592</v>
      </c>
      <c r="M399" s="6" t="s">
        <v>1593</v>
      </c>
      <c r="N399" s="7" t="str">
        <f>VLOOKUP(A399, avaliacoes!A:G, 5, FALSE)</f>
        <v>Good deal,Looking is fake product... Storage capacity 58gb.. Menstion64gb.,A nice gadget.,Nice and good,Trusted brand,with adapter!,I liked it's performance and quality.,Good quality,Worth it</v>
      </c>
      <c r="O399" s="7" t="str">
        <f>VLOOKUP(A399, avaliacoes!A:G,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row>
    <row r="400">
      <c r="A400" s="1" t="s">
        <v>1594</v>
      </c>
      <c r="B400" s="1" t="s">
        <v>1595</v>
      </c>
      <c r="C400" s="1" t="s">
        <v>1456</v>
      </c>
      <c r="D400" s="1" t="str">
        <f t="shared" si="2"/>
        <v>Electronics</v>
      </c>
      <c r="E400" s="1" t="str">
        <f t="shared" si="3"/>
        <v>Mobiles&amp;Accessories</v>
      </c>
      <c r="F400" s="2">
        <v>529.0</v>
      </c>
      <c r="G400" s="2">
        <v>1499.0</v>
      </c>
      <c r="H400" s="3">
        <f t="shared" si="4"/>
        <v>0.6470980654</v>
      </c>
      <c r="I400" s="4">
        <f>IFERROR(__xludf.DUMMYFUNCTION("GOOGLEFINANCE(""CURRENCY:INRBRL"")*F400"),31.569832761199997)</f>
        <v>31.56983276</v>
      </c>
      <c r="J400" s="1">
        <v>4.49</v>
      </c>
      <c r="K400" s="1">
        <v>8599.0</v>
      </c>
      <c r="L400" s="1" t="s">
        <v>1596</v>
      </c>
      <c r="M400" s="6" t="s">
        <v>1597</v>
      </c>
      <c r="N400" s="7" t="str">
        <f>VLOOKUP(A400, avaliacoes!A:G, 5, FALSE)</f>
        <v>Durability,Best one,Quality Product,Trustworthy Product,good,Good product in budget. Go for this adaptor,Good quality product,Good one working perfectly</v>
      </c>
      <c r="O400" s="7" t="str">
        <f>VLOOKUP(A400, avaliacoes!A:G, 6, FALSE)</f>
        <v>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v>
      </c>
    </row>
    <row r="401">
      <c r="A401" s="1" t="s">
        <v>1598</v>
      </c>
      <c r="B401" s="1" t="s">
        <v>1599</v>
      </c>
      <c r="C401" s="1" t="s">
        <v>1374</v>
      </c>
      <c r="D401" s="1" t="str">
        <f t="shared" si="2"/>
        <v>Electronics</v>
      </c>
      <c r="E401" s="1" t="str">
        <f t="shared" si="3"/>
        <v>Mobiles&amp;Accessories</v>
      </c>
      <c r="F401" s="2">
        <v>13999.0</v>
      </c>
      <c r="G401" s="2">
        <v>19499.0</v>
      </c>
      <c r="H401" s="3">
        <f t="shared" si="4"/>
        <v>0.282065747</v>
      </c>
      <c r="I401" s="4">
        <f>IFERROR(__xludf.DUMMYFUNCTION("GOOGLEFINANCE(""CURRENCY:INRBRL"")*F401"),835.4368408772)</f>
        <v>835.4368409</v>
      </c>
      <c r="J401" s="1">
        <v>4.49</v>
      </c>
      <c r="K401" s="1">
        <v>18998.0</v>
      </c>
      <c r="L401" s="1" t="s">
        <v>1600</v>
      </c>
      <c r="M401" s="6" t="s">
        <v>1601</v>
      </c>
      <c r="N401" s="7" t="str">
        <f>VLOOKUP(A401, avaliacoes!A:G, 5, FALSE)</f>
        <v>Phone, camera, heating - works for me, may not for all,Good Mobile,Good but not excellent under this budget,Worth the price at 9499,Ok type phone... but unable to make videocall within same service provider.,Phone review,Budget king,Battery backup is good</v>
      </c>
      <c r="O401" s="7" t="str">
        <f>VLOOKUP(A401,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row>
    <row r="402">
      <c r="A402" s="1" t="s">
        <v>1602</v>
      </c>
      <c r="B402" s="1" t="s">
        <v>1603</v>
      </c>
      <c r="C402" s="1" t="s">
        <v>1411</v>
      </c>
      <c r="D402" s="1" t="str">
        <f t="shared" si="2"/>
        <v>Electronics</v>
      </c>
      <c r="E402" s="1" t="str">
        <f t="shared" si="3"/>
        <v>Headphones,Earbuds&amp;Accessories</v>
      </c>
      <c r="F402" s="2">
        <v>379.0</v>
      </c>
      <c r="G402" s="2">
        <v>999.0</v>
      </c>
      <c r="H402" s="3">
        <f t="shared" si="4"/>
        <v>0.6206206206</v>
      </c>
      <c r="I402" s="4">
        <f>IFERROR(__xludf.DUMMYFUNCTION("GOOGLEFINANCE(""CURRENCY:INRBRL"")*F402"),22.6180843412)</f>
        <v>22.61808434</v>
      </c>
      <c r="J402" s="1">
        <v>4.49</v>
      </c>
      <c r="K402" s="1">
        <v>363713.0</v>
      </c>
      <c r="L402" s="1" t="s">
        <v>1604</v>
      </c>
      <c r="M402" s="6" t="s">
        <v>1605</v>
      </c>
      <c r="N402" s="7" t="str">
        <f>VLOOKUP(A402, avaliacoes!A:G, 5, FALSE)</f>
        <v>Best value for money,HEAD PHONE POUCH NOT RECEIVED,Overall good in this pricerange,It's not working in my Phone properly Plz help me in exchange or return, I ll be thankful to you,Worth the money 🤑,Best,Nice sound,Wonderful product</v>
      </c>
      <c r="O402" s="7" t="str">
        <f>VLOOKUP(A402, avaliacoes!A:G,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row>
    <row r="403">
      <c r="A403" s="1" t="s">
        <v>1606</v>
      </c>
      <c r="B403" s="1" t="s">
        <v>1607</v>
      </c>
      <c r="C403" s="1" t="s">
        <v>1374</v>
      </c>
      <c r="D403" s="1" t="str">
        <f t="shared" si="2"/>
        <v>Electronics</v>
      </c>
      <c r="E403" s="1" t="str">
        <f t="shared" si="3"/>
        <v>Mobiles&amp;Accessories</v>
      </c>
      <c r="F403" s="2">
        <v>13999.0</v>
      </c>
      <c r="G403" s="2">
        <v>19999.0</v>
      </c>
      <c r="H403" s="3">
        <f t="shared" si="4"/>
        <v>0.3000150008</v>
      </c>
      <c r="I403" s="4">
        <f>IFERROR(__xludf.DUMMYFUNCTION("GOOGLEFINANCE(""CURRENCY:INRBRL"")*F403"),835.4368408772)</f>
        <v>835.4368409</v>
      </c>
      <c r="J403" s="1">
        <v>4.49</v>
      </c>
      <c r="K403" s="1">
        <v>19252.0</v>
      </c>
      <c r="L403" s="1" t="s">
        <v>1608</v>
      </c>
      <c r="M403" s="6" t="s">
        <v>1609</v>
      </c>
      <c r="N403" s="7" t="str">
        <f>VLOOKUP(A403, avaliacoes!A:G, 5, FALSE)</f>
        <v>Above average phone,Worth For The Money 💰,Okie,Phone is excellent,Purchased in good budget at 12k,It can fulfill basic needs in affordable price range,Nice,About features</v>
      </c>
      <c r="O403" s="7" t="str">
        <f>VLOOKUP(A403,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row>
    <row r="404">
      <c r="A404" s="1" t="s">
        <v>1610</v>
      </c>
      <c r="B404" s="1" t="s">
        <v>1611</v>
      </c>
      <c r="C404" s="1" t="s">
        <v>1356</v>
      </c>
      <c r="D404" s="1" t="str">
        <f t="shared" si="2"/>
        <v>Electronics</v>
      </c>
      <c r="E404" s="1" t="str">
        <f t="shared" si="3"/>
        <v>WearableTechnology</v>
      </c>
      <c r="F404" s="2">
        <v>3999.0</v>
      </c>
      <c r="G404" s="2">
        <v>9999.0</v>
      </c>
      <c r="H404" s="3">
        <f t="shared" si="4"/>
        <v>0.600060006</v>
      </c>
      <c r="I404" s="4">
        <f>IFERROR(__xludf.DUMMYFUNCTION("GOOGLEFINANCE(""CURRENCY:INRBRL"")*F404"),238.65361287719998)</f>
        <v>238.6536129</v>
      </c>
      <c r="J404" s="1">
        <v>4.5</v>
      </c>
      <c r="K404" s="1">
        <v>73.0</v>
      </c>
      <c r="L404" s="1" t="s">
        <v>1612</v>
      </c>
      <c r="M404" s="6" t="s">
        <v>1613</v>
      </c>
      <c r="N404" s="7" t="str">
        <f>VLOOKUP(A404, avaliacoes!A:G, 5, FALSE)</f>
        <v>Good smart watch of the Year 2023,Value for money,Best product at the price group,Best smartwatch under Rs 4000,Amazing product under 3k,Best in segment smartwatch.,Need to update app,Worthy of money</v>
      </c>
      <c r="O404" s="7" t="str">
        <f>VLOOKUP(A404, avaliacoes!A:G, 6, FALSE)</f>
        <v>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v>
      </c>
    </row>
    <row r="405">
      <c r="A405" s="1" t="s">
        <v>40</v>
      </c>
      <c r="B405" s="1" t="s">
        <v>41</v>
      </c>
      <c r="C405" s="1" t="s">
        <v>21</v>
      </c>
      <c r="D405" s="1" t="str">
        <f t="shared" si="2"/>
        <v>Computers&amp;Accessories</v>
      </c>
      <c r="E405" s="1" t="str">
        <f t="shared" si="3"/>
        <v>Accessories&amp;Peripherals</v>
      </c>
      <c r="F405" s="2">
        <v>149.0</v>
      </c>
      <c r="G405" s="2">
        <v>1000.0</v>
      </c>
      <c r="H405" s="3">
        <f t="shared" si="4"/>
        <v>0.851</v>
      </c>
      <c r="I405" s="4">
        <f>IFERROR(__xludf.DUMMYFUNCTION("GOOGLEFINANCE(""CURRENCY:INRBRL"")*F405"),8.8920700972)</f>
        <v>8.892070097</v>
      </c>
      <c r="J405" s="1">
        <v>4.52</v>
      </c>
      <c r="K405" s="1">
        <v>2487.0</v>
      </c>
      <c r="L405" s="1" t="s">
        <v>42</v>
      </c>
      <c r="M405" s="6" t="s">
        <v>1614</v>
      </c>
      <c r="N405" s="7" t="str">
        <f>VLOOKUP(A405, avaliacoes!A:G, 5, FALSE)</f>
        <v>It's pretty good,Average quality,very good and useful usb cable,Good USB cable. My experience was very good it is long lasting,Good,Nice product and useful,-,Sturdy but does not support 33w charging</v>
      </c>
      <c r="O405" s="7" t="str">
        <f>VLOOKUP(A405, avaliacoes!A:G, 6, FALSE)</f>
        <v>It's a good product.,Like,Very good item strong and useful USB cableValue for moneyThanks to amazon and producer,https://m.media-amazon.com/images/I/51112ZRE-1L._SY88.jpg,Good,Nice product and useful product,-,Sturdy but does not support 33w charging</v>
      </c>
    </row>
    <row r="406">
      <c r="A406" s="1" t="s">
        <v>1615</v>
      </c>
      <c r="B406" s="1" t="s">
        <v>1616</v>
      </c>
      <c r="C406" s="1" t="s">
        <v>1617</v>
      </c>
      <c r="D406" s="1" t="str">
        <f t="shared" si="2"/>
        <v>Electronics</v>
      </c>
      <c r="E406" s="1" t="str">
        <f t="shared" si="3"/>
        <v>Mobiles&amp;Accessories</v>
      </c>
      <c r="F406" s="2">
        <v>99.0</v>
      </c>
      <c r="G406" s="2">
        <v>499.0</v>
      </c>
      <c r="H406" s="3">
        <f t="shared" si="4"/>
        <v>0.8016032064</v>
      </c>
      <c r="I406" s="4">
        <f>IFERROR(__xludf.DUMMYFUNCTION("GOOGLEFINANCE(""CURRENCY:INRBRL"")*F406"),5.9081539572)</f>
        <v>5.908153957</v>
      </c>
      <c r="J406" s="1">
        <v>4.5</v>
      </c>
      <c r="K406" s="1">
        <v>42641.0</v>
      </c>
      <c r="L406" s="1" t="s">
        <v>1618</v>
      </c>
      <c r="M406" s="6" t="s">
        <v>1619</v>
      </c>
      <c r="N406" s="7" t="str">
        <f>VLOOKUP(A406, avaliacoes!A:G, 5, FALSE)</f>
        <v>Good Stand For Mobiles !,Nice produt,Useful,Affordable and Nicee,Good for the price,Value for money, write product.,Best thing that you need to buy if you have Mobile or tablet...😃,Value for money</v>
      </c>
      <c r="O406" s="7" t="str">
        <f>VLOOKUP(A406, avaliacoes!A:G, 6, FALSE)</f>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v>
      </c>
    </row>
    <row r="407">
      <c r="A407" s="1" t="s">
        <v>1620</v>
      </c>
      <c r="B407" s="1" t="s">
        <v>1621</v>
      </c>
      <c r="C407" s="1" t="s">
        <v>1411</v>
      </c>
      <c r="D407" s="1" t="str">
        <f t="shared" si="2"/>
        <v>Electronics</v>
      </c>
      <c r="E407" s="1" t="str">
        <f t="shared" si="3"/>
        <v>Headphones,Earbuds&amp;Accessories</v>
      </c>
      <c r="F407" s="2">
        <v>4790.0</v>
      </c>
      <c r="G407" s="2">
        <v>15990.0</v>
      </c>
      <c r="H407" s="3">
        <f t="shared" si="4"/>
        <v>0.7004377736</v>
      </c>
      <c r="I407" s="4">
        <f>IFERROR(__xludf.DUMMYFUNCTION("GOOGLEFINANCE(""CURRENCY:INRBRL"")*F407"),285.859166212)</f>
        <v>285.8591662</v>
      </c>
      <c r="J407" s="1">
        <v>4.0</v>
      </c>
      <c r="K407" s="1">
        <v>439.0</v>
      </c>
      <c r="L407" s="1" t="s">
        <v>1622</v>
      </c>
      <c r="M407" s="6" t="s">
        <v>1623</v>
      </c>
      <c r="N407" s="7" t="str">
        <f>VLOOKUP(A407, avaliacoes!A:G, 5, FALSE)</f>
        <v>Little above average Earbuds,Buds i love,Unique form factor,Best call quality ear buds,Good but is it worth it,Bluetooth range not that good,Excellent sounding pair of earbuds with one fatal flaw,Bluetooth connectivity is not upto the mark</v>
      </c>
      <c r="O407" s="7" t="str">
        <f>VLOOKUP(A407, avaliacoes!A:G, 6, FALSE)</f>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v>
      </c>
    </row>
    <row r="408">
      <c r="A408" s="1" t="s">
        <v>1624</v>
      </c>
      <c r="B408" s="1" t="s">
        <v>1625</v>
      </c>
      <c r="C408" s="1" t="s">
        <v>1374</v>
      </c>
      <c r="D408" s="1" t="str">
        <f t="shared" si="2"/>
        <v>Electronics</v>
      </c>
      <c r="E408" s="1" t="str">
        <f t="shared" si="3"/>
        <v>Mobiles&amp;Accessories</v>
      </c>
      <c r="F408" s="2">
        <v>33999.0</v>
      </c>
      <c r="G408" s="2">
        <v>33999.0</v>
      </c>
      <c r="H408" s="3">
        <f t="shared" si="4"/>
        <v>0</v>
      </c>
      <c r="I408" s="4">
        <f>IFERROR(__xludf.DUMMYFUNCTION("GOOGLEFINANCE(""CURRENCY:INRBRL"")*F408"),2029.0032968771998)</f>
        <v>2029.003297</v>
      </c>
      <c r="J408" s="1">
        <v>4.5</v>
      </c>
      <c r="K408" s="1">
        <v>17415.0</v>
      </c>
      <c r="L408" s="1" t="s">
        <v>1626</v>
      </c>
      <c r="M408" s="6" t="s">
        <v>1627</v>
      </c>
      <c r="N408" s="7" t="str">
        <f>VLOOKUP(A408, avaliacoes!A:G, 5, FALSE)</f>
        <v>Really a Good Buy in this price range in 2022,Expected better Battery,Over-all a very balanced product.,Poor Battery life,Good,Temper glasses not istalle properly,It's 8 gb not working like 12gb,Apart from battery and sound quality, everything else is good.</v>
      </c>
      <c r="O408" s="7" t="str">
        <f>VLOOKUP(A408, avaliacoes!A:G,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row>
    <row r="409">
      <c r="A409" s="1" t="s">
        <v>1628</v>
      </c>
      <c r="B409" s="1" t="s">
        <v>1629</v>
      </c>
      <c r="C409" s="1" t="s">
        <v>1630</v>
      </c>
      <c r="D409" s="1" t="str">
        <f t="shared" si="2"/>
        <v>Computers&amp;Accessories</v>
      </c>
      <c r="E409" s="1" t="str">
        <f t="shared" si="3"/>
        <v>Accessories&amp;Peripherals</v>
      </c>
      <c r="F409" s="2">
        <v>99.0</v>
      </c>
      <c r="G409" s="2">
        <v>999.0</v>
      </c>
      <c r="H409" s="3">
        <f t="shared" si="4"/>
        <v>0.9009009009</v>
      </c>
      <c r="I409" s="4">
        <f>IFERROR(__xludf.DUMMYFUNCTION("GOOGLEFINANCE(""CURRENCY:INRBRL"")*F409"),5.9081539572)</f>
        <v>5.908153957</v>
      </c>
      <c r="J409" s="1">
        <v>4.0</v>
      </c>
      <c r="K409" s="1">
        <v>1396.0</v>
      </c>
      <c r="L409" s="1" t="s">
        <v>1631</v>
      </c>
      <c r="M409" s="6" t="s">
        <v>1632</v>
      </c>
      <c r="N409" s="7" t="str">
        <f>VLOOKUP(A409, avaliacoes!A:G, 5, FALSE)</f>
        <v>Nice and soft product,IN PICTURE SHOWS AS 16 NOS BUT IN COVER ONLY 8 NOS,Usefull! Bought 3 packs in Rs 99 each containing 4 pieces,Quality Product at affordable price,It helps to hold the joints. But not from the USB level,Very third grade quality,Only two packs came,Cool Product</v>
      </c>
      <c r="O409" s="7" t="str">
        <f>VLOOKUP(A409, avaliacoes!A:G, 6, FALSE)</f>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v>
      </c>
    </row>
    <row r="410">
      <c r="A410" s="1" t="s">
        <v>1633</v>
      </c>
      <c r="B410" s="1" t="s">
        <v>1634</v>
      </c>
      <c r="C410" s="1" t="s">
        <v>1411</v>
      </c>
      <c r="D410" s="1" t="str">
        <f t="shared" si="2"/>
        <v>Electronics</v>
      </c>
      <c r="E410" s="1" t="str">
        <f t="shared" si="3"/>
        <v>Headphones,Earbuds&amp;Accessories</v>
      </c>
      <c r="F410" s="2">
        <v>299.0</v>
      </c>
      <c r="G410" s="2">
        <v>1900.0</v>
      </c>
      <c r="H410" s="3">
        <f t="shared" si="4"/>
        <v>0.8426315789</v>
      </c>
      <c r="I410" s="4">
        <f>IFERROR(__xludf.DUMMYFUNCTION("GOOGLEFINANCE(""CURRENCY:INRBRL"")*F410"),17.8438185172)</f>
        <v>17.84381852</v>
      </c>
      <c r="J410" s="1">
        <v>4.51</v>
      </c>
      <c r="K410" s="1">
        <v>18202.0</v>
      </c>
      <c r="L410" s="1" t="s">
        <v>1635</v>
      </c>
      <c r="M410" s="6" t="s">
        <v>1636</v>
      </c>
      <c r="N410" s="7" t="str">
        <f>VLOOKUP(A410, avaliacoes!A:G, 5, FALSE)</f>
        <v>For the price tag it's really worth buying.,OK types,ONLY FOR GAMERS,Earphone case was not there,Budget gaming and music earphone,Ok good,Product is good but the accessories like the pouch is not provided as mentioned in the description,product is good but not for this price</v>
      </c>
      <c r="O410" s="7" t="str">
        <f>VLOOKUP(A410, avaliacoes!A:G, 6, FALSE)</f>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v>
      </c>
    </row>
    <row r="411">
      <c r="A411" s="1" t="s">
        <v>1637</v>
      </c>
      <c r="B411" s="1" t="s">
        <v>1638</v>
      </c>
      <c r="C411" s="1" t="s">
        <v>1374</v>
      </c>
      <c r="D411" s="1" t="str">
        <f t="shared" si="2"/>
        <v>Electronics</v>
      </c>
      <c r="E411" s="1" t="str">
        <f t="shared" si="3"/>
        <v>Mobiles&amp;Accessories</v>
      </c>
      <c r="F411" s="2">
        <v>10999.0</v>
      </c>
      <c r="G411" s="2">
        <v>14999.0</v>
      </c>
      <c r="H411" s="3">
        <f t="shared" si="4"/>
        <v>0.2666844456</v>
      </c>
      <c r="I411" s="4">
        <f>IFERROR(__xludf.DUMMYFUNCTION("GOOGLEFINANCE(""CURRENCY:INRBRL"")*F411"),656.4018724772)</f>
        <v>656.4018725</v>
      </c>
      <c r="J411" s="1">
        <v>4.49</v>
      </c>
      <c r="K411" s="1">
        <v>18998.0</v>
      </c>
      <c r="L411" s="1" t="s">
        <v>1639</v>
      </c>
      <c r="M411" s="6" t="s">
        <v>1640</v>
      </c>
      <c r="N411" s="7" t="str">
        <f>VLOOKUP(A411, avaliacoes!A:G, 5, FALSE)</f>
        <v>Phone, camera, heating - works for me, may not for all,Good Mobile,Good but not excellent under this budget,Worth the price at 9499,Ok type phone... but unable to make videocall within same service provider.,Phone review,Budget king,Battery backup is good</v>
      </c>
      <c r="O411" s="7" t="str">
        <f>VLOOKUP(A411,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row>
    <row r="412">
      <c r="A412" s="1" t="s">
        <v>1641</v>
      </c>
      <c r="B412" s="1" t="s">
        <v>1642</v>
      </c>
      <c r="C412" s="1" t="s">
        <v>1374</v>
      </c>
      <c r="D412" s="1" t="str">
        <f t="shared" si="2"/>
        <v>Electronics</v>
      </c>
      <c r="E412" s="1" t="str">
        <f t="shared" si="3"/>
        <v>Mobiles&amp;Accessories</v>
      </c>
      <c r="F412" s="2">
        <v>34999.0</v>
      </c>
      <c r="G412" s="2">
        <v>38999.0</v>
      </c>
      <c r="H412" s="3">
        <f t="shared" si="4"/>
        <v>0.1025667325</v>
      </c>
      <c r="I412" s="4">
        <f>IFERROR(__xludf.DUMMYFUNCTION("GOOGLEFINANCE(""CURRENCY:INRBRL"")*F412"),2088.6816196771997)</f>
        <v>2088.68162</v>
      </c>
      <c r="J412" s="1">
        <v>4.5</v>
      </c>
      <c r="K412" s="1">
        <v>11029.0</v>
      </c>
      <c r="L412" s="1" t="s">
        <v>1643</v>
      </c>
      <c r="M412" s="6" t="s">
        <v>1644</v>
      </c>
      <c r="N412" s="7" t="str">
        <f>VLOOKUP(A412, avaliacoes!A:G, 5, FALSE)</f>
        <v>Best option in 35k category.,Terrific purchase,A highly priced smart phone.,Can't get better at this cost. Review after one month of use.,Oxygen OS is providing poor experience, overall device is okay.,Ammazing Product,Okay</v>
      </c>
      <c r="O412" s="7" t="str">
        <f>VLOOKUP(A412, avaliacoes!A:G, 6, FALSE)</f>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v>
      </c>
    </row>
    <row r="413">
      <c r="A413" s="1" t="s">
        <v>1645</v>
      </c>
      <c r="B413" s="1" t="s">
        <v>1487</v>
      </c>
      <c r="C413" s="1" t="s">
        <v>1374</v>
      </c>
      <c r="D413" s="1" t="str">
        <f t="shared" si="2"/>
        <v>Electronics</v>
      </c>
      <c r="E413" s="1" t="str">
        <f t="shared" si="3"/>
        <v>Mobiles&amp;Accessories</v>
      </c>
      <c r="F413" s="2">
        <v>16999.0</v>
      </c>
      <c r="G413" s="2">
        <v>24999.0</v>
      </c>
      <c r="H413" s="3">
        <f t="shared" si="4"/>
        <v>0.3200128005</v>
      </c>
      <c r="I413" s="4">
        <f>IFERROR(__xludf.DUMMYFUNCTION("GOOGLEFINANCE(""CURRENCY:INRBRL"")*F413"),1014.4718092771999)</f>
        <v>1014.471809</v>
      </c>
      <c r="J413" s="1">
        <v>4.49</v>
      </c>
      <c r="K413" s="1">
        <v>22318.0</v>
      </c>
      <c r="L413" s="1" t="s">
        <v>1488</v>
      </c>
      <c r="M413" s="6" t="s">
        <v>1646</v>
      </c>
      <c r="N413" s="7" t="str">
        <f>VLOOKUP(A413, avaliacoes!A:G, 5, FALSE)</f>
        <v>THE PERFECT PHONE – FOR MY REQUIREMENTS,Galaxy M33 5G a mixed bag of Affordability</v>
      </c>
      <c r="O413" s="7" t="str">
        <f>VLOOKUP(A413, avaliacoes!A:G,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row>
    <row r="414">
      <c r="A414" s="1" t="s">
        <v>1647</v>
      </c>
      <c r="B414" s="1" t="s">
        <v>1648</v>
      </c>
      <c r="C414" s="1" t="s">
        <v>1617</v>
      </c>
      <c r="D414" s="1" t="str">
        <f t="shared" si="2"/>
        <v>Electronics</v>
      </c>
      <c r="E414" s="1" t="str">
        <f t="shared" si="3"/>
        <v>Mobiles&amp;Accessories</v>
      </c>
      <c r="F414" s="2">
        <v>199.0</v>
      </c>
      <c r="G414" s="2">
        <v>499.0</v>
      </c>
      <c r="H414" s="3">
        <f t="shared" si="4"/>
        <v>0.6012024048</v>
      </c>
      <c r="I414" s="4">
        <f>IFERROR(__xludf.DUMMYFUNCTION("GOOGLEFINANCE(""CURRENCY:INRBRL"")*F414"),11.8759862372)</f>
        <v>11.87598624</v>
      </c>
      <c r="J414" s="1">
        <v>4.49</v>
      </c>
      <c r="K414" s="1">
        <v>1786.0</v>
      </c>
      <c r="L414" s="1" t="s">
        <v>1649</v>
      </c>
      <c r="M414" s="6" t="s">
        <v>1650</v>
      </c>
      <c r="N414" s="7" t="str">
        <f>VLOOKUP(A414, avaliacoes!A:G, 5, FALSE)</f>
        <v>Highly recommended,Very flexible,Good,Very good product,Good,It's worth every penny,Good,Mobile stand</v>
      </c>
      <c r="O414" s="7" t="str">
        <f>VLOOKUP(A414, avaliacoes!A:G, 6, FALSE)</f>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v>
      </c>
    </row>
    <row r="415">
      <c r="A415" s="1" t="s">
        <v>1651</v>
      </c>
      <c r="B415" s="1" t="s">
        <v>1652</v>
      </c>
      <c r="C415" s="1" t="s">
        <v>1369</v>
      </c>
      <c r="D415" s="1" t="str">
        <f t="shared" si="2"/>
        <v>Electronics</v>
      </c>
      <c r="E415" s="1" t="str">
        <f t="shared" si="3"/>
        <v>Mobiles&amp;Accessories</v>
      </c>
      <c r="F415" s="2">
        <v>999.0</v>
      </c>
      <c r="G415" s="2">
        <v>1599.0</v>
      </c>
      <c r="H415" s="3">
        <f t="shared" si="4"/>
        <v>0.3752345216</v>
      </c>
      <c r="I415" s="4">
        <f>IFERROR(__xludf.DUMMYFUNCTION("GOOGLEFINANCE(""CURRENCY:INRBRL"")*F415"),59.61864447719999)</f>
        <v>59.61864448</v>
      </c>
      <c r="J415" s="1">
        <v>4.0</v>
      </c>
      <c r="K415" s="1">
        <v>7222.0</v>
      </c>
      <c r="L415" s="1" t="s">
        <v>1653</v>
      </c>
      <c r="M415" s="6" t="s">
        <v>1654</v>
      </c>
      <c r="N415" s="7" t="str">
        <f>VLOOKUP(A415, avaliacoes!A:G, 5, FALSE)</f>
        <v>Nice product,Good,Kaam sahi karta hai ji,Woks fine,Nice,good and portabe,Good for a single charge of 5000mah mobile.,Good product</v>
      </c>
      <c r="O415" s="7" t="str">
        <f>VLOOKUP(A415, avaliacoes!A:G, 6, FALSE)</f>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v>
      </c>
    </row>
    <row r="416">
      <c r="A416" s="1" t="s">
        <v>1655</v>
      </c>
      <c r="B416" s="1" t="s">
        <v>1656</v>
      </c>
      <c r="C416" s="1" t="s">
        <v>1402</v>
      </c>
      <c r="D416" s="1" t="str">
        <f t="shared" si="2"/>
        <v>Electronics</v>
      </c>
      <c r="E416" s="1" t="str">
        <f t="shared" si="3"/>
        <v>Mobiles&amp;Accessories</v>
      </c>
      <c r="F416" s="2">
        <v>1299.0</v>
      </c>
      <c r="G416" s="2">
        <v>1599.0</v>
      </c>
      <c r="H416" s="3">
        <f t="shared" si="4"/>
        <v>0.1876172608</v>
      </c>
      <c r="I416" s="4">
        <f>IFERROR(__xludf.DUMMYFUNCTION("GOOGLEFINANCE(""CURRENCY:INRBRL"")*F416"),77.5221413172)</f>
        <v>77.52214132</v>
      </c>
      <c r="J416" s="1">
        <v>4.0</v>
      </c>
      <c r="K416" s="1">
        <v>128311.0</v>
      </c>
      <c r="L416" s="1" t="s">
        <v>1403</v>
      </c>
      <c r="M416" s="6" t="s">
        <v>1657</v>
      </c>
      <c r="N416" s="7" t="str">
        <f>VLOOKUP(A416, avaliacoes!A:G, 5, FALSE)</f>
        <v>Centre key,Nice phone,Good for Exam preparing students,Center button is not good,Battery runs out quickly,Nokia trusted brand only needs to improve ringtone sound,best phone,..</v>
      </c>
      <c r="O416" s="7" t="str">
        <f>VLOOKUP(A416, avaliacoes!A:G,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row>
    <row r="417">
      <c r="A417" s="1" t="s">
        <v>1658</v>
      </c>
      <c r="B417" s="1" t="s">
        <v>1659</v>
      </c>
      <c r="C417" s="1" t="s">
        <v>1411</v>
      </c>
      <c r="D417" s="1" t="str">
        <f t="shared" si="2"/>
        <v>Electronics</v>
      </c>
      <c r="E417" s="1" t="str">
        <f t="shared" si="3"/>
        <v>Headphones,Earbuds&amp;Accessories</v>
      </c>
      <c r="F417" s="2">
        <v>599.0</v>
      </c>
      <c r="G417" s="2">
        <v>1800.0</v>
      </c>
      <c r="H417" s="3">
        <f t="shared" si="4"/>
        <v>0.6672222222</v>
      </c>
      <c r="I417" s="4">
        <f>IFERROR(__xludf.DUMMYFUNCTION("GOOGLEFINANCE(""CURRENCY:INRBRL"")*F417"),35.747315357199994)</f>
        <v>35.74731536</v>
      </c>
      <c r="J417" s="1">
        <v>4.5</v>
      </c>
      <c r="K417" s="1">
        <v>83996.0</v>
      </c>
      <c r="L417" s="1" t="s">
        <v>1660</v>
      </c>
      <c r="M417" s="6" t="s">
        <v>1661</v>
      </c>
      <c r="N417" s="7" t="str">
        <f>VLOOKUP(A417, avaliacoes!A:G, 5, FALSE)</f>
        <v>Worth every penny,Price,Amazing product,Nice,Just ok,Value for money, sound quality is good 👍, super fast delivery,But warrant needed,Good quality</v>
      </c>
      <c r="O417" s="7" t="str">
        <f>VLOOKUP(A417, avaliacoes!A:G, 6, FALSE)</f>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v>
      </c>
    </row>
    <row r="418">
      <c r="A418" s="1" t="s">
        <v>1662</v>
      </c>
      <c r="B418" s="1" t="s">
        <v>1663</v>
      </c>
      <c r="C418" s="1" t="s">
        <v>1393</v>
      </c>
      <c r="D418" s="1" t="str">
        <f t="shared" si="2"/>
        <v>Electronics</v>
      </c>
      <c r="E418" s="1" t="str">
        <f t="shared" si="3"/>
        <v>Accessories</v>
      </c>
      <c r="F418" s="2">
        <v>599.0</v>
      </c>
      <c r="G418" s="2">
        <v>1899.0</v>
      </c>
      <c r="H418" s="3">
        <f t="shared" si="4"/>
        <v>0.6845708268</v>
      </c>
      <c r="I418" s="4">
        <f>IFERROR(__xludf.DUMMYFUNCTION("GOOGLEFINANCE(""CURRENCY:INRBRL"")*F418"),35.747315357199994)</f>
        <v>35.74731536</v>
      </c>
      <c r="J418" s="1">
        <v>4.5</v>
      </c>
      <c r="K418" s="1">
        <v>140036.0</v>
      </c>
      <c r="L418" s="1" t="s">
        <v>1592</v>
      </c>
      <c r="M418" s="6" t="s">
        <v>1664</v>
      </c>
      <c r="N418" s="7" t="str">
        <f>VLOOKUP(A418, avaliacoes!A:G, 5, FALSE)</f>
        <v>Good deal,Looking is fake product... Storage capacity 58gb.. Menstion64gb.,A nice gadget.,Nice and good,Trusted brand,with adapter!,I liked it's performance and quality.,Good quality,Worth it</v>
      </c>
      <c r="O418" s="7" t="str">
        <f>VLOOKUP(A418, avaliacoes!A:G,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row>
    <row r="419">
      <c r="A419" s="1" t="s">
        <v>1665</v>
      </c>
      <c r="B419" s="1" t="s">
        <v>1666</v>
      </c>
      <c r="C419" s="1" t="s">
        <v>1369</v>
      </c>
      <c r="D419" s="1" t="str">
        <f t="shared" si="2"/>
        <v>Electronics</v>
      </c>
      <c r="E419" s="1" t="str">
        <f t="shared" si="3"/>
        <v>Mobiles&amp;Accessories</v>
      </c>
      <c r="F419" s="2">
        <v>1799.0</v>
      </c>
      <c r="G419" s="2">
        <v>2499.0</v>
      </c>
      <c r="H419" s="3">
        <f t="shared" si="4"/>
        <v>0.2801120448</v>
      </c>
      <c r="I419" s="4">
        <f>IFERROR(__xludf.DUMMYFUNCTION("GOOGLEFINANCE(""CURRENCY:INRBRL"")*F419"),107.36130271719999)</f>
        <v>107.3613027</v>
      </c>
      <c r="J419" s="1">
        <v>4.49</v>
      </c>
      <c r="K419" s="1">
        <v>18678.0</v>
      </c>
      <c r="L419" s="1" t="s">
        <v>1667</v>
      </c>
      <c r="M419" s="6" t="s">
        <v>1668</v>
      </c>
      <c r="N419" s="7" t="str">
        <f>VLOOKUP(A419, avaliacoes!A:G, 5, FALSE)</f>
        <v>Decent Product at about right price.,Seems good.,Good Quality &amp; Durable Powerbank in 1k range | Review,This is the second power bank from Ambrane India, i am happy,It’s heavy but good,Good product,Good power bank,The power is bulkier</v>
      </c>
      <c r="O419" s="7" t="str">
        <f>VLOOKUP(A419, avaliacoes!A:G, 6, FALSE)</f>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v>
      </c>
    </row>
    <row r="420">
      <c r="A420" s="1" t="s">
        <v>44</v>
      </c>
      <c r="B420" s="1" t="s">
        <v>45</v>
      </c>
      <c r="C420" s="1" t="s">
        <v>21</v>
      </c>
      <c r="D420" s="1" t="str">
        <f t="shared" si="2"/>
        <v>Computers&amp;Accessories</v>
      </c>
      <c r="E420" s="1" t="str">
        <f t="shared" si="3"/>
        <v>Accessories&amp;Peripherals</v>
      </c>
      <c r="F420" s="2">
        <v>176.63</v>
      </c>
      <c r="G420" s="2">
        <v>499.0</v>
      </c>
      <c r="H420" s="3">
        <f t="shared" si="4"/>
        <v>0.6460320641</v>
      </c>
      <c r="I420" s="4">
        <f>IFERROR(__xludf.DUMMYFUNCTION("GOOGLEFINANCE(""CURRENCY:INRBRL"")*F420"),10.540982156163999)</f>
        <v>10.54098216</v>
      </c>
      <c r="J420" s="1">
        <v>4.49</v>
      </c>
      <c r="K420" s="1">
        <v>15189.0</v>
      </c>
      <c r="L420" s="1" t="s">
        <v>46</v>
      </c>
      <c r="M420" s="6" t="s">
        <v>1669</v>
      </c>
      <c r="N420" s="7" t="str">
        <f>VLOOKUP(A420, avaliacoes!A:G, 5, FALSE)</f>
        <v>Long durable.,good,Does not charge Lenovo m8 tab,Best charging cable,good,Boat,Product was good,1.5 m का केबल मेरे लिए बहुत ही लाभदायक है ।</v>
      </c>
      <c r="O420" s="7" t="str">
        <f>VLOOKUP(A420, avaliacoes!A:G,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row>
    <row r="421">
      <c r="A421" s="1" t="s">
        <v>1670</v>
      </c>
      <c r="B421" s="1" t="s">
        <v>1671</v>
      </c>
      <c r="C421" s="1" t="s">
        <v>1374</v>
      </c>
      <c r="D421" s="1" t="str">
        <f t="shared" si="2"/>
        <v>Electronics</v>
      </c>
      <c r="E421" s="1" t="str">
        <f t="shared" si="3"/>
        <v>Mobiles&amp;Accessories</v>
      </c>
      <c r="F421" s="2">
        <v>10999.0</v>
      </c>
      <c r="G421" s="2">
        <v>14999.0</v>
      </c>
      <c r="H421" s="3">
        <f t="shared" si="4"/>
        <v>0.2666844456</v>
      </c>
      <c r="I421" s="4">
        <f>IFERROR(__xludf.DUMMYFUNCTION("GOOGLEFINANCE(""CURRENCY:INRBRL"")*F421"),656.4018724772)</f>
        <v>656.4018725</v>
      </c>
      <c r="J421" s="1">
        <v>4.49</v>
      </c>
      <c r="K421" s="1">
        <v>18998.0</v>
      </c>
      <c r="L421" s="1" t="s">
        <v>1639</v>
      </c>
      <c r="M421" s="6" t="s">
        <v>1672</v>
      </c>
      <c r="N421" s="7" t="str">
        <f>VLOOKUP(A421, avaliacoes!A:G, 5, FALSE)</f>
        <v>Phone, camera, heating - works for me, may not for all,Good Mobile,Good but not excellent under this budget,Worth the price at 9499,Ok type phone... but unable to make videocall within same service provider.,Phone review,Budget king,Battery backup is good</v>
      </c>
      <c r="O421" s="7" t="str">
        <f>VLOOKUP(A421,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row>
    <row r="422">
      <c r="A422" s="1" t="s">
        <v>1673</v>
      </c>
      <c r="B422" s="1" t="s">
        <v>1674</v>
      </c>
      <c r="C422" s="1" t="s">
        <v>1356</v>
      </c>
      <c r="D422" s="1" t="str">
        <f t="shared" si="2"/>
        <v>Electronics</v>
      </c>
      <c r="E422" s="1" t="str">
        <f t="shared" si="3"/>
        <v>WearableTechnology</v>
      </c>
      <c r="F422" s="2">
        <v>2999.0</v>
      </c>
      <c r="G422" s="2">
        <v>7990.0</v>
      </c>
      <c r="H422" s="3">
        <f t="shared" si="4"/>
        <v>0.6246558198</v>
      </c>
      <c r="I422" s="4">
        <f>IFERROR(__xludf.DUMMYFUNCTION("GOOGLEFINANCE(""CURRENCY:INRBRL"")*F422"),178.9752900772)</f>
        <v>178.9752901</v>
      </c>
      <c r="J422" s="1">
        <v>4.49</v>
      </c>
      <c r="K422" s="1">
        <v>48449.0</v>
      </c>
      <c r="L422" s="1" t="s">
        <v>1583</v>
      </c>
      <c r="M422" s="6" t="s">
        <v>1675</v>
      </c>
      <c r="N422" s="7" t="str">
        <f>VLOOKUP(A422, avaliacoes!A:G, 5, FALSE)</f>
        <v>NOt worth the money,Good budget smart watch with Alexa,👍,Good product,I don't have flashlight function and speaker is not working,Nice,It's little cost,Wach not working</v>
      </c>
      <c r="O422" s="7" t="str">
        <f>VLOOKUP(A422, avaliacoes!A:G, 6, FALSE)</f>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v>
      </c>
    </row>
    <row r="423">
      <c r="A423" s="1" t="s">
        <v>1676</v>
      </c>
      <c r="B423" s="1" t="s">
        <v>1677</v>
      </c>
      <c r="C423" s="1" t="s">
        <v>1356</v>
      </c>
      <c r="D423" s="1" t="str">
        <f t="shared" si="2"/>
        <v>Electronics</v>
      </c>
      <c r="E423" s="1" t="str">
        <f t="shared" si="3"/>
        <v>WearableTechnology</v>
      </c>
      <c r="F423" s="2">
        <v>1999.0</v>
      </c>
      <c r="G423" s="2">
        <v>7990.0</v>
      </c>
      <c r="H423" s="3">
        <f t="shared" si="4"/>
        <v>0.7498122653</v>
      </c>
      <c r="I423" s="4">
        <f>IFERROR(__xludf.DUMMYFUNCTION("GOOGLEFINANCE(""CURRENCY:INRBRL"")*F423"),119.2969672772)</f>
        <v>119.2969673</v>
      </c>
      <c r="J423" s="1">
        <v>4.51</v>
      </c>
      <c r="K423" s="1">
        <v>17831.0</v>
      </c>
      <c r="L423" s="1" t="s">
        <v>1365</v>
      </c>
      <c r="M423" s="6" t="s">
        <v>1678</v>
      </c>
      <c r="N423" s="7" t="str">
        <f>VLOOKUP(A423, avaliacoes!A:G, 5, FALSE)</f>
        <v>Not Polished Enough. (Improving with updates),Best for the budget 👍,Value of money,nice product,Good product,Super value for money,Awesome product,Product itv</v>
      </c>
      <c r="O423" s="7" t="str">
        <f>VLOOKUP(A423,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row>
    <row r="424">
      <c r="A424" s="1" t="s">
        <v>48</v>
      </c>
      <c r="B424" s="1" t="s">
        <v>49</v>
      </c>
      <c r="C424" s="1" t="s">
        <v>21</v>
      </c>
      <c r="D424" s="1" t="str">
        <f t="shared" si="2"/>
        <v>Computers&amp;Accessories</v>
      </c>
      <c r="E424" s="1" t="str">
        <f t="shared" si="3"/>
        <v>Accessories&amp;Peripherals</v>
      </c>
      <c r="F424" s="2">
        <v>229.0</v>
      </c>
      <c r="G424" s="2">
        <v>299.0</v>
      </c>
      <c r="H424" s="3">
        <f t="shared" si="4"/>
        <v>0.2341137124</v>
      </c>
      <c r="I424" s="4">
        <f>IFERROR(__xludf.DUMMYFUNCTION("GOOGLEFINANCE(""CURRENCY:INRBRL"")*F424"),13.666335921199998)</f>
        <v>13.66633592</v>
      </c>
      <c r="J424" s="1">
        <v>4.5</v>
      </c>
      <c r="K424" s="1">
        <v>30411.0</v>
      </c>
      <c r="L424" s="1" t="s">
        <v>50</v>
      </c>
      <c r="M424" s="6" t="s">
        <v>1679</v>
      </c>
      <c r="N424" s="7" t="str">
        <f>VLOOKUP(A424, avaliacoes!A:G, 5, FALSE)</f>
        <v>Worth for money - suitable for Android auto,Good Product,Length,Nice,Original,Very good quay Cable support fast charging.,Original MI cable for charging upto 33 watt,I am veri happy with this product as it provide turbo charging.</v>
      </c>
      <c r="O424" s="7" t="str">
        <f>VLOOKUP(A424, avaliacoes!A:G,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row>
    <row r="425">
      <c r="A425" s="1" t="s">
        <v>57</v>
      </c>
      <c r="B425" s="1" t="s">
        <v>58</v>
      </c>
      <c r="C425" s="1" t="s">
        <v>21</v>
      </c>
      <c r="D425" s="1" t="str">
        <f t="shared" si="2"/>
        <v>Computers&amp;Accessories</v>
      </c>
      <c r="E425" s="1" t="str">
        <f t="shared" si="3"/>
        <v>Accessories&amp;Peripherals</v>
      </c>
      <c r="F425" s="2">
        <v>199.0</v>
      </c>
      <c r="G425" s="2">
        <v>299.0</v>
      </c>
      <c r="H425" s="3">
        <f t="shared" si="4"/>
        <v>0.3344481605</v>
      </c>
      <c r="I425" s="4">
        <f>IFERROR(__xludf.DUMMYFUNCTION("GOOGLEFINANCE(""CURRENCY:INRBRL"")*F425"),11.8759862372)</f>
        <v>11.87598624</v>
      </c>
      <c r="J425" s="1">
        <v>4.0</v>
      </c>
      <c r="K425" s="1">
        <v>43994.0</v>
      </c>
      <c r="L425" s="1" t="s">
        <v>59</v>
      </c>
      <c r="M425" s="6" t="s">
        <v>1680</v>
      </c>
      <c r="N425" s="7" t="str">
        <f>VLOOKUP(A425, avaliacoes!A:G, 5, FALSE)</f>
        <v>A Good Braided Cable for Your Type C Device,Good quality product from ambrane,Super cable,As,Good quality,Good product,its good,Good quality for the price but one issue with my unit</v>
      </c>
      <c r="O425" s="7" t="str">
        <f>VLOOKUP(A425,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row>
    <row r="426">
      <c r="A426" s="1" t="s">
        <v>1681</v>
      </c>
      <c r="B426" s="1" t="s">
        <v>1682</v>
      </c>
      <c r="C426" s="1" t="s">
        <v>1456</v>
      </c>
      <c r="D426" s="1" t="str">
        <f t="shared" si="2"/>
        <v>Electronics</v>
      </c>
      <c r="E426" s="1" t="str">
        <f t="shared" si="3"/>
        <v>Mobiles&amp;Accessories</v>
      </c>
      <c r="F426" s="2">
        <v>649.0</v>
      </c>
      <c r="G426" s="2">
        <v>999.0</v>
      </c>
      <c r="H426" s="3">
        <f t="shared" si="4"/>
        <v>0.3503503504</v>
      </c>
      <c r="I426" s="4">
        <f>IFERROR(__xludf.DUMMYFUNCTION("GOOGLEFINANCE(""CURRENCY:INRBRL"")*F426"),38.7312314972)</f>
        <v>38.7312315</v>
      </c>
      <c r="J426" s="1">
        <v>4.5</v>
      </c>
      <c r="K426" s="1">
        <v>1315.0</v>
      </c>
      <c r="L426" s="1" t="s">
        <v>1683</v>
      </c>
      <c r="M426" s="6" t="s">
        <v>1684</v>
      </c>
      <c r="N426" s="7" t="str">
        <f>VLOOKUP(A426, avaliacoes!A:G, 5, FALSE)</f>
        <v>Item is good.  No issues at all.,Charging is good but cable quality not good,Good,It does the job,Decent and durable fast charger,very nice  product,Working as expected.,best value for money</v>
      </c>
      <c r="O426" s="7" t="str">
        <f>VLOOKUP(A426, avaliacoes!A:G, 6, FALSE)</f>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v>
      </c>
    </row>
    <row r="427">
      <c r="A427" s="1" t="s">
        <v>1685</v>
      </c>
      <c r="B427" s="1" t="s">
        <v>1599</v>
      </c>
      <c r="C427" s="1" t="s">
        <v>1374</v>
      </c>
      <c r="D427" s="1" t="str">
        <f t="shared" si="2"/>
        <v>Electronics</v>
      </c>
      <c r="E427" s="1" t="str">
        <f t="shared" si="3"/>
        <v>Mobiles&amp;Accessories</v>
      </c>
      <c r="F427" s="2">
        <v>13999.0</v>
      </c>
      <c r="G427" s="2">
        <v>19499.0</v>
      </c>
      <c r="H427" s="3">
        <f t="shared" si="4"/>
        <v>0.282065747</v>
      </c>
      <c r="I427" s="4">
        <f>IFERROR(__xludf.DUMMYFUNCTION("GOOGLEFINANCE(""CURRENCY:INRBRL"")*F427"),835.4368408772)</f>
        <v>835.4368409</v>
      </c>
      <c r="J427" s="1">
        <v>4.49</v>
      </c>
      <c r="K427" s="1">
        <v>18998.0</v>
      </c>
      <c r="L427" s="1" t="s">
        <v>1600</v>
      </c>
      <c r="M427" s="6" t="s">
        <v>1686</v>
      </c>
      <c r="N427" s="7" t="str">
        <f>VLOOKUP(A427, avaliacoes!A:G, 5, FALSE)</f>
        <v>Phone, camera, heating - works for me, may not for all,Good Mobile,Good but not excellent under this budget,Worth the price at 9499,Ok type phone... but unable to make videocall within same service provider.,Phone review,Budget king,Battery backup is good</v>
      </c>
      <c r="O427" s="7" t="str">
        <f>VLOOKUP(A427,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row>
    <row r="428">
      <c r="A428" s="1" t="s">
        <v>1687</v>
      </c>
      <c r="B428" s="1" t="s">
        <v>1688</v>
      </c>
      <c r="C428" s="1" t="s">
        <v>1689</v>
      </c>
      <c r="D428" s="1" t="str">
        <f t="shared" si="2"/>
        <v>Electronics</v>
      </c>
      <c r="E428" s="1" t="str">
        <f t="shared" si="3"/>
        <v>Mobiles&amp;Accessories</v>
      </c>
      <c r="F428" s="2">
        <v>119.0</v>
      </c>
      <c r="G428" s="2">
        <v>299.0</v>
      </c>
      <c r="H428" s="3">
        <f t="shared" si="4"/>
        <v>0.602006689</v>
      </c>
      <c r="I428" s="4">
        <f>IFERROR(__xludf.DUMMYFUNCTION("GOOGLEFINANCE(""CURRENCY:INRBRL"")*F428"),7.1017204132)</f>
        <v>7.101720413</v>
      </c>
      <c r="J428" s="1">
        <v>4.49</v>
      </c>
      <c r="K428" s="1">
        <v>5999.0</v>
      </c>
      <c r="L428" s="1" t="s">
        <v>1690</v>
      </c>
      <c r="M428" s="6" t="s">
        <v>1691</v>
      </c>
      <c r="N428" s="7" t="str">
        <f>VLOOKUP(A428, avaliacoes!A:G, 5, FALSE)</f>
        <v>Awesome Product,Good product,Good quality,Good but overpriced,Gud quality but expansive,Not bad,Ok,Worth product</v>
      </c>
      <c r="O428" s="7" t="str">
        <f>VLOOKUP(A428, avaliacoes!A:G, 6, FALSE)</f>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v>
      </c>
    </row>
    <row r="429">
      <c r="A429" s="1" t="s">
        <v>1692</v>
      </c>
      <c r="B429" s="1" t="s">
        <v>1693</v>
      </c>
      <c r="C429" s="1" t="s">
        <v>1374</v>
      </c>
      <c r="D429" s="1" t="str">
        <f t="shared" si="2"/>
        <v>Electronics</v>
      </c>
      <c r="E429" s="1" t="str">
        <f t="shared" si="3"/>
        <v>Mobiles&amp;Accessories</v>
      </c>
      <c r="F429" s="2">
        <v>12999.0</v>
      </c>
      <c r="G429" s="2">
        <v>17999.0</v>
      </c>
      <c r="H429" s="3">
        <f t="shared" si="4"/>
        <v>0.2777932107</v>
      </c>
      <c r="I429" s="4">
        <f>IFERROR(__xludf.DUMMYFUNCTION("GOOGLEFINANCE(""CURRENCY:INRBRL"")*F429"),775.7585180771999)</f>
        <v>775.7585181</v>
      </c>
      <c r="J429" s="1">
        <v>4.49</v>
      </c>
      <c r="K429" s="1">
        <v>50772.0</v>
      </c>
      <c r="L429" s="1" t="s">
        <v>1694</v>
      </c>
      <c r="M429" s="6" t="s">
        <v>1695</v>
      </c>
      <c r="N429" s="7" t="str">
        <f>VLOOKUP(A429, avaliacoes!A:G, 5, FALSE)</f>
        <v>Excellent Phone in the budget segment,Best value for money... But afraid of future MIUI updates.,Don't purchase it as camera phone 😤,Dependable &amp; it's been a year.,Budget mobile,Good for basic use,Phone is nice , but software is not</v>
      </c>
      <c r="O429" s="7" t="str">
        <f>VLOOKUP(A429, avaliacoes!A:G,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row>
    <row r="430">
      <c r="A430" s="1" t="s">
        <v>61</v>
      </c>
      <c r="B430" s="1" t="s">
        <v>62</v>
      </c>
      <c r="C430" s="1" t="s">
        <v>21</v>
      </c>
      <c r="D430" s="1" t="str">
        <f t="shared" si="2"/>
        <v>Computers&amp;Accessories</v>
      </c>
      <c r="E430" s="1" t="str">
        <f t="shared" si="3"/>
        <v>Accessories&amp;Peripherals</v>
      </c>
      <c r="F430" s="2">
        <v>154.0</v>
      </c>
      <c r="G430" s="2">
        <v>339.0</v>
      </c>
      <c r="H430" s="3">
        <f t="shared" si="4"/>
        <v>0.5457227139</v>
      </c>
      <c r="I430" s="4">
        <f>IFERROR(__xludf.DUMMYFUNCTION("GOOGLEFINANCE(""CURRENCY:INRBRL"")*F430"),9.1904617112)</f>
        <v>9.190461711</v>
      </c>
      <c r="J430" s="1">
        <v>4.5</v>
      </c>
      <c r="K430" s="1">
        <v>13391.0</v>
      </c>
      <c r="L430" s="1" t="s">
        <v>484</v>
      </c>
      <c r="M430" s="6" t="s">
        <v>1696</v>
      </c>
      <c r="N430" s="7" t="str">
        <f>VLOOKUP(A430, avaliacoes!A:G, 5, FALSE)</f>
        <v>Good for fast charge but not for data transfer,Good cable compares to local the brand.,good but doesnt last,Good product,Good Product,Good and worth it,very good material quality charging speed is 15 watt,Not a fast charger</v>
      </c>
      <c r="O430" s="7" t="str">
        <f>VLOOKUP(A430, avaliacoes!A:G,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row>
    <row r="431">
      <c r="A431" s="1" t="s">
        <v>1697</v>
      </c>
      <c r="B431" s="1" t="s">
        <v>1698</v>
      </c>
      <c r="C431" s="1" t="s">
        <v>1374</v>
      </c>
      <c r="D431" s="1" t="str">
        <f t="shared" si="2"/>
        <v>Electronics</v>
      </c>
      <c r="E431" s="1" t="str">
        <f t="shared" si="3"/>
        <v>Mobiles&amp;Accessories</v>
      </c>
      <c r="F431" s="2">
        <v>20999.0</v>
      </c>
      <c r="G431" s="2">
        <v>26999.0</v>
      </c>
      <c r="H431" s="3">
        <f t="shared" si="4"/>
        <v>0.222230453</v>
      </c>
      <c r="I431" s="4">
        <f>IFERROR(__xludf.DUMMYFUNCTION("GOOGLEFINANCE(""CURRENCY:INRBRL"")*F431"),1253.1851004772)</f>
        <v>1253.1851</v>
      </c>
      <c r="J431" s="1">
        <v>4.52</v>
      </c>
      <c r="K431" s="1">
        <v>25824.0</v>
      </c>
      <c r="L431" s="1" t="s">
        <v>1699</v>
      </c>
      <c r="M431" s="6" t="s">
        <v>1700</v>
      </c>
      <c r="N431" s="7" t="str">
        <f>VLOOKUP(A431, avaliacoes!A:G, 5, FALSE)</f>
        <v>Solid phone, worth considering,Good Phone,Overall decent product,Apart from the camera everything is fine,Product is good,Honest Review after 14 days usage,Superb but need improvement in camera,Best camera</v>
      </c>
      <c r="O431" s="7" t="str">
        <f>VLOOKUP(A431, avaliacoes!A:G,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row>
    <row r="432">
      <c r="A432" s="1" t="s">
        <v>1701</v>
      </c>
      <c r="B432" s="1" t="s">
        <v>1702</v>
      </c>
      <c r="C432" s="1" t="s">
        <v>1456</v>
      </c>
      <c r="D432" s="1" t="str">
        <f t="shared" si="2"/>
        <v>Electronics</v>
      </c>
      <c r="E432" s="1" t="str">
        <f t="shared" si="3"/>
        <v>Mobiles&amp;Accessories</v>
      </c>
      <c r="F432" s="2">
        <v>249.0</v>
      </c>
      <c r="G432" s="2">
        <v>649.0</v>
      </c>
      <c r="H432" s="3">
        <f t="shared" si="4"/>
        <v>0.6163328197</v>
      </c>
      <c r="I432" s="4">
        <f>IFERROR(__xludf.DUMMYFUNCTION("GOOGLEFINANCE(""CURRENCY:INRBRL"")*F432"),14.8599023772)</f>
        <v>14.85990238</v>
      </c>
      <c r="J432" s="1">
        <v>4.0</v>
      </c>
      <c r="K432" s="1">
        <v>14404.0</v>
      </c>
      <c r="L432" s="1" t="s">
        <v>1703</v>
      </c>
      <c r="M432" s="6" t="s">
        <v>1704</v>
      </c>
      <c r="N432" s="7" t="str">
        <f>VLOOKUP(A432, avaliacoes!A:G, 5, FALSE)</f>
        <v>Good,NICE 👍 IN VALUE.PARACASED ON TWO OLY,Working fine,Good product,Good one,Good one,Very good product,Decent product, worth every penny</v>
      </c>
      <c r="O432" s="7" t="str">
        <f>VLOOKUP(A432, avaliacoes!A:G,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row>
    <row r="433">
      <c r="A433" s="1" t="s">
        <v>1705</v>
      </c>
      <c r="B433" s="1" t="s">
        <v>1706</v>
      </c>
      <c r="C433" s="1" t="s">
        <v>1456</v>
      </c>
      <c r="D433" s="1" t="str">
        <f t="shared" si="2"/>
        <v>Electronics</v>
      </c>
      <c r="E433" s="1" t="str">
        <f t="shared" si="3"/>
        <v>Mobiles&amp;Accessories</v>
      </c>
      <c r="F433" s="2">
        <v>99.0</v>
      </c>
      <c r="G433" s="2">
        <v>171.0</v>
      </c>
      <c r="H433" s="3">
        <f t="shared" si="4"/>
        <v>0.4210526316</v>
      </c>
      <c r="I433" s="4">
        <f>IFERROR(__xludf.DUMMYFUNCTION("GOOGLEFINANCE(""CURRENCY:INRBRL"")*F433"),5.9081539572)</f>
        <v>5.908153957</v>
      </c>
      <c r="J433" s="1">
        <v>4.51</v>
      </c>
      <c r="K433" s="1">
        <v>11339.0</v>
      </c>
      <c r="L433" s="1" t="s">
        <v>1707</v>
      </c>
      <c r="M433" s="6" t="s">
        <v>1708</v>
      </c>
      <c r="N433" s="7" t="str">
        <f>VLOOKUP(A433, avaliacoes!A:G, 5, FALSE)</f>
        <v>Good product at a affordable price point,Nice!,Very good n useful product..,Value for Money.!,It's great,Good 3 pin plug,Useful product,Works as expected.</v>
      </c>
      <c r="O433" s="7" t="str">
        <f>VLOOKUP(A433, avaliacoes!A:G, 6, FALSE)</f>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v>
      </c>
    </row>
    <row r="434">
      <c r="A434" s="1" t="s">
        <v>1709</v>
      </c>
      <c r="B434" s="1" t="s">
        <v>1710</v>
      </c>
      <c r="C434" s="1" t="s">
        <v>1451</v>
      </c>
      <c r="D434" s="1" t="str">
        <f t="shared" si="2"/>
        <v>Electronics</v>
      </c>
      <c r="E434" s="1" t="str">
        <f t="shared" si="3"/>
        <v>Mobiles&amp;Accessories</v>
      </c>
      <c r="F434" s="2">
        <v>489.0</v>
      </c>
      <c r="G434" s="2">
        <v>1999.0</v>
      </c>
      <c r="H434" s="3">
        <f t="shared" si="4"/>
        <v>0.7553776888</v>
      </c>
      <c r="I434" s="4">
        <f>IFERROR(__xludf.DUMMYFUNCTION("GOOGLEFINANCE(""CURRENCY:INRBRL"")*F434"),29.1826998492)</f>
        <v>29.18269985</v>
      </c>
      <c r="J434" s="1">
        <v>4.0</v>
      </c>
      <c r="K434" s="1">
        <v>3626.0</v>
      </c>
      <c r="L434" s="1" t="s">
        <v>1711</v>
      </c>
      <c r="M434" s="6" t="s">
        <v>1712</v>
      </c>
      <c r="N434" s="7" t="str">
        <f>VLOOKUP(A434, avaliacoes!A:G, 5, FALSE)</f>
        <v>I like the product,Best product with good customer care,Best suction and decent plastic quality,Good product with good quality,Good solution,Good cup adhesion. Overall satisfied.,Overall nice product,Nice One</v>
      </c>
      <c r="O434" s="7" t="str">
        <f>VLOOKUP(A434, avaliacoes!A:G, 6, FALSE)</f>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v>
      </c>
    </row>
    <row r="435">
      <c r="A435" s="1" t="s">
        <v>1713</v>
      </c>
      <c r="B435" s="1" t="s">
        <v>1714</v>
      </c>
      <c r="C435" s="1" t="s">
        <v>1393</v>
      </c>
      <c r="D435" s="1" t="str">
        <f t="shared" si="2"/>
        <v>Electronics</v>
      </c>
      <c r="E435" s="1" t="str">
        <f t="shared" si="3"/>
        <v>Accessories</v>
      </c>
      <c r="F435" s="2">
        <v>369.0</v>
      </c>
      <c r="G435" s="2">
        <v>1600.0</v>
      </c>
      <c r="H435" s="3">
        <f t="shared" si="4"/>
        <v>0.769375</v>
      </c>
      <c r="I435" s="4">
        <f>IFERROR(__xludf.DUMMYFUNCTION("GOOGLEFINANCE(""CURRENCY:INRBRL"")*F435"),22.0213011132)</f>
        <v>22.02130111</v>
      </c>
      <c r="J435" s="1">
        <v>4.0</v>
      </c>
      <c r="K435" s="1">
        <v>32625.0</v>
      </c>
      <c r="L435" s="1" t="s">
        <v>1715</v>
      </c>
      <c r="M435" s="6" t="s">
        <v>1716</v>
      </c>
      <c r="N435" s="7" t="str">
        <f>VLOOKUP(A435, avaliacoes!A:G, 5, FALSE)</f>
        <v>Best,genuine,Nice product,Good product,Value for money,Good,worth of purchase,Good 👍</v>
      </c>
      <c r="O435" s="7" t="str">
        <f>VLOOKUP(A435, avaliacoes!A:G, 6, FALSE)</f>
        <v>Best wishes,brought it online as cautious about buying offline coz of fake and overpriced products. using it for my wifi camera. working fine,Nice product,Nice quality product easy to use. Thanks amazon,Well known brand ..Nice product.,Good,worth product,Bahut achcha laga Raha hai</v>
      </c>
    </row>
    <row r="436">
      <c r="A436" s="1" t="s">
        <v>1717</v>
      </c>
      <c r="B436" s="1" t="s">
        <v>1718</v>
      </c>
      <c r="C436" s="1" t="s">
        <v>1374</v>
      </c>
      <c r="D436" s="1" t="str">
        <f t="shared" si="2"/>
        <v>Electronics</v>
      </c>
      <c r="E436" s="1" t="str">
        <f t="shared" si="3"/>
        <v>Mobiles&amp;Accessories</v>
      </c>
      <c r="F436" s="2">
        <v>15499.0</v>
      </c>
      <c r="G436" s="2">
        <v>20999.0</v>
      </c>
      <c r="H436" s="3">
        <f t="shared" si="4"/>
        <v>0.2619172342</v>
      </c>
      <c r="I436" s="4">
        <f>IFERROR(__xludf.DUMMYFUNCTION("GOOGLEFINANCE(""CURRENCY:INRBRL"")*F436"),924.9543250771999)</f>
        <v>924.9543251</v>
      </c>
      <c r="J436" s="1">
        <v>4.49</v>
      </c>
      <c r="K436" s="1">
        <v>19252.0</v>
      </c>
      <c r="L436" s="1" t="s">
        <v>1719</v>
      </c>
      <c r="M436" s="6" t="s">
        <v>1720</v>
      </c>
      <c r="N436" s="7" t="str">
        <f>VLOOKUP(A436, avaliacoes!A:G, 5, FALSE)</f>
        <v>Above average phone,Worth For The Money 💰,Okie,Phone is excellent,Purchased in good budget at 12k,It can fulfill basic needs in affordable price range,Nice,About features</v>
      </c>
      <c r="O436" s="7" t="str">
        <f>VLOOKUP(A436,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row>
    <row r="437">
      <c r="A437" s="1" t="s">
        <v>1721</v>
      </c>
      <c r="B437" s="1" t="s">
        <v>1722</v>
      </c>
      <c r="C437" s="1" t="s">
        <v>1374</v>
      </c>
      <c r="D437" s="1" t="str">
        <f t="shared" si="2"/>
        <v>Electronics</v>
      </c>
      <c r="E437" s="1" t="str">
        <f t="shared" si="3"/>
        <v>Mobiles&amp;Accessories</v>
      </c>
      <c r="F437" s="2">
        <v>15499.0</v>
      </c>
      <c r="G437" s="2">
        <v>18999.0</v>
      </c>
      <c r="H437" s="3">
        <f t="shared" si="4"/>
        <v>0.1842202221</v>
      </c>
      <c r="I437" s="4">
        <f>IFERROR(__xludf.DUMMYFUNCTION("GOOGLEFINANCE(""CURRENCY:INRBRL"")*F437"),924.9543250771999)</f>
        <v>924.9543251</v>
      </c>
      <c r="J437" s="1">
        <v>4.49</v>
      </c>
      <c r="K437" s="1">
        <v>19252.0</v>
      </c>
      <c r="L437" s="1" t="s">
        <v>1527</v>
      </c>
      <c r="M437" s="6" t="s">
        <v>1723</v>
      </c>
      <c r="N437" s="7" t="str">
        <f>VLOOKUP(A437, avaliacoes!A:G, 5, FALSE)</f>
        <v>Above average phone,Worth For The Money 💰,Okie,Phone is excellent,Purchased in good budget at 12k,It can fulfill basic needs in affordable price range,Nice,About features</v>
      </c>
      <c r="O437" s="7" t="str">
        <f>VLOOKUP(A437,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row>
    <row r="438">
      <c r="A438" s="1" t="s">
        <v>1724</v>
      </c>
      <c r="B438" s="1" t="s">
        <v>1725</v>
      </c>
      <c r="C438" s="1" t="s">
        <v>1374</v>
      </c>
      <c r="D438" s="1" t="str">
        <f t="shared" si="2"/>
        <v>Electronics</v>
      </c>
      <c r="E438" s="1" t="str">
        <f t="shared" si="3"/>
        <v>Mobiles&amp;Accessories</v>
      </c>
      <c r="F438" s="2">
        <v>22999.0</v>
      </c>
      <c r="G438" s="2">
        <v>28999.0</v>
      </c>
      <c r="H438" s="3">
        <f t="shared" si="4"/>
        <v>0.2069036863</v>
      </c>
      <c r="I438" s="4">
        <f>IFERROR(__xludf.DUMMYFUNCTION("GOOGLEFINANCE(""CURRENCY:INRBRL"")*F438"),1372.5417460771998)</f>
        <v>1372.541746</v>
      </c>
      <c r="J438" s="1">
        <v>4.52</v>
      </c>
      <c r="K438" s="1">
        <v>25824.0</v>
      </c>
      <c r="L438" s="1" t="s">
        <v>1726</v>
      </c>
      <c r="M438" s="6" t="s">
        <v>1727</v>
      </c>
      <c r="N438" s="7" t="str">
        <f>VLOOKUP(A438, avaliacoes!A:G, 5, FALSE)</f>
        <v>Solid phone, worth considering,Good Phone,Overall decent product,Apart from the camera everything is fine,Product is good,Honest Review after 14 days usage,Superb but need improvement in camera,Best camera</v>
      </c>
      <c r="O438" s="7" t="str">
        <f>VLOOKUP(A438, avaliacoes!A:G,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row>
    <row r="439">
      <c r="A439" s="1" t="s">
        <v>1728</v>
      </c>
      <c r="B439" s="1" t="s">
        <v>1729</v>
      </c>
      <c r="C439" s="1" t="s">
        <v>1411</v>
      </c>
      <c r="D439" s="1" t="str">
        <f t="shared" si="2"/>
        <v>Electronics</v>
      </c>
      <c r="E439" s="1" t="str">
        <f t="shared" si="3"/>
        <v>Headphones,Earbuds&amp;Accessories</v>
      </c>
      <c r="F439" s="2">
        <v>599.0</v>
      </c>
      <c r="G439" s="2">
        <v>1490.0</v>
      </c>
      <c r="H439" s="3">
        <f t="shared" si="4"/>
        <v>0.5979865772</v>
      </c>
      <c r="I439" s="4">
        <f>IFERROR(__xludf.DUMMYFUNCTION("GOOGLEFINANCE(""CURRENCY:INRBRL"")*F439"),35.747315357199994)</f>
        <v>35.74731536</v>
      </c>
      <c r="J439" s="1">
        <v>4.49</v>
      </c>
      <c r="K439" s="1">
        <v>161679.0</v>
      </c>
      <c r="L439" s="1" t="s">
        <v>1730</v>
      </c>
      <c r="M439" s="6" t="s">
        <v>1731</v>
      </c>
      <c r="N439" s="7" t="str">
        <f>VLOOKUP(A439, avaliacoes!A:G, 5, FALSE)</f>
        <v>Good Sound,Not bad,Best gaming earphone,Some what satisfied with the boat 242--- 4.5/5,Outstanding fantastic,Good purchase,Nice product,Good quality</v>
      </c>
      <c r="O439" s="7" t="str">
        <f>VLOOKUP(A439, avaliacoes!A:G, 6, FALSE)</f>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v>
      </c>
    </row>
    <row r="440">
      <c r="A440" s="1" t="s">
        <v>1732</v>
      </c>
      <c r="B440" s="1" t="s">
        <v>1733</v>
      </c>
      <c r="C440" s="1" t="s">
        <v>1617</v>
      </c>
      <c r="D440" s="1" t="str">
        <f t="shared" si="2"/>
        <v>Electronics</v>
      </c>
      <c r="E440" s="1" t="str">
        <f t="shared" si="3"/>
        <v>Mobiles&amp;Accessories</v>
      </c>
      <c r="F440" s="2">
        <v>134.0</v>
      </c>
      <c r="G440" s="2">
        <v>699.0</v>
      </c>
      <c r="H440" s="3">
        <f t="shared" si="4"/>
        <v>0.808297568</v>
      </c>
      <c r="I440" s="4">
        <f>IFERROR(__xludf.DUMMYFUNCTION("GOOGLEFINANCE(""CURRENCY:INRBRL"")*F440"),7.996895255199999)</f>
        <v>7.996895255</v>
      </c>
      <c r="J440" s="1">
        <v>4.49</v>
      </c>
      <c r="K440" s="1">
        <v>16685.0</v>
      </c>
      <c r="L440" s="1" t="s">
        <v>1734</v>
      </c>
      <c r="M440" s="6" t="s">
        <v>1735</v>
      </c>
      <c r="N440" s="7" t="str">
        <f>VLOOKUP(A440, avaliacoes!A:G, 5, FALSE)</f>
        <v>Good one,Cannot set tha 90° vertical angle,Best,Nice to use,Avarage,Value for money.,IT DOES WHAT IT IS SUPPOSED TO,Good 👍</v>
      </c>
      <c r="O440" s="7" t="str">
        <f>VLOOKUP(A440, avaliacoes!A:G, 6, FALSE)</f>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v>
      </c>
    </row>
    <row r="441">
      <c r="A441" s="1" t="s">
        <v>1736</v>
      </c>
      <c r="B441" s="1" t="s">
        <v>1737</v>
      </c>
      <c r="C441" s="1" t="s">
        <v>1374</v>
      </c>
      <c r="D441" s="1" t="str">
        <f t="shared" si="2"/>
        <v>Electronics</v>
      </c>
      <c r="E441" s="1" t="str">
        <f t="shared" si="3"/>
        <v>Mobiles&amp;Accessories</v>
      </c>
      <c r="F441" s="2">
        <v>7499.0</v>
      </c>
      <c r="G441" s="2">
        <v>7999.0</v>
      </c>
      <c r="H441" s="3">
        <f t="shared" si="4"/>
        <v>0.06250781348</v>
      </c>
      <c r="I441" s="4">
        <f>IFERROR(__xludf.DUMMYFUNCTION("GOOGLEFINANCE(""CURRENCY:INRBRL"")*F441"),447.52774267719997)</f>
        <v>447.5277427</v>
      </c>
      <c r="J441" s="1">
        <v>4.0</v>
      </c>
      <c r="K441" s="1">
        <v>30907.0</v>
      </c>
      <c r="L441" s="1" t="s">
        <v>1738</v>
      </c>
      <c r="M441" s="6" t="s">
        <v>1739</v>
      </c>
      <c r="N441" s="7" t="str">
        <f>VLOOKUP(A441, avaliacoes!A:G, 5, FALSE)</f>
        <v>Budget Phone,Good product at this price,Good prodect,Good,Good,Value for Money!,Not bad,Nice</v>
      </c>
      <c r="O441" s="7" t="str">
        <f>VLOOKUP(A441, avaliacoes!A:G, 6, FALSE)</f>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v>
      </c>
    </row>
    <row r="442">
      <c r="A442" s="1" t="s">
        <v>1740</v>
      </c>
      <c r="B442" s="1" t="s">
        <v>1741</v>
      </c>
      <c r="C442" s="1" t="s">
        <v>1369</v>
      </c>
      <c r="D442" s="1" t="str">
        <f t="shared" si="2"/>
        <v>Electronics</v>
      </c>
      <c r="E442" s="1" t="str">
        <f t="shared" si="3"/>
        <v>Mobiles&amp;Accessories</v>
      </c>
      <c r="F442" s="2">
        <v>1149.0</v>
      </c>
      <c r="G442" s="2">
        <v>2199.0</v>
      </c>
      <c r="H442" s="3">
        <f t="shared" si="4"/>
        <v>0.4774897681</v>
      </c>
      <c r="I442" s="4">
        <f>IFERROR(__xludf.DUMMYFUNCTION("GOOGLEFINANCE(""CURRENCY:INRBRL"")*F442"),68.5703928972)</f>
        <v>68.5703929</v>
      </c>
      <c r="J442" s="1">
        <v>4.5</v>
      </c>
      <c r="K442" s="1">
        <v>178912.0</v>
      </c>
      <c r="L442" s="1" t="s">
        <v>1742</v>
      </c>
      <c r="M442" s="6" t="s">
        <v>1743</v>
      </c>
      <c r="N442" s="7" t="str">
        <f>VLOOKUP(A442, avaliacoes!A:G, 5, FALSE)</f>
        <v>Ok product to buy,Better than any other power banks,👍,Nice product,Performance is OK,Very Slim &amp; easy to carry,Decent product,GOAT</v>
      </c>
      <c r="O442" s="7" t="str">
        <f>VLOOKUP(A442, avaliacoes!A:G,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row>
    <row r="443">
      <c r="A443" s="1" t="s">
        <v>1744</v>
      </c>
      <c r="B443" s="1" t="s">
        <v>1745</v>
      </c>
      <c r="C443" s="1" t="s">
        <v>1402</v>
      </c>
      <c r="D443" s="1" t="str">
        <f t="shared" si="2"/>
        <v>Electronics</v>
      </c>
      <c r="E443" s="1" t="str">
        <f t="shared" si="3"/>
        <v>Mobiles&amp;Accessories</v>
      </c>
      <c r="F443" s="2">
        <v>1324.0</v>
      </c>
      <c r="G443" s="2">
        <v>1699.0</v>
      </c>
      <c r="H443" s="3">
        <f t="shared" si="4"/>
        <v>0.2207180695</v>
      </c>
      <c r="I443" s="4">
        <f>IFERROR(__xludf.DUMMYFUNCTION("GOOGLEFINANCE(""CURRENCY:INRBRL"")*F443"),79.01409938719999)</f>
        <v>79.01409939</v>
      </c>
      <c r="J443" s="1">
        <v>4.0</v>
      </c>
      <c r="K443" s="1">
        <v>128311.0</v>
      </c>
      <c r="L443" s="1" t="s">
        <v>1746</v>
      </c>
      <c r="M443" s="6" t="s">
        <v>1747</v>
      </c>
      <c r="N443" s="7" t="str">
        <f>VLOOKUP(A443, avaliacoes!A:G, 5, FALSE)</f>
        <v>Centre key,Nice phone,Good for Exam preparing students,Center button is not good,Battery runs out quickly,Nokia trusted brand only needs to improve ringtone sound,best phone,..</v>
      </c>
      <c r="O443" s="7" t="str">
        <f>VLOOKUP(A443, avaliacoes!A:G,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row>
    <row r="444">
      <c r="A444" s="1" t="s">
        <v>1748</v>
      </c>
      <c r="B444" s="1" t="s">
        <v>1749</v>
      </c>
      <c r="C444" s="1" t="s">
        <v>1374</v>
      </c>
      <c r="D444" s="1" t="str">
        <f t="shared" si="2"/>
        <v>Electronics</v>
      </c>
      <c r="E444" s="1" t="str">
        <f t="shared" si="3"/>
        <v>Mobiles&amp;Accessories</v>
      </c>
      <c r="F444" s="2">
        <v>13999.0</v>
      </c>
      <c r="G444" s="2">
        <v>19999.0</v>
      </c>
      <c r="H444" s="3">
        <f t="shared" si="4"/>
        <v>0.3000150008</v>
      </c>
      <c r="I444" s="4">
        <f>IFERROR(__xludf.DUMMYFUNCTION("GOOGLEFINANCE(""CURRENCY:INRBRL"")*F444"),835.4368408772)</f>
        <v>835.4368409</v>
      </c>
      <c r="J444" s="1">
        <v>4.49</v>
      </c>
      <c r="K444" s="1">
        <v>19252.0</v>
      </c>
      <c r="L444" s="1" t="s">
        <v>1719</v>
      </c>
      <c r="M444" s="6" t="s">
        <v>1750</v>
      </c>
      <c r="N444" s="7" t="str">
        <f>VLOOKUP(A444, avaliacoes!A:G, 5, FALSE)</f>
        <v>Above average phone,Worth For The Money 💰,Okie,Phone is excellent,Purchased in good budget at 12k,It can fulfill basic needs in affordable price range,Nice,About features</v>
      </c>
      <c r="O444" s="7" t="str">
        <f>VLOOKUP(A444,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row>
    <row r="445">
      <c r="A445" s="1" t="s">
        <v>65</v>
      </c>
      <c r="B445" s="1" t="s">
        <v>66</v>
      </c>
      <c r="C445" s="1" t="s">
        <v>21</v>
      </c>
      <c r="D445" s="1" t="str">
        <f t="shared" si="2"/>
        <v>Computers&amp;Accessories</v>
      </c>
      <c r="E445" s="1" t="str">
        <f t="shared" si="3"/>
        <v>Accessories&amp;Peripherals</v>
      </c>
      <c r="F445" s="2">
        <v>299.0</v>
      </c>
      <c r="G445" s="2">
        <v>799.0</v>
      </c>
      <c r="H445" s="3">
        <f t="shared" si="4"/>
        <v>0.6257822278</v>
      </c>
      <c r="I445" s="4">
        <f>IFERROR(__xludf.DUMMYFUNCTION("GOOGLEFINANCE(""CURRENCY:INRBRL"")*F445"),17.8438185172)</f>
        <v>17.84381852</v>
      </c>
      <c r="J445" s="1">
        <v>4.5</v>
      </c>
      <c r="K445" s="1">
        <v>94364.0</v>
      </c>
      <c r="L445" s="1" t="s">
        <v>67</v>
      </c>
      <c r="M445" s="6" t="s">
        <v>1751</v>
      </c>
      <c r="N445" s="7" t="str">
        <f>VLOOKUP(A445, avaliacoes!A:G, 5, FALSE)</f>
        <v>Good product,Good one,Nice,Really nice product,Very first time change,Good,Fine product but could be better,Very nice it's charging like jet</v>
      </c>
      <c r="O445" s="7" t="str">
        <f>VLOOKUP(A445,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row>
    <row r="446">
      <c r="A446" s="1" t="s">
        <v>1752</v>
      </c>
      <c r="B446" s="1" t="s">
        <v>1753</v>
      </c>
      <c r="C446" s="1" t="s">
        <v>1369</v>
      </c>
      <c r="D446" s="1" t="str">
        <f t="shared" si="2"/>
        <v>Electronics</v>
      </c>
      <c r="E446" s="1" t="str">
        <f t="shared" si="3"/>
        <v>Mobiles&amp;Accessories</v>
      </c>
      <c r="F446" s="2">
        <v>999.0</v>
      </c>
      <c r="G446" s="2">
        <v>1599.0</v>
      </c>
      <c r="H446" s="3">
        <f t="shared" si="4"/>
        <v>0.3752345216</v>
      </c>
      <c r="I446" s="4">
        <f>IFERROR(__xludf.DUMMYFUNCTION("GOOGLEFINANCE(""CURRENCY:INRBRL"")*F446"),59.61864447719999)</f>
        <v>59.61864448</v>
      </c>
      <c r="J446" s="1">
        <v>4.0</v>
      </c>
      <c r="K446" s="1">
        <v>7222.0</v>
      </c>
      <c r="L446" s="1" t="s">
        <v>1754</v>
      </c>
      <c r="M446" s="6" t="s">
        <v>1755</v>
      </c>
      <c r="N446" s="7" t="str">
        <f>VLOOKUP(A446, avaliacoes!A:G, 5, FALSE)</f>
        <v>Nice product,Good,Kaam sahi karta hai ji,Woks fine,Nice,good and portabe,Good for a single charge of 5000mah mobile.,Good product</v>
      </c>
      <c r="O446" s="7" t="str">
        <f>VLOOKUP(A446, avaliacoes!A:G, 6, FALSE)</f>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v>
      </c>
    </row>
    <row r="447">
      <c r="A447" s="1" t="s">
        <v>1756</v>
      </c>
      <c r="B447" s="1" t="s">
        <v>1757</v>
      </c>
      <c r="C447" s="1" t="s">
        <v>1374</v>
      </c>
      <c r="D447" s="1" t="str">
        <f t="shared" si="2"/>
        <v>Electronics</v>
      </c>
      <c r="E447" s="1" t="str">
        <f t="shared" si="3"/>
        <v>Mobiles&amp;Accessories</v>
      </c>
      <c r="F447" s="2">
        <v>12999.0</v>
      </c>
      <c r="G447" s="2">
        <v>17999.0</v>
      </c>
      <c r="H447" s="3">
        <f t="shared" si="4"/>
        <v>0.2777932107</v>
      </c>
      <c r="I447" s="4">
        <f>IFERROR(__xludf.DUMMYFUNCTION("GOOGLEFINANCE(""CURRENCY:INRBRL"")*F447"),775.7585180771999)</f>
        <v>775.7585181</v>
      </c>
      <c r="J447" s="1">
        <v>4.49</v>
      </c>
      <c r="K447" s="1">
        <v>18998.0</v>
      </c>
      <c r="L447" s="1" t="s">
        <v>1477</v>
      </c>
      <c r="M447" s="6" t="s">
        <v>1758</v>
      </c>
      <c r="N447" s="7" t="str">
        <f>VLOOKUP(A447, avaliacoes!A:G, 5, FALSE)</f>
        <v>Phone, camera, heating - works for me, may not for all,Good Mobile,Good but not excellent under this budget,Worth the price at 9499,Ok type phone... but unable to make videocall within same service provider.,Phone review,Budget king,Battery backup is good</v>
      </c>
      <c r="O447" s="7" t="str">
        <f>VLOOKUP(A447,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row>
    <row r="448">
      <c r="A448" s="1" t="s">
        <v>1759</v>
      </c>
      <c r="B448" s="1" t="s">
        <v>1760</v>
      </c>
      <c r="C448" s="1" t="s">
        <v>1374</v>
      </c>
      <c r="D448" s="1" t="str">
        <f t="shared" si="2"/>
        <v>Electronics</v>
      </c>
      <c r="E448" s="1" t="str">
        <f t="shared" si="3"/>
        <v>Mobiles&amp;Accessories</v>
      </c>
      <c r="F448" s="2">
        <v>15490.0</v>
      </c>
      <c r="G448" s="2">
        <v>20990.0</v>
      </c>
      <c r="H448" s="3">
        <f t="shared" si="4"/>
        <v>0.2620295379</v>
      </c>
      <c r="I448" s="4">
        <f>IFERROR(__xludf.DUMMYFUNCTION("GOOGLEFINANCE(""CURRENCY:INRBRL"")*F448"),924.4172201719999)</f>
        <v>924.4172202</v>
      </c>
      <c r="J448" s="1">
        <v>4.5</v>
      </c>
      <c r="K448" s="1">
        <v>32916.0</v>
      </c>
      <c r="L448" s="1" t="s">
        <v>1761</v>
      </c>
      <c r="M448" s="6" t="s">
        <v>1762</v>
      </c>
      <c r="N448" s="7" t="str">
        <f>VLOOKUP(A448, avaliacoes!A:G, 5, FALSE)</f>
        <v>Good,Amazing phone,Nice mobile ... But Amazon very low service.. every product,Value for money,Good prpduct,Good,Overal a good product,Best phone in this range</v>
      </c>
      <c r="O448" s="7" t="str">
        <f>VLOOKUP(A448, avaliacoes!A:G, 6, FALSE)</f>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v>
      </c>
    </row>
    <row r="449">
      <c r="A449" s="1" t="s">
        <v>1763</v>
      </c>
      <c r="B449" s="1" t="s">
        <v>1764</v>
      </c>
      <c r="C449" s="1" t="s">
        <v>1765</v>
      </c>
      <c r="D449" s="1" t="str">
        <f t="shared" si="2"/>
        <v>Electronics</v>
      </c>
      <c r="E449" s="1" t="str">
        <f t="shared" si="3"/>
        <v>Mobiles&amp;Accessories</v>
      </c>
      <c r="F449" s="2">
        <v>999.0</v>
      </c>
      <c r="G449" s="2">
        <v>2899.0</v>
      </c>
      <c r="H449" s="3">
        <f t="shared" si="4"/>
        <v>0.6553984132</v>
      </c>
      <c r="I449" s="4">
        <f>IFERROR(__xludf.DUMMYFUNCTION("GOOGLEFINANCE(""CURRENCY:INRBRL"")*F449"),59.61864447719999)</f>
        <v>59.61864448</v>
      </c>
      <c r="J449" s="1">
        <v>4.51</v>
      </c>
      <c r="K449" s="1">
        <v>26603.0</v>
      </c>
      <c r="L449" s="1" t="s">
        <v>1766</v>
      </c>
      <c r="M449" s="6" t="s">
        <v>1767</v>
      </c>
      <c r="N449" s="7" t="str">
        <f>VLOOKUP(A449, avaliacoes!A:G, 5, FALSE)</f>
        <v>Easy to install but a bit slippery,Very good product, value for money,Expensive but for a reason,Best Screen Protector!,Best tempered glass to buy for your mobile,Clarity and adhesion is good,Perfect product,Great product and genuinely easy to install</v>
      </c>
      <c r="O449" s="7" t="str">
        <f>VLOOKUP(A449, avaliacoes!A:G, 6, FALSE)</f>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v>
      </c>
    </row>
    <row r="450">
      <c r="A450" s="1" t="s">
        <v>1768</v>
      </c>
      <c r="B450" s="1" t="s">
        <v>1769</v>
      </c>
      <c r="C450" s="1" t="s">
        <v>1356</v>
      </c>
      <c r="D450" s="1" t="str">
        <f t="shared" si="2"/>
        <v>Electronics</v>
      </c>
      <c r="E450" s="1" t="str">
        <f t="shared" si="3"/>
        <v>WearableTechnology</v>
      </c>
      <c r="F450" s="2">
        <v>1599.0</v>
      </c>
      <c r="G450" s="2">
        <v>4999.0</v>
      </c>
      <c r="H450" s="3">
        <f t="shared" si="4"/>
        <v>0.6801360272</v>
      </c>
      <c r="I450" s="4">
        <f>IFERROR(__xludf.DUMMYFUNCTION("GOOGLEFINANCE(""CURRENCY:INRBRL"")*F450"),95.4256381572)</f>
        <v>95.42563816</v>
      </c>
      <c r="J450" s="1">
        <v>4.0</v>
      </c>
      <c r="K450" s="1">
        <v>6795.0</v>
      </c>
      <c r="L450" s="1" t="s">
        <v>1770</v>
      </c>
      <c r="M450" s="6" t="s">
        <v>1771</v>
      </c>
      <c r="N450" s="7" t="str">
        <f>VLOOKUP(A450, avaliacoes!A:G, 5, FALSE)</f>
        <v>Noise smartwatch,The product is good overall,Good Battery backup,Okayish product,Satisfied.,Good,It's great watch,Noise</v>
      </c>
      <c r="O450" s="7" t="str">
        <f>VLOOKUP(A450, avaliacoes!A:G, 6, FALSE)</f>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v>
      </c>
    </row>
    <row r="451">
      <c r="A451" s="1" t="s">
        <v>1772</v>
      </c>
      <c r="B451" s="1" t="s">
        <v>1773</v>
      </c>
      <c r="C451" s="1" t="s">
        <v>1402</v>
      </c>
      <c r="D451" s="1" t="str">
        <f t="shared" si="2"/>
        <v>Electronics</v>
      </c>
      <c r="E451" s="1" t="str">
        <f t="shared" si="3"/>
        <v>Mobiles&amp;Accessories</v>
      </c>
      <c r="F451" s="2">
        <v>1324.0</v>
      </c>
      <c r="G451" s="2">
        <v>1699.0</v>
      </c>
      <c r="H451" s="3">
        <f t="shared" si="4"/>
        <v>0.2207180695</v>
      </c>
      <c r="I451" s="4">
        <f>IFERROR(__xludf.DUMMYFUNCTION("GOOGLEFINANCE(""CURRENCY:INRBRL"")*F451"),79.01409938719999)</f>
        <v>79.01409939</v>
      </c>
      <c r="J451" s="1">
        <v>4.0</v>
      </c>
      <c r="K451" s="1">
        <v>128311.0</v>
      </c>
      <c r="L451" s="1" t="s">
        <v>1746</v>
      </c>
      <c r="M451" s="6" t="s">
        <v>1774</v>
      </c>
      <c r="N451" s="7" t="str">
        <f>VLOOKUP(A451, avaliacoes!A:G, 5, FALSE)</f>
        <v>Centre key,Nice phone,Good for Exam preparing students,Center button is not good,Battery runs out quickly,Nokia trusted brand only needs to improve ringtone sound,best phone,..</v>
      </c>
      <c r="O451" s="7" t="str">
        <f>VLOOKUP(A451, avaliacoes!A:G,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row>
    <row r="452">
      <c r="A452" s="1" t="s">
        <v>1775</v>
      </c>
      <c r="B452" s="1" t="s">
        <v>1776</v>
      </c>
      <c r="C452" s="1" t="s">
        <v>1374</v>
      </c>
      <c r="D452" s="1" t="str">
        <f t="shared" si="2"/>
        <v>Electronics</v>
      </c>
      <c r="E452" s="1" t="str">
        <f t="shared" si="3"/>
        <v>Mobiles&amp;Accessories</v>
      </c>
      <c r="F452" s="2">
        <v>20999.0</v>
      </c>
      <c r="G452" s="2">
        <v>29990.0</v>
      </c>
      <c r="H452" s="3">
        <f t="shared" si="4"/>
        <v>0.2997999333</v>
      </c>
      <c r="I452" s="4">
        <f>IFERROR(__xludf.DUMMYFUNCTION("GOOGLEFINANCE(""CURRENCY:INRBRL"")*F452"),1253.1851004772)</f>
        <v>1253.1851</v>
      </c>
      <c r="J452" s="1">
        <v>4.5</v>
      </c>
      <c r="K452" s="1">
        <v>9499.0</v>
      </c>
      <c r="L452" s="1" t="s">
        <v>1777</v>
      </c>
      <c r="M452" s="6" t="s">
        <v>1778</v>
      </c>
      <c r="N452" s="7" t="str">
        <f>VLOOKUP(A452, avaliacoes!A:G, 5, FALSE)</f>
        <v>Good phone , little expensive,Buyers Beware,I bought this mobile at 18k, worth on that price.,satisfied with the product,Single led flash light,Good product,Good not Excellent.,Good one</v>
      </c>
      <c r="O452" s="7" t="str">
        <f>VLOOKUP(A452, avaliacoes!A:G,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row>
    <row r="453">
      <c r="A453" s="1" t="s">
        <v>1779</v>
      </c>
      <c r="B453" s="1" t="s">
        <v>1780</v>
      </c>
      <c r="C453" s="1" t="s">
        <v>1456</v>
      </c>
      <c r="D453" s="1" t="str">
        <f t="shared" si="2"/>
        <v>Electronics</v>
      </c>
      <c r="E453" s="1" t="str">
        <f t="shared" si="3"/>
        <v>Mobiles&amp;Accessories</v>
      </c>
      <c r="F453" s="2">
        <v>999.0</v>
      </c>
      <c r="G453" s="2">
        <v>1999.0</v>
      </c>
      <c r="H453" s="3">
        <f t="shared" si="4"/>
        <v>0.5002501251</v>
      </c>
      <c r="I453" s="4">
        <f>IFERROR(__xludf.DUMMYFUNCTION("GOOGLEFINANCE(""CURRENCY:INRBRL"")*F453"),59.61864447719999)</f>
        <v>59.61864448</v>
      </c>
      <c r="J453" s="1">
        <v>4.5</v>
      </c>
      <c r="K453" s="1">
        <v>1777.0</v>
      </c>
      <c r="L453" s="1" t="s">
        <v>1781</v>
      </c>
      <c r="M453" s="6" t="s">
        <v>1782</v>
      </c>
      <c r="N453" s="7" t="str">
        <f>VLOOKUP(A453, avaliacoes!A:G, 5, FALSE)</f>
        <v>Very good power charger,Good and original item,Good and original,Power House !!,Good but not perfect,Best Charger,Value,Average</v>
      </c>
      <c r="O453" s="7" t="str">
        <f>VLOOKUP(A453, avaliacoes!A:G, 6, FALSE)</f>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v>
      </c>
    </row>
    <row r="454">
      <c r="A454" s="1" t="s">
        <v>1783</v>
      </c>
      <c r="B454" s="1" t="s">
        <v>1784</v>
      </c>
      <c r="C454" s="1" t="s">
        <v>1374</v>
      </c>
      <c r="D454" s="1" t="str">
        <f t="shared" si="2"/>
        <v>Electronics</v>
      </c>
      <c r="E454" s="1" t="str">
        <f t="shared" si="3"/>
        <v>Mobiles&amp;Accessories</v>
      </c>
      <c r="F454" s="2">
        <v>12490.0</v>
      </c>
      <c r="G454" s="2">
        <v>15990.0</v>
      </c>
      <c r="H454" s="3">
        <f t="shared" si="4"/>
        <v>0.2188868043</v>
      </c>
      <c r="I454" s="4">
        <f>IFERROR(__xludf.DUMMYFUNCTION("GOOGLEFINANCE(""CURRENCY:INRBRL"")*F454"),745.3822517719999)</f>
        <v>745.3822518</v>
      </c>
      <c r="J454" s="1">
        <v>4.5</v>
      </c>
      <c r="K454" s="1">
        <v>58506.0</v>
      </c>
      <c r="L454" s="1" t="s">
        <v>1785</v>
      </c>
      <c r="M454" s="6" t="s">
        <v>1786</v>
      </c>
      <c r="N454" s="7" t="str">
        <f>VLOOKUP(A454, avaliacoes!A:G, 5, FALSE)</f>
        <v>This is best,It's okay for a naive user,Good for the price.,Good,Excellent Product. Easy to operates.,best features in phones which you dont find in apple like call recording,Good purchase at this price,Good</v>
      </c>
      <c r="O454" s="7" t="str">
        <f>VLOOKUP(A454, avaliacoes!A:G, 6, FALSE)</f>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v>
      </c>
    </row>
    <row r="455">
      <c r="A455" s="1" t="s">
        <v>1787</v>
      </c>
      <c r="B455" s="1" t="s">
        <v>1788</v>
      </c>
      <c r="C455" s="1" t="s">
        <v>1374</v>
      </c>
      <c r="D455" s="1" t="str">
        <f t="shared" si="2"/>
        <v>Electronics</v>
      </c>
      <c r="E455" s="1" t="str">
        <f t="shared" si="3"/>
        <v>Mobiles&amp;Accessories</v>
      </c>
      <c r="F455" s="2">
        <v>17999.0</v>
      </c>
      <c r="G455" s="2">
        <v>21990.0</v>
      </c>
      <c r="H455" s="3">
        <f t="shared" si="4"/>
        <v>0.1814915871</v>
      </c>
      <c r="I455" s="4">
        <f>IFERROR(__xludf.DUMMYFUNCTION("GOOGLEFINANCE(""CURRENCY:INRBRL"")*F455"),1074.1501320772)</f>
        <v>1074.150132</v>
      </c>
      <c r="J455" s="1">
        <v>4.0</v>
      </c>
      <c r="K455" s="1">
        <v>2135.0</v>
      </c>
      <c r="L455" s="1" t="s">
        <v>1789</v>
      </c>
      <c r="M455" s="6" t="s">
        <v>1790</v>
      </c>
      <c r="N455" s="7" t="str">
        <f>VLOOKUP(A455, avaliacoes!A:G,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455" s="7" t="str">
        <f>VLOOKUP(A455, avaliacoes!A:G,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row>
    <row r="456">
      <c r="A456" s="1" t="s">
        <v>74</v>
      </c>
      <c r="B456" s="1" t="s">
        <v>75</v>
      </c>
      <c r="C456" s="1" t="s">
        <v>21</v>
      </c>
      <c r="D456" s="1" t="str">
        <f t="shared" si="2"/>
        <v>Computers&amp;Accessories</v>
      </c>
      <c r="E456" s="1" t="str">
        <f t="shared" si="3"/>
        <v>Accessories&amp;Peripherals</v>
      </c>
      <c r="F456" s="2">
        <v>350.0</v>
      </c>
      <c r="G456" s="2">
        <v>899.0</v>
      </c>
      <c r="H456" s="3">
        <f t="shared" si="4"/>
        <v>0.6106785317</v>
      </c>
      <c r="I456" s="4">
        <f>IFERROR(__xludf.DUMMYFUNCTION("GOOGLEFINANCE(""CURRENCY:INRBRL"")*F456"),20.887412979999997)</f>
        <v>20.88741298</v>
      </c>
      <c r="J456" s="1">
        <v>4.5</v>
      </c>
      <c r="K456" s="1">
        <v>2263.0</v>
      </c>
      <c r="L456" s="1" t="s">
        <v>76</v>
      </c>
      <c r="M456" s="6" t="s">
        <v>1791</v>
      </c>
      <c r="N456" s="7" t="str">
        <f>VLOOKUP(A456, avaliacoes!A:G, 5, FALSE)</f>
        <v>Works,Nice Product,Fast Charging as original,Good for data transfer,Average. Cost effective,Good quality,Great Product,Nice</v>
      </c>
      <c r="O456" s="7" t="str">
        <f>VLOOKUP(A456, avaliacoes!A:G,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row>
    <row r="457">
      <c r="A457" s="1" t="s">
        <v>1792</v>
      </c>
      <c r="B457" s="1" t="s">
        <v>1793</v>
      </c>
      <c r="C457" s="1" t="s">
        <v>1402</v>
      </c>
      <c r="D457" s="1" t="str">
        <f t="shared" si="2"/>
        <v>Electronics</v>
      </c>
      <c r="E457" s="1" t="str">
        <f t="shared" si="3"/>
        <v>Mobiles&amp;Accessories</v>
      </c>
      <c r="F457" s="2">
        <v>1399.0</v>
      </c>
      <c r="G457" s="2">
        <v>1630.0</v>
      </c>
      <c r="H457" s="3">
        <f t="shared" si="4"/>
        <v>0.1417177914</v>
      </c>
      <c r="I457" s="4">
        <f>IFERROR(__xludf.DUMMYFUNCTION("GOOGLEFINANCE(""CURRENCY:INRBRL"")*F457"),83.48997359719999)</f>
        <v>83.4899736</v>
      </c>
      <c r="J457" s="1">
        <v>4.0</v>
      </c>
      <c r="K457" s="1">
        <v>9378.0</v>
      </c>
      <c r="L457" s="1" t="s">
        <v>1794</v>
      </c>
      <c r="M457" s="6" t="s">
        <v>1795</v>
      </c>
      <c r="N457" s="7" t="str">
        <f>VLOOKUP(A457, avaliacoes!A:G, 5, FALSE)</f>
        <v>Out of 5 iam giving 3.5 rating everything is okay except voice sound during call,Simple for rough use,charger quality bad,Lightweight.,Terriffic battery life,Good one for elders,Good in this price,Good</v>
      </c>
      <c r="O457" s="7" t="str">
        <f>VLOOKUP(A457, avaliacoes!A:G, 6, FALSE)</f>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v>
      </c>
    </row>
    <row r="458">
      <c r="A458" s="1" t="s">
        <v>78</v>
      </c>
      <c r="B458" s="1" t="s">
        <v>79</v>
      </c>
      <c r="C458" s="1" t="s">
        <v>21</v>
      </c>
      <c r="D458" s="1" t="str">
        <f t="shared" si="2"/>
        <v>Computers&amp;Accessories</v>
      </c>
      <c r="E458" s="1" t="str">
        <f t="shared" si="3"/>
        <v>Accessories&amp;Peripherals</v>
      </c>
      <c r="F458" s="2">
        <v>159.0</v>
      </c>
      <c r="G458" s="2">
        <v>399.0</v>
      </c>
      <c r="H458" s="3">
        <f t="shared" si="4"/>
        <v>0.6015037594</v>
      </c>
      <c r="I458" s="4">
        <f>IFERROR(__xludf.DUMMYFUNCTION("GOOGLEFINANCE(""CURRENCY:INRBRL"")*F458"),9.4888533252)</f>
        <v>9.488853325</v>
      </c>
      <c r="J458" s="1">
        <v>4.49</v>
      </c>
      <c r="K458" s="1">
        <v>4768.0</v>
      </c>
      <c r="L458" s="1" t="s">
        <v>38</v>
      </c>
      <c r="M458" s="6" t="s">
        <v>1796</v>
      </c>
      <c r="N458" s="7" t="str">
        <f>VLOOKUP(A458, avaliacoes!A:G,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O458" s="7" t="str">
        <f>VLOOKUP(A458, avaliacoes!A:G,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row>
    <row r="459">
      <c r="A459" s="1" t="s">
        <v>1797</v>
      </c>
      <c r="B459" s="1" t="s">
        <v>1798</v>
      </c>
      <c r="C459" s="1" t="s">
        <v>1356</v>
      </c>
      <c r="D459" s="1" t="str">
        <f t="shared" si="2"/>
        <v>Electronics</v>
      </c>
      <c r="E459" s="1" t="str">
        <f t="shared" si="3"/>
        <v>WearableTechnology</v>
      </c>
      <c r="F459" s="2">
        <v>1499.0</v>
      </c>
      <c r="G459" s="2">
        <v>6990.0</v>
      </c>
      <c r="H459" s="3">
        <f t="shared" si="4"/>
        <v>0.7855507868</v>
      </c>
      <c r="I459" s="4">
        <f>IFERROR(__xludf.DUMMYFUNCTION("GOOGLEFINANCE(""CURRENCY:INRBRL"")*F459"),89.45780587719999)</f>
        <v>89.45780588</v>
      </c>
      <c r="J459" s="1">
        <v>4.52</v>
      </c>
      <c r="K459" s="1">
        <v>21796.0</v>
      </c>
      <c r="L459" s="1" t="s">
        <v>1407</v>
      </c>
      <c r="M459" s="6" t="s">
        <v>1799</v>
      </c>
      <c r="N459" s="7" t="str">
        <f>VLOOKUP(A459, avaliacoes!A:G, 5, FALSE)</f>
        <v>Ideal Product,Ok,उपयोगी एवं संतोषजनक,Ok in this price range,Battery,It is a good watch,Nice watch,Average</v>
      </c>
      <c r="O459" s="7" t="str">
        <f>VLOOKUP(A459, avaliacoes!A:G,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row>
    <row r="460">
      <c r="A460" s="1" t="s">
        <v>1800</v>
      </c>
      <c r="B460" s="1" t="s">
        <v>1801</v>
      </c>
      <c r="C460" s="1" t="s">
        <v>1356</v>
      </c>
      <c r="D460" s="1" t="str">
        <f t="shared" si="2"/>
        <v>Electronics</v>
      </c>
      <c r="E460" s="1" t="str">
        <f t="shared" si="3"/>
        <v>WearableTechnology</v>
      </c>
      <c r="F460" s="2">
        <v>1999.0</v>
      </c>
      <c r="G460" s="2">
        <v>7990.0</v>
      </c>
      <c r="H460" s="3">
        <f t="shared" si="4"/>
        <v>0.7498122653</v>
      </c>
      <c r="I460" s="4">
        <f>IFERROR(__xludf.DUMMYFUNCTION("GOOGLEFINANCE(""CURRENCY:INRBRL"")*F460"),119.2969672772)</f>
        <v>119.2969673</v>
      </c>
      <c r="J460" s="1">
        <v>4.51</v>
      </c>
      <c r="K460" s="1">
        <v>17833.0</v>
      </c>
      <c r="L460" s="1" t="s">
        <v>1365</v>
      </c>
      <c r="M460" s="6" t="s">
        <v>1802</v>
      </c>
      <c r="N460" s="7" t="str">
        <f>VLOOKUP(A460, avaliacoes!A:G, 5, FALSE)</f>
        <v>Not Polished Enough. (Improving with updates),Best for the budget 👍,Value of money,nice product,Good product,Super value for money,Awesome product,Product itv</v>
      </c>
      <c r="O460" s="7" t="str">
        <f>VLOOKUP(A460,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row>
    <row r="461">
      <c r="A461" s="1" t="s">
        <v>1803</v>
      </c>
      <c r="B461" s="1" t="s">
        <v>1804</v>
      </c>
      <c r="C461" s="1" t="s">
        <v>1765</v>
      </c>
      <c r="D461" s="1" t="str">
        <f t="shared" si="2"/>
        <v>Electronics</v>
      </c>
      <c r="E461" s="1" t="str">
        <f t="shared" si="3"/>
        <v>Mobiles&amp;Accessories</v>
      </c>
      <c r="F461" s="2">
        <v>999.0</v>
      </c>
      <c r="G461" s="2">
        <v>2899.0</v>
      </c>
      <c r="H461" s="3">
        <f t="shared" si="4"/>
        <v>0.6553984132</v>
      </c>
      <c r="I461" s="4">
        <f>IFERROR(__xludf.DUMMYFUNCTION("GOOGLEFINANCE(""CURRENCY:INRBRL"")*F461"),59.61864447719999)</f>
        <v>59.61864448</v>
      </c>
      <c r="J461" s="1">
        <v>4.51</v>
      </c>
      <c r="K461" s="1">
        <v>7779.0</v>
      </c>
      <c r="L461" s="1" t="s">
        <v>1805</v>
      </c>
      <c r="M461" s="6" t="s">
        <v>1806</v>
      </c>
      <c r="N461" s="7" t="str">
        <f>VLOOKUP(A461, avaliacoes!A:G, 5, FALSE)</f>
        <v>Easy to install,Best screen guard and the easiest to install!,Easy to install,Very easy to install and doesn't interfere with the case,Value for money,Good tempered glass,Value for money,Wonderfull wonderfull wonderfull</v>
      </c>
      <c r="O461" s="7" t="str">
        <f>VLOOKUP(A461, avaliacoes!A:G, 6, FALSE)</f>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v>
      </c>
    </row>
    <row r="462">
      <c r="A462" s="1" t="s">
        <v>1807</v>
      </c>
      <c r="B462" s="1" t="s">
        <v>1808</v>
      </c>
      <c r="C462" s="1" t="s">
        <v>1809</v>
      </c>
      <c r="D462" s="1" t="str">
        <f t="shared" si="2"/>
        <v>Electronics</v>
      </c>
      <c r="E462" s="1" t="str">
        <f t="shared" si="3"/>
        <v>Mobiles&amp;Accessories</v>
      </c>
      <c r="F462" s="2">
        <v>2099.0</v>
      </c>
      <c r="G462" s="2">
        <v>5999.0</v>
      </c>
      <c r="H462" s="3">
        <f t="shared" si="4"/>
        <v>0.6501083514</v>
      </c>
      <c r="I462" s="4">
        <f>IFERROR(__xludf.DUMMYFUNCTION("GOOGLEFINANCE(""CURRENCY:INRBRL"")*F462"),125.26479955719999)</f>
        <v>125.2647996</v>
      </c>
      <c r="J462" s="1">
        <v>4.5</v>
      </c>
      <c r="K462" s="1">
        <v>17129.0</v>
      </c>
      <c r="L462" s="1" t="s">
        <v>1810</v>
      </c>
      <c r="M462" s="6" t="s">
        <v>1811</v>
      </c>
      <c r="N462" s="7" t="str">
        <f>VLOOKUP(A462, avaliacoes!A:G, 5, FALSE)</f>
        <v>Really Satisfied with purchase.,DO NOT BELIEVE ANSWERS FOR QUESTIONS SAYING IT WORKS ON iPad Pro 10.5 inch (A1701),Does all the necessary stuff,No Double Tap Gesture,5 star product at this price,Very good product,Automatically off's itself,Value for money pen</v>
      </c>
      <c r="O462" s="7" t="str">
        <f>VLOOKUP(A462, avaliacoes!A:G, 6, FALSE)</f>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v>
      </c>
    </row>
    <row r="463">
      <c r="A463" s="1" t="s">
        <v>1812</v>
      </c>
      <c r="B463" s="1" t="s">
        <v>1813</v>
      </c>
      <c r="C463" s="1" t="s">
        <v>1428</v>
      </c>
      <c r="D463" s="1" t="str">
        <f t="shared" si="2"/>
        <v>Electronics</v>
      </c>
      <c r="E463" s="1" t="str">
        <f t="shared" si="3"/>
        <v>Mobiles&amp;Accessories</v>
      </c>
      <c r="F463" s="2">
        <v>337.0</v>
      </c>
      <c r="G463" s="2">
        <v>699.0</v>
      </c>
      <c r="H463" s="3">
        <f t="shared" si="4"/>
        <v>0.5178826896</v>
      </c>
      <c r="I463" s="4">
        <f>IFERROR(__xludf.DUMMYFUNCTION("GOOGLEFINANCE(""CURRENCY:INRBRL"")*F463"),20.111594783599998)</f>
        <v>20.11159478</v>
      </c>
      <c r="J463" s="1">
        <v>4.5</v>
      </c>
      <c r="K463" s="1">
        <v>4969.0</v>
      </c>
      <c r="L463" s="1" t="s">
        <v>1814</v>
      </c>
      <c r="M463" s="6" t="s">
        <v>1815</v>
      </c>
      <c r="N463" s="7" t="str">
        <f>VLOOKUP(A463, avaliacoes!A:G, 5, FALSE)</f>
        <v>Good charging speed, supports well for Suzuki burgman also,Good car charger,It connects to apple lighting Cabel,Good car charger,Good product,Nice quality,It’s only a charger,excellent value for money</v>
      </c>
      <c r="O463" s="7" t="str">
        <f>VLOOKUP(A463, avaliacoes!A:G, 6, FALSE)</f>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v>
      </c>
    </row>
    <row r="464">
      <c r="A464" s="1" t="s">
        <v>1816</v>
      </c>
      <c r="B464" s="1" t="s">
        <v>1817</v>
      </c>
      <c r="C464" s="1" t="s">
        <v>1356</v>
      </c>
      <c r="D464" s="1" t="str">
        <f t="shared" si="2"/>
        <v>Electronics</v>
      </c>
      <c r="E464" s="1" t="str">
        <f t="shared" si="3"/>
        <v>WearableTechnology</v>
      </c>
      <c r="F464" s="2">
        <v>2999.0</v>
      </c>
      <c r="G464" s="2">
        <v>7990.0</v>
      </c>
      <c r="H464" s="3">
        <f t="shared" si="4"/>
        <v>0.6246558198</v>
      </c>
      <c r="I464" s="4">
        <f>IFERROR(__xludf.DUMMYFUNCTION("GOOGLEFINANCE(""CURRENCY:INRBRL"")*F464"),178.9752900772)</f>
        <v>178.9752901</v>
      </c>
      <c r="J464" s="1">
        <v>4.49</v>
      </c>
      <c r="K464" s="1">
        <v>154.0</v>
      </c>
      <c r="L464" s="1" t="s">
        <v>1818</v>
      </c>
      <c r="M464" s="6" t="s">
        <v>1819</v>
      </c>
      <c r="N464" s="7" t="str">
        <f>VLOOKUP(A464, avaliacoes!A:G, 5, FALSE)</f>
        <v>Feature Wise OK at this Price But Sometimes call screen not come on the display of Watch,Problem with connection.,Good,Good watch,Worth ₹1799,Very nice product,Touch working smoothly.,Nice watch</v>
      </c>
      <c r="O464" s="7" t="str">
        <f>VLOOKUP(A464, avaliacoes!A:G, 6, FALSE)</f>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v>
      </c>
    </row>
    <row r="465">
      <c r="A465" s="1" t="s">
        <v>1820</v>
      </c>
      <c r="B465" s="1" t="s">
        <v>1821</v>
      </c>
      <c r="C465" s="1" t="s">
        <v>1356</v>
      </c>
      <c r="D465" s="1" t="str">
        <f t="shared" si="2"/>
        <v>Electronics</v>
      </c>
      <c r="E465" s="1" t="str">
        <f t="shared" si="3"/>
        <v>WearableTechnology</v>
      </c>
      <c r="F465" s="2">
        <v>1299.0</v>
      </c>
      <c r="G465" s="2">
        <v>5999.0</v>
      </c>
      <c r="H465" s="3">
        <f t="shared" si="4"/>
        <v>0.7834639107</v>
      </c>
      <c r="I465" s="4">
        <f>IFERROR(__xludf.DUMMYFUNCTION("GOOGLEFINANCE(""CURRENCY:INRBRL"")*F465"),77.5221413172)</f>
        <v>77.52214132</v>
      </c>
      <c r="J465" s="1">
        <v>4.5</v>
      </c>
      <c r="K465" s="1">
        <v>4415.0</v>
      </c>
      <c r="L465" s="1" t="s">
        <v>1822</v>
      </c>
      <c r="M465" s="6" t="s">
        <v>1823</v>
      </c>
      <c r="N465" s="7" t="str">
        <f>VLOOKUP(A465, avaliacoes!A:G,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465" s="7" t="str">
        <f>VLOOKUP(A465, avaliacoes!A:G,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row>
    <row r="466">
      <c r="A466" s="1" t="s">
        <v>81</v>
      </c>
      <c r="B466" s="1" t="s">
        <v>82</v>
      </c>
      <c r="C466" s="1" t="s">
        <v>21</v>
      </c>
      <c r="D466" s="1" t="str">
        <f t="shared" si="2"/>
        <v>Computers&amp;Accessories</v>
      </c>
      <c r="E466" s="1" t="str">
        <f t="shared" si="3"/>
        <v>Accessories&amp;Peripherals</v>
      </c>
      <c r="F466" s="2">
        <v>349.0</v>
      </c>
      <c r="G466" s="2">
        <v>399.0</v>
      </c>
      <c r="H466" s="3">
        <f t="shared" si="4"/>
        <v>0.1253132832</v>
      </c>
      <c r="I466" s="4">
        <f>IFERROR(__xludf.DUMMYFUNCTION("GOOGLEFINANCE(""CURRENCY:INRBRL"")*F466"),20.827734657199997)</f>
        <v>20.82773466</v>
      </c>
      <c r="J466" s="1">
        <v>4.5</v>
      </c>
      <c r="K466" s="1">
        <v>18757.0</v>
      </c>
      <c r="L466" s="1" t="s">
        <v>83</v>
      </c>
      <c r="M466" s="6" t="s">
        <v>1824</v>
      </c>
      <c r="N466" s="7" t="str">
        <f>VLOOKUP(A466, avaliacoes!A:G, 5, FALSE)</f>
        <v>Good product,using this product 8months It is done  I have not faced any problem so far, its build quality best,I really liked this one.,Very strong and support fast charging ,,Nice cable,Best data cable charging fast,Good job,Good but need some improvement</v>
      </c>
      <c r="O466" s="7" t="str">
        <f>VLOOKUP(A466, avaliacoes!A:G,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row>
    <row r="467">
      <c r="A467" s="1" t="s">
        <v>1825</v>
      </c>
      <c r="B467" s="1" t="s">
        <v>1826</v>
      </c>
      <c r="C467" s="1" t="s">
        <v>1374</v>
      </c>
      <c r="D467" s="1" t="str">
        <f t="shared" si="2"/>
        <v>Electronics</v>
      </c>
      <c r="E467" s="1" t="str">
        <f t="shared" si="3"/>
        <v>Mobiles&amp;Accessories</v>
      </c>
      <c r="F467" s="2">
        <v>16499.0</v>
      </c>
      <c r="G467" s="2">
        <v>20990.0</v>
      </c>
      <c r="H467" s="3">
        <f t="shared" si="4"/>
        <v>0.2139590281</v>
      </c>
      <c r="I467" s="4">
        <f>IFERROR(__xludf.DUMMYFUNCTION("GOOGLEFINANCE(""CURRENCY:INRBRL"")*F467"),984.6326478771999)</f>
        <v>984.6326479</v>
      </c>
      <c r="J467" s="1">
        <v>4.0</v>
      </c>
      <c r="K467" s="1">
        <v>2135.0</v>
      </c>
      <c r="L467" s="1" t="s">
        <v>1789</v>
      </c>
      <c r="M467" s="6" t="s">
        <v>1827</v>
      </c>
      <c r="N467" s="7" t="str">
        <f>VLOOKUP(A467, avaliacoes!A:G,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467" s="7" t="str">
        <f>VLOOKUP(A467, avaliacoes!A:G,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row>
    <row r="468">
      <c r="A468" s="1" t="s">
        <v>1828</v>
      </c>
      <c r="B468" s="1" t="s">
        <v>1829</v>
      </c>
      <c r="C468" s="1" t="s">
        <v>1411</v>
      </c>
      <c r="D468" s="1" t="str">
        <f t="shared" si="2"/>
        <v>Electronics</v>
      </c>
      <c r="E468" s="1" t="str">
        <f t="shared" si="3"/>
        <v>Headphones,Earbuds&amp;Accessories</v>
      </c>
      <c r="F468" s="2">
        <v>499.0</v>
      </c>
      <c r="G468" s="2">
        <v>499.0</v>
      </c>
      <c r="H468" s="3">
        <f t="shared" si="4"/>
        <v>0</v>
      </c>
      <c r="I468" s="4">
        <f>IFERROR(__xludf.DUMMYFUNCTION("GOOGLEFINANCE(""CURRENCY:INRBRL"")*F468"),29.7794830772)</f>
        <v>29.77948308</v>
      </c>
      <c r="J468" s="1">
        <v>4.5</v>
      </c>
      <c r="K468" s="1">
        <v>31539.0</v>
      </c>
      <c r="L468" s="1" t="s">
        <v>1830</v>
      </c>
      <c r="M468" s="6" t="s">
        <v>1831</v>
      </c>
      <c r="N468" s="7" t="str">
        <f>VLOOKUP(A468, avaliacoes!A:G, 5, FALSE)</f>
        <v>Works well, but not for long,Good product,Good product,Good quality,Excellent.,Good,Average item,Try to improve</v>
      </c>
      <c r="O468" s="7" t="str">
        <f>VLOOKUP(A468, avaliacoes!A:G, 6, FALSE)</f>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v>
      </c>
    </row>
    <row r="469">
      <c r="A469" s="1" t="s">
        <v>102</v>
      </c>
      <c r="B469" s="1" t="s">
        <v>103</v>
      </c>
      <c r="C469" s="1" t="s">
        <v>21</v>
      </c>
      <c r="D469" s="1" t="str">
        <f t="shared" si="2"/>
        <v>Computers&amp;Accessories</v>
      </c>
      <c r="E469" s="1" t="str">
        <f t="shared" si="3"/>
        <v>Accessories&amp;Peripherals</v>
      </c>
      <c r="F469" s="2">
        <v>970.0</v>
      </c>
      <c r="G469" s="2">
        <v>1799.0</v>
      </c>
      <c r="H469" s="3">
        <f t="shared" si="4"/>
        <v>0.460811562</v>
      </c>
      <c r="I469" s="4">
        <f>IFERROR(__xludf.DUMMYFUNCTION("GOOGLEFINANCE(""CURRENCY:INRBRL"")*F469"),57.887973116)</f>
        <v>57.88797312</v>
      </c>
      <c r="J469" s="1">
        <v>4.51</v>
      </c>
      <c r="K469" s="1">
        <v>815.0</v>
      </c>
      <c r="L469" s="1" t="s">
        <v>104</v>
      </c>
      <c r="M469" s="6" t="s">
        <v>1832</v>
      </c>
      <c r="N469" s="7" t="str">
        <f>VLOOKUP(A469, avaliacoes!A:G, 5, FALSE)</f>
        <v>Good cable for car,Good substitute for orginal,Better Value for money Product,Way better than the original,Absolutely amazing.,Namm hi kafi hai,Very good,As the names say Durable cell it a durable cable ;-)</v>
      </c>
      <c r="O469" s="7" t="str">
        <f>VLOOKUP(A469, avaliacoes!A:G,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row>
    <row r="470">
      <c r="A470" s="1" t="s">
        <v>1833</v>
      </c>
      <c r="B470" s="1" t="s">
        <v>1834</v>
      </c>
      <c r="C470" s="1" t="s">
        <v>1765</v>
      </c>
      <c r="D470" s="1" t="str">
        <f t="shared" si="2"/>
        <v>Electronics</v>
      </c>
      <c r="E470" s="1" t="str">
        <f t="shared" si="3"/>
        <v>Mobiles&amp;Accessories</v>
      </c>
      <c r="F470" s="2">
        <v>999.0</v>
      </c>
      <c r="G470" s="2">
        <v>2899.0</v>
      </c>
      <c r="H470" s="3">
        <f t="shared" si="4"/>
        <v>0.6553984132</v>
      </c>
      <c r="I470" s="4">
        <f>IFERROR(__xludf.DUMMYFUNCTION("GOOGLEFINANCE(""CURRENCY:INRBRL"")*F470"),59.61864447719999)</f>
        <v>59.61864448</v>
      </c>
      <c r="J470" s="1">
        <v>4.51</v>
      </c>
      <c r="K470" s="1">
        <v>6129.0</v>
      </c>
      <c r="L470" s="1" t="s">
        <v>1835</v>
      </c>
      <c r="M470" s="6" t="s">
        <v>1836</v>
      </c>
      <c r="N470" s="7" t="str">
        <f>VLOOKUP(A470, avaliacoes!A:G, 5, FALSE)</f>
        <v>Best For It’s Money!🔥,Nice quality, but comes with a price!,Easiest to install,Easy to install,Worth every penny!,Worth it,Good but costly,Totally worth it</v>
      </c>
      <c r="O470" s="7" t="str">
        <f>VLOOKUP(A470, avaliacoes!A:G, 6, FALSE)</f>
        <v>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v>
      </c>
    </row>
    <row r="471">
      <c r="A471" s="1" t="s">
        <v>1837</v>
      </c>
      <c r="B471" s="1" t="s">
        <v>1838</v>
      </c>
      <c r="C471" s="1" t="s">
        <v>1374</v>
      </c>
      <c r="D471" s="1" t="str">
        <f t="shared" si="2"/>
        <v>Electronics</v>
      </c>
      <c r="E471" s="1" t="str">
        <f t="shared" si="3"/>
        <v>Mobiles&amp;Accessories</v>
      </c>
      <c r="F471" s="2">
        <v>10499.0</v>
      </c>
      <c r="G471" s="2">
        <v>13499.0</v>
      </c>
      <c r="H471" s="3">
        <f t="shared" si="4"/>
        <v>0.2222386843</v>
      </c>
      <c r="I471" s="4">
        <f>IFERROR(__xludf.DUMMYFUNCTION("GOOGLEFINANCE(""CURRENCY:INRBRL"")*F471"),626.5627110772)</f>
        <v>626.5627111</v>
      </c>
      <c r="J471" s="1">
        <v>4.5</v>
      </c>
      <c r="K471" s="1">
        <v>284.0</v>
      </c>
      <c r="L471" s="1" t="s">
        <v>1416</v>
      </c>
      <c r="M471" s="6" t="s">
        <v>1839</v>
      </c>
      <c r="N471" s="7" t="str">
        <f>VLOOKUP(A471, avaliacoes!A:G, 5, FALSE)</f>
        <v>Get it with bundled discounts.,Heating &amp; Touch screen,Buy for normal usage. NOT FOR CAMERA,The phone is a good device and I am happy with the purchase.,Average quality.,Exlent mobile,Valueable buy,A GOOD AND AFFORDABLE PRODUCT</v>
      </c>
      <c r="O471" s="7" t="str">
        <f>VLOOKUP(A471, avaliacoes!A:G,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row>
    <row r="472">
      <c r="A472" s="1" t="s">
        <v>90</v>
      </c>
      <c r="B472" s="1" t="s">
        <v>91</v>
      </c>
      <c r="C472" s="1" t="s">
        <v>21</v>
      </c>
      <c r="D472" s="1" t="str">
        <f t="shared" si="2"/>
        <v>Computers&amp;Accessories</v>
      </c>
      <c r="E472" s="1" t="str">
        <f t="shared" si="3"/>
        <v>Accessories&amp;Peripherals</v>
      </c>
      <c r="F472" s="2">
        <v>249.0</v>
      </c>
      <c r="G472" s="2">
        <v>399.0</v>
      </c>
      <c r="H472" s="3">
        <f t="shared" si="4"/>
        <v>0.3759398496</v>
      </c>
      <c r="I472" s="4">
        <f>IFERROR(__xludf.DUMMYFUNCTION("GOOGLEFINANCE(""CURRENCY:INRBRL"")*F472"),14.8599023772)</f>
        <v>14.85990238</v>
      </c>
      <c r="J472" s="1">
        <v>4.0</v>
      </c>
      <c r="K472" s="1">
        <v>43994.0</v>
      </c>
      <c r="L472" s="1" t="s">
        <v>92</v>
      </c>
      <c r="M472" s="6" t="s">
        <v>1840</v>
      </c>
      <c r="N472" s="7" t="str">
        <f>VLOOKUP(A472, avaliacoes!A:G, 5, FALSE)</f>
        <v>A Good Braided Cable for Your Type C Device,Good quality product from ambrane,Super cable,As,Good quality,Good product,its good,Good quality for the price but one issue with my unit</v>
      </c>
      <c r="O472" s="7" t="str">
        <f>VLOOKUP(A472,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row>
    <row r="473">
      <c r="A473" s="1" t="s">
        <v>1841</v>
      </c>
      <c r="B473" s="1" t="s">
        <v>1842</v>
      </c>
      <c r="C473" s="1" t="s">
        <v>1843</v>
      </c>
      <c r="D473" s="1" t="str">
        <f t="shared" si="2"/>
        <v>Electronics</v>
      </c>
      <c r="E473" s="1" t="str">
        <f t="shared" si="3"/>
        <v>Mobiles&amp;Accessories</v>
      </c>
      <c r="F473" s="2">
        <v>251.0</v>
      </c>
      <c r="G473" s="2">
        <v>999.0</v>
      </c>
      <c r="H473" s="3">
        <f t="shared" si="4"/>
        <v>0.7487487487</v>
      </c>
      <c r="I473" s="4">
        <f>IFERROR(__xludf.DUMMYFUNCTION("GOOGLEFINANCE(""CURRENCY:INRBRL"")*F473"),14.979259022799999)</f>
        <v>14.97925902</v>
      </c>
      <c r="J473" s="1">
        <v>4.51</v>
      </c>
      <c r="K473" s="1">
        <v>3234.0</v>
      </c>
      <c r="L473" s="1" t="s">
        <v>1844</v>
      </c>
      <c r="M473" s="6" t="s">
        <v>1845</v>
      </c>
      <c r="N473" s="7" t="str">
        <f>VLOOKUP(A473, avaliacoes!A:G, 5, FALSE)</f>
        <v>Sturdy,Really Flexible, Good for Moderate usage,Good product...👍,Good product in this price.,Good,Good material,Stability,Okay product.</v>
      </c>
      <c r="O473" s="7" t="str">
        <f>VLOOKUP(A473, avaliacoes!A:G, 6, FALSE)</f>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v>
      </c>
    </row>
    <row r="474">
      <c r="A474" s="1" t="s">
        <v>94</v>
      </c>
      <c r="B474" s="1" t="s">
        <v>95</v>
      </c>
      <c r="C474" s="1" t="s">
        <v>21</v>
      </c>
      <c r="D474" s="1" t="str">
        <f t="shared" si="2"/>
        <v>Computers&amp;Accessories</v>
      </c>
      <c r="E474" s="1" t="str">
        <f t="shared" si="3"/>
        <v>Accessories&amp;Peripherals</v>
      </c>
      <c r="F474" s="2">
        <v>199.0</v>
      </c>
      <c r="G474" s="2">
        <v>499.0</v>
      </c>
      <c r="H474" s="3">
        <f t="shared" si="4"/>
        <v>0.6012024048</v>
      </c>
      <c r="I474" s="4">
        <f>IFERROR(__xludf.DUMMYFUNCTION("GOOGLEFINANCE(""CURRENCY:INRBRL"")*F474"),11.8759862372)</f>
        <v>11.87598624</v>
      </c>
      <c r="J474" s="1">
        <v>4.49</v>
      </c>
      <c r="K474" s="1">
        <v>13045.0</v>
      </c>
      <c r="L474" s="1" t="s">
        <v>96</v>
      </c>
      <c r="M474" s="6" t="s">
        <v>1846</v>
      </c>
      <c r="N474" s="7" t="str">
        <f>VLOOKUP(A474, avaliacoes!A:G, 5, FALSE)</f>
        <v>Good for charging and Data transfer,ਮਜ਼ਬੂਤ,Good Quality but less Power Delivery,Fantastic!,Good,Not useful,Doesn't fit properly,Can't support Oppo mobile for fast charging</v>
      </c>
      <c r="O474" s="7" t="str">
        <f>VLOOKUP(A474, avaliacoes!A:G, 6, FALSE)</f>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v>
      </c>
    </row>
    <row r="475">
      <c r="A475" s="1" t="s">
        <v>1847</v>
      </c>
      <c r="B475" s="1" t="s">
        <v>1848</v>
      </c>
      <c r="C475" s="1" t="s">
        <v>1374</v>
      </c>
      <c r="D475" s="1" t="str">
        <f t="shared" si="2"/>
        <v>Electronics</v>
      </c>
      <c r="E475" s="1" t="str">
        <f t="shared" si="3"/>
        <v>Mobiles&amp;Accessories</v>
      </c>
      <c r="F475" s="2">
        <v>6499.0</v>
      </c>
      <c r="G475" s="2">
        <v>7999.0</v>
      </c>
      <c r="H475" s="3">
        <f t="shared" si="4"/>
        <v>0.1875234404</v>
      </c>
      <c r="I475" s="4">
        <f>IFERROR(__xludf.DUMMYFUNCTION("GOOGLEFINANCE(""CURRENCY:INRBRL"")*F475"),387.8494198772)</f>
        <v>387.8494199</v>
      </c>
      <c r="J475" s="1">
        <v>4.49</v>
      </c>
      <c r="K475" s="1">
        <v>313832.0</v>
      </c>
      <c r="L475" s="1" t="s">
        <v>1849</v>
      </c>
      <c r="M475" s="6" t="s">
        <v>1850</v>
      </c>
      <c r="N475" s="7" t="str">
        <f>VLOOKUP(A475, avaliacoes!A:G, 5, FALSE)</f>
        <v>Best phone for below normal use,Good mobile for minimal usage , but technically highly worth,For simple use,Ok,Good quality product,Good unit,Good,Best Budget mobile</v>
      </c>
      <c r="O475" s="7" t="str">
        <f>VLOOKUP(A475, avaliacoes!A:G,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row>
    <row r="476">
      <c r="A476" s="1" t="s">
        <v>1851</v>
      </c>
      <c r="B476" s="1" t="s">
        <v>1852</v>
      </c>
      <c r="C476" s="1" t="s">
        <v>1356</v>
      </c>
      <c r="D476" s="1" t="str">
        <f t="shared" si="2"/>
        <v>Electronics</v>
      </c>
      <c r="E476" s="1" t="str">
        <f t="shared" si="3"/>
        <v>WearableTechnology</v>
      </c>
      <c r="F476" s="2">
        <v>2999.0</v>
      </c>
      <c r="G476" s="2">
        <v>9999.0</v>
      </c>
      <c r="H476" s="3">
        <f t="shared" si="4"/>
        <v>0.700070007</v>
      </c>
      <c r="I476" s="4">
        <f>IFERROR(__xludf.DUMMYFUNCTION("GOOGLEFINANCE(""CURRENCY:INRBRL"")*F476"),178.9752900772)</f>
        <v>178.9752901</v>
      </c>
      <c r="J476" s="1">
        <v>4.5</v>
      </c>
      <c r="K476" s="1">
        <v>20879.0</v>
      </c>
      <c r="L476" s="1" t="s">
        <v>1853</v>
      </c>
      <c r="M476" s="6" t="s">
        <v>1854</v>
      </c>
      <c r="N476" s="7" t="str">
        <f>VLOOKUP(A476, avaliacoes!A:G, 5, FALSE)</f>
        <v>pocket friendly  smart watch for people who loves large  screen.,Value for money,Value for money product,My watch is not charging,Service,Good but it's not working now,GREAT PRODUCT....,Good product</v>
      </c>
      <c r="O476" s="7" t="str">
        <f>VLOOKUP(A476, avaliacoes!A:G, 6, FALSE)</f>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v>
      </c>
    </row>
    <row r="477">
      <c r="A477" s="1" t="s">
        <v>1855</v>
      </c>
      <c r="B477" s="1" t="s">
        <v>1856</v>
      </c>
      <c r="C477" s="1" t="s">
        <v>1857</v>
      </c>
      <c r="D477" s="1" t="str">
        <f t="shared" si="2"/>
        <v>Electronics</v>
      </c>
      <c r="E477" s="1" t="str">
        <f t="shared" si="3"/>
        <v>Mobiles&amp;Accessories</v>
      </c>
      <c r="F477" s="2">
        <v>279.0</v>
      </c>
      <c r="G477" s="2">
        <v>1499.0</v>
      </c>
      <c r="H477" s="3">
        <f t="shared" si="4"/>
        <v>0.8138759173</v>
      </c>
      <c r="I477" s="4">
        <f>IFERROR(__xludf.DUMMYFUNCTION("GOOGLEFINANCE(""CURRENCY:INRBRL"")*F477"),16.6502520612)</f>
        <v>16.65025206</v>
      </c>
      <c r="J477" s="1">
        <v>4.5</v>
      </c>
      <c r="K477" s="1">
        <v>2646.0</v>
      </c>
      <c r="L477" s="1" t="s">
        <v>1858</v>
      </c>
      <c r="M477" s="6" t="s">
        <v>1859</v>
      </c>
      <c r="N477" s="7" t="str">
        <f>VLOOKUP(A477, avaliacoes!A:G, 5, FALSE)</f>
        <v>Overall good,Sturdy,It turns yellow,No issues and yellowing as of now!,Not worthy,Awesome,Amazing,iPhone 13 back cover</v>
      </c>
      <c r="O477" s="7" t="str">
        <f>VLOOKUP(A477, avaliacoes!A:G, 6, FALSE)</f>
        <v>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v>
      </c>
    </row>
    <row r="478">
      <c r="A478" s="1" t="s">
        <v>1860</v>
      </c>
      <c r="B478" s="1" t="s">
        <v>1861</v>
      </c>
      <c r="C478" s="1" t="s">
        <v>1617</v>
      </c>
      <c r="D478" s="1" t="str">
        <f t="shared" si="2"/>
        <v>Electronics</v>
      </c>
      <c r="E478" s="1" t="str">
        <f t="shared" si="3"/>
        <v>Mobiles&amp;Accessories</v>
      </c>
      <c r="F478" s="2">
        <v>269.0</v>
      </c>
      <c r="G478" s="2">
        <v>1499.0</v>
      </c>
      <c r="H478" s="3">
        <f t="shared" si="4"/>
        <v>0.8205470314</v>
      </c>
      <c r="I478" s="4">
        <f>IFERROR(__xludf.DUMMYFUNCTION("GOOGLEFINANCE(""CURRENCY:INRBRL"")*F478"),16.0534688332)</f>
        <v>16.05346883</v>
      </c>
      <c r="J478" s="1">
        <v>4.51</v>
      </c>
      <c r="K478" s="1">
        <v>28978.0</v>
      </c>
      <c r="L478" s="1" t="s">
        <v>1862</v>
      </c>
      <c r="M478" s="6" t="s">
        <v>1863</v>
      </c>
      <c r="N478" s="7" t="str">
        <f>VLOOKUP(A478, avaliacoes!A:G, 5, FALSE)</f>
        <v>Good one,Almost perfect,Go for it,Good product,It's folding system is good,Very good product,Great stand sturdy and good quality,Good quality</v>
      </c>
      <c r="O478" s="7" t="str">
        <f>VLOOKUP(A478, avaliacoes!A:G, 6, FALSE)</f>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v>
      </c>
    </row>
    <row r="479">
      <c r="A479" s="1" t="s">
        <v>1864</v>
      </c>
      <c r="B479" s="1" t="s">
        <v>1865</v>
      </c>
      <c r="C479" s="1" t="s">
        <v>1374</v>
      </c>
      <c r="D479" s="1" t="str">
        <f t="shared" si="2"/>
        <v>Electronics</v>
      </c>
      <c r="E479" s="1" t="str">
        <f t="shared" si="3"/>
        <v>Mobiles&amp;Accessories</v>
      </c>
      <c r="F479" s="2">
        <v>8999.0</v>
      </c>
      <c r="G479" s="2">
        <v>13499.0</v>
      </c>
      <c r="H479" s="3">
        <f t="shared" si="4"/>
        <v>0.3333580265</v>
      </c>
      <c r="I479" s="4">
        <f>IFERROR(__xludf.DUMMYFUNCTION("GOOGLEFINANCE(""CURRENCY:INRBRL"")*F479"),537.0452268772)</f>
        <v>537.0452269</v>
      </c>
      <c r="J479" s="1">
        <v>4.51</v>
      </c>
      <c r="K479" s="1">
        <v>3145.0</v>
      </c>
      <c r="L479" s="1" t="s">
        <v>1866</v>
      </c>
      <c r="M479" s="6" t="s">
        <v>1867</v>
      </c>
      <c r="N479" s="7" t="str">
        <f>VLOOKUP(A479, avaliacoes!A:G, 5, FALSE)</f>
        <v>WORST PHONE EVER! Read this before you buy it,Value for Money meeting all smart phone requirements,In this range perfect,Camera achcha hai,All over good,Good phone at this price,Budget Phone,Worth it</v>
      </c>
      <c r="O479" s="7" t="str">
        <f>VLOOKUP(A479, avaliacoes!A:G, 6, FALSE)</f>
        <v>,Overall meets the requirements nothing to say negative with respect tolthis phone,Charging is very slowly,Maine is product ko apni beti ke liye kharida tha,Fingerprint is good, battery life good, camera is ok,Good phone at this price,Nice in this range.,Best in this price range👍👍</v>
      </c>
    </row>
    <row r="480">
      <c r="A480" s="1" t="s">
        <v>114</v>
      </c>
      <c r="B480" s="1" t="s">
        <v>115</v>
      </c>
      <c r="C480" s="1" t="s">
        <v>21</v>
      </c>
      <c r="D480" s="1" t="str">
        <f t="shared" si="2"/>
        <v>Computers&amp;Accessories</v>
      </c>
      <c r="E480" s="1" t="str">
        <f t="shared" si="3"/>
        <v>Accessories&amp;Peripherals</v>
      </c>
      <c r="F480" s="2">
        <v>59.0</v>
      </c>
      <c r="G480" s="2">
        <v>199.0</v>
      </c>
      <c r="H480" s="3">
        <f t="shared" si="4"/>
        <v>0.7035175879</v>
      </c>
      <c r="I480" s="4">
        <f>IFERROR(__xludf.DUMMYFUNCTION("GOOGLEFINANCE(""CURRENCY:INRBRL"")*F480"),3.5210210452)</f>
        <v>3.521021045</v>
      </c>
      <c r="J480" s="1">
        <v>4.0</v>
      </c>
      <c r="K480" s="1">
        <v>9377.0</v>
      </c>
      <c r="L480" s="1" t="s">
        <v>116</v>
      </c>
      <c r="M480" s="6" t="s">
        <v>1868</v>
      </c>
      <c r="N480" s="7" t="str">
        <f>VLOOKUP(A480, avaliacoes!A:G, 5, FALSE)</f>
        <v>Worked on iPhone 7 and didn’t work on XR,Good one,Dull Physical Looks,Just Buy it,Go for it,About the product,Get charging cable at the price,Working well.</v>
      </c>
      <c r="O480" s="7" t="str">
        <f>VLOOKUP(A480,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481">
      <c r="A481" s="1" t="s">
        <v>1869</v>
      </c>
      <c r="B481" s="1" t="s">
        <v>1870</v>
      </c>
      <c r="C481" s="1" t="s">
        <v>1411</v>
      </c>
      <c r="D481" s="1" t="str">
        <f t="shared" si="2"/>
        <v>Electronics</v>
      </c>
      <c r="E481" s="1" t="str">
        <f t="shared" si="3"/>
        <v>Headphones,Earbuds&amp;Accessories</v>
      </c>
      <c r="F481" s="2">
        <v>599.0</v>
      </c>
      <c r="G481" s="2">
        <v>1299.0</v>
      </c>
      <c r="H481" s="3">
        <f t="shared" si="4"/>
        <v>0.5388760585</v>
      </c>
      <c r="I481" s="4">
        <f>IFERROR(__xludf.DUMMYFUNCTION("GOOGLEFINANCE(""CURRENCY:INRBRL"")*F481"),35.747315357199994)</f>
        <v>35.74731536</v>
      </c>
      <c r="J481" s="1">
        <v>4.49</v>
      </c>
      <c r="K481" s="1">
        <v>192589.0</v>
      </c>
      <c r="L481" s="1" t="s">
        <v>1871</v>
      </c>
      <c r="M481" s="6" t="s">
        <v>1872</v>
      </c>
      <c r="N481" s="7" t="str">
        <f>VLOOKUP(A481, avaliacoes!A:G, 5, FALSE)</f>
        <v>Good maybe okay,Defective Product Delivered,Amazing Sound at Budget,Not for bass lover,Best one,Quality,Durability,Superb voice quality</v>
      </c>
      <c r="O481" s="7" t="str">
        <f>VLOOKUP(A481, avaliacoes!A:G,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row>
    <row r="482">
      <c r="A482" s="1" t="s">
        <v>1873</v>
      </c>
      <c r="B482" s="1" t="s">
        <v>1874</v>
      </c>
      <c r="C482" s="1" t="s">
        <v>1809</v>
      </c>
      <c r="D482" s="1" t="str">
        <f t="shared" si="2"/>
        <v>Electronics</v>
      </c>
      <c r="E482" s="1" t="str">
        <f t="shared" si="3"/>
        <v>Mobiles&amp;Accessories</v>
      </c>
      <c r="F482" s="2">
        <v>349.0</v>
      </c>
      <c r="G482" s="2">
        <v>999.0</v>
      </c>
      <c r="H482" s="3">
        <f t="shared" si="4"/>
        <v>0.6506506507</v>
      </c>
      <c r="I482" s="4">
        <f>IFERROR(__xludf.DUMMYFUNCTION("GOOGLEFINANCE(""CURRENCY:INRBRL"")*F482"),20.827734657199997)</f>
        <v>20.82773466</v>
      </c>
      <c r="J482" s="1">
        <v>4.51</v>
      </c>
      <c r="K482" s="1">
        <v>16557.0</v>
      </c>
      <c r="L482" s="1" t="s">
        <v>1875</v>
      </c>
      <c r="M482" s="6" t="s">
        <v>1876</v>
      </c>
      <c r="N482" s="7" t="str">
        <f>VLOOKUP(A482, avaliacoes!A:G, 5, FALSE)</f>
        <v>Only affordable Stylus that works with Apple,Product is good, but Spare disk is missing for me.,Best deal for this price,Good but improvement needed,Average, better option are available,very fast and smooth work,Precision &amp; speedy,Amazing</v>
      </c>
      <c r="O482" s="7" t="str">
        <f>VLOOKUP(A482, avaliacoes!A:G,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row>
    <row r="483">
      <c r="A483" s="1" t="s">
        <v>1877</v>
      </c>
      <c r="B483" s="1" t="s">
        <v>1599</v>
      </c>
      <c r="C483" s="1" t="s">
        <v>1374</v>
      </c>
      <c r="D483" s="1" t="str">
        <f t="shared" si="2"/>
        <v>Electronics</v>
      </c>
      <c r="E483" s="1" t="str">
        <f t="shared" si="3"/>
        <v>Mobiles&amp;Accessories</v>
      </c>
      <c r="F483" s="2">
        <v>13999.0</v>
      </c>
      <c r="G483" s="2">
        <v>19499.0</v>
      </c>
      <c r="H483" s="3">
        <f t="shared" si="4"/>
        <v>0.282065747</v>
      </c>
      <c r="I483" s="4">
        <f>IFERROR(__xludf.DUMMYFUNCTION("GOOGLEFINANCE(""CURRENCY:INRBRL"")*F483"),835.4368408772)</f>
        <v>835.4368409</v>
      </c>
      <c r="J483" s="1">
        <v>4.49</v>
      </c>
      <c r="K483" s="1">
        <v>18998.0</v>
      </c>
      <c r="L483" s="1" t="s">
        <v>1600</v>
      </c>
      <c r="M483" s="6" t="s">
        <v>1878</v>
      </c>
      <c r="N483" s="7" t="str">
        <f>VLOOKUP(A483, avaliacoes!A:G, 5, FALSE)</f>
        <v>Phone, camera, heating - works for me, may not for all,Good Mobile,Good but not excellent under this budget,Worth the price at 9499,Ok type phone... but unable to make videocall within same service provider.,Phone review,Budget king,Battery backup is good</v>
      </c>
      <c r="O483" s="7" t="str">
        <f>VLOOKUP(A483,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row>
    <row r="484">
      <c r="A484" s="1" t="s">
        <v>1879</v>
      </c>
      <c r="B484" s="1" t="s">
        <v>1880</v>
      </c>
      <c r="C484" s="1" t="s">
        <v>1809</v>
      </c>
      <c r="D484" s="1" t="str">
        <f t="shared" si="2"/>
        <v>Electronics</v>
      </c>
      <c r="E484" s="1" t="str">
        <f t="shared" si="3"/>
        <v>Mobiles&amp;Accessories</v>
      </c>
      <c r="F484" s="2">
        <v>349.0</v>
      </c>
      <c r="G484" s="2">
        <v>999.0</v>
      </c>
      <c r="H484" s="3">
        <f t="shared" si="4"/>
        <v>0.6506506507</v>
      </c>
      <c r="I484" s="4">
        <f>IFERROR(__xludf.DUMMYFUNCTION("GOOGLEFINANCE(""CURRENCY:INRBRL"")*F484"),20.827734657199997)</f>
        <v>20.82773466</v>
      </c>
      <c r="J484" s="1">
        <v>4.51</v>
      </c>
      <c r="K484" s="1">
        <v>16557.0</v>
      </c>
      <c r="L484" s="1" t="s">
        <v>1881</v>
      </c>
      <c r="M484" s="6" t="s">
        <v>1882</v>
      </c>
      <c r="N484" s="7" t="str">
        <f>VLOOKUP(A484, avaliacoes!A:G, 5, FALSE)</f>
        <v>Only affordable Stylus that works with Apple,Product is good, but Spare disk is missing for me.,Best deal for this price,Good but improvement needed,Average, better option are available,very fast and smooth work,Precision &amp; speedy,Amazing</v>
      </c>
      <c r="O484" s="7" t="str">
        <f>VLOOKUP(A484, avaliacoes!A:G,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row>
    <row r="485">
      <c r="A485" s="1" t="s">
        <v>1883</v>
      </c>
      <c r="B485" s="1" t="s">
        <v>1884</v>
      </c>
      <c r="C485" s="1" t="s">
        <v>1456</v>
      </c>
      <c r="D485" s="1" t="str">
        <f t="shared" si="2"/>
        <v>Electronics</v>
      </c>
      <c r="E485" s="1" t="str">
        <f t="shared" si="3"/>
        <v>Mobiles&amp;Accessories</v>
      </c>
      <c r="F485" s="2">
        <v>499.0</v>
      </c>
      <c r="G485" s="2">
        <v>599.0</v>
      </c>
      <c r="H485" s="3">
        <f t="shared" si="4"/>
        <v>0.1669449082</v>
      </c>
      <c r="I485" s="4">
        <f>IFERROR(__xludf.DUMMYFUNCTION("GOOGLEFINANCE(""CURRENCY:INRBRL"")*F485"),29.7794830772)</f>
        <v>29.77948308</v>
      </c>
      <c r="J485" s="1">
        <v>4.5</v>
      </c>
      <c r="K485" s="1">
        <v>21916.0</v>
      </c>
      <c r="L485" s="1" t="s">
        <v>1885</v>
      </c>
      <c r="M485" s="6" t="s">
        <v>1886</v>
      </c>
      <c r="N485" s="7" t="str">
        <f>VLOOKUP(A485, avaliacoes!A:G, 5, FALSE)</f>
        <v>Nice one,Nice 👍 I'm happy,Best buy in the reasonable price,Great product,product review MI charger!!,MI mobile charger,Top quality charger. Original MI brand. Do buy it if you need a B type charge,Good charger</v>
      </c>
      <c r="O485" s="7" t="str">
        <f>VLOOKUP(A485, avaliacoes!A:G, 6, FALSE)</f>
        <v>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v>
      </c>
    </row>
    <row r="486">
      <c r="A486" s="1" t="s">
        <v>1887</v>
      </c>
      <c r="B486" s="1" t="s">
        <v>1483</v>
      </c>
      <c r="C486" s="1" t="s">
        <v>1356</v>
      </c>
      <c r="D486" s="1" t="str">
        <f t="shared" si="2"/>
        <v>Electronics</v>
      </c>
      <c r="E486" s="1" t="str">
        <f t="shared" si="3"/>
        <v>WearableTechnology</v>
      </c>
      <c r="F486" s="2">
        <v>2199.0</v>
      </c>
      <c r="G486" s="2">
        <v>9999.0</v>
      </c>
      <c r="H486" s="3">
        <f t="shared" si="4"/>
        <v>0.7800780078</v>
      </c>
      <c r="I486" s="4">
        <f>IFERROR(__xludf.DUMMYFUNCTION("GOOGLEFINANCE(""CURRENCY:INRBRL"")*F486"),131.2326318372)</f>
        <v>131.2326318</v>
      </c>
      <c r="J486" s="1">
        <v>4.5</v>
      </c>
      <c r="K486" s="1">
        <v>29472.0</v>
      </c>
      <c r="L486" s="1" t="s">
        <v>1888</v>
      </c>
      <c r="M486" s="6" t="s">
        <v>1889</v>
      </c>
      <c r="N486" s="7" t="str">
        <f>VLOOKUP(A486, avaliacoes!A:G,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486" s="7" t="str">
        <f>VLOOKUP(A486, avaliacoes!A:G,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row>
    <row r="487">
      <c r="A487" s="1" t="s">
        <v>1890</v>
      </c>
      <c r="B487" s="1" t="s">
        <v>1891</v>
      </c>
      <c r="C487" s="1" t="s">
        <v>1689</v>
      </c>
      <c r="D487" s="1" t="str">
        <f t="shared" si="2"/>
        <v>Electronics</v>
      </c>
      <c r="E487" s="1" t="str">
        <f t="shared" si="3"/>
        <v>Mobiles&amp;Accessories</v>
      </c>
      <c r="F487" s="2">
        <v>95.0</v>
      </c>
      <c r="G487" s="2">
        <v>499.0</v>
      </c>
      <c r="H487" s="3">
        <f t="shared" si="4"/>
        <v>0.8096192385</v>
      </c>
      <c r="I487" s="4">
        <f>IFERROR(__xludf.DUMMYFUNCTION("GOOGLEFINANCE(""CURRENCY:INRBRL"")*F487"),5.669440666)</f>
        <v>5.669440666</v>
      </c>
      <c r="J487" s="1">
        <v>4.5</v>
      </c>
      <c r="K487" s="1">
        <v>1949.0</v>
      </c>
      <c r="L487" s="1" t="s">
        <v>1892</v>
      </c>
      <c r="M487" s="6" t="s">
        <v>1893</v>
      </c>
      <c r="N487" s="7" t="str">
        <f>VLOOKUP(A487, avaliacoes!A:G, 5, FALSE)</f>
        <v>Very useful,Very useful item to make your phone cables long lasting,Price can be reduced as this product is not worth for 80 rs,Value for money,It is useful,Good product,Good quality,Its good item in this money</v>
      </c>
      <c r="O487" s="7" t="str">
        <f>VLOOKUP(A487, avaliacoes!A:G,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row>
    <row r="488">
      <c r="A488" s="1" t="s">
        <v>1894</v>
      </c>
      <c r="B488" s="1" t="s">
        <v>1895</v>
      </c>
      <c r="C488" s="1" t="s">
        <v>21</v>
      </c>
      <c r="D488" s="1" t="str">
        <f t="shared" si="2"/>
        <v>Computers&amp;Accessories</v>
      </c>
      <c r="E488" s="1" t="str">
        <f t="shared" si="3"/>
        <v>Accessories&amp;Peripherals</v>
      </c>
      <c r="F488" s="2">
        <v>139.0</v>
      </c>
      <c r="G488" s="2">
        <v>249.0</v>
      </c>
      <c r="H488" s="3">
        <f t="shared" si="4"/>
        <v>0.4417670683</v>
      </c>
      <c r="I488" s="4">
        <f>IFERROR(__xludf.DUMMYFUNCTION("GOOGLEFINANCE(""CURRENCY:INRBRL"")*F488"),8.2952868692)</f>
        <v>8.295286869</v>
      </c>
      <c r="J488" s="1">
        <v>4.0</v>
      </c>
      <c r="K488" s="1">
        <v>9377.0</v>
      </c>
      <c r="L488" s="1" t="s">
        <v>351</v>
      </c>
      <c r="M488" s="6" t="s">
        <v>1896</v>
      </c>
      <c r="N488" s="7" t="str">
        <f>VLOOKUP(A488, avaliacoes!A:G, 5, FALSE)</f>
        <v>Worked on iPhone 7 and didn’t work on XR,Good one,Dull Physical Looks,Just Buy it,Go for it,About the product,Get charging cable at the price,Working well.</v>
      </c>
      <c r="O488" s="7" t="str">
        <f>VLOOKUP(A488,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489">
      <c r="A489" s="1" t="s">
        <v>1897</v>
      </c>
      <c r="B489" s="1" t="s">
        <v>1898</v>
      </c>
      <c r="C489" s="1" t="s">
        <v>1356</v>
      </c>
      <c r="D489" s="1" t="str">
        <f t="shared" si="2"/>
        <v>Electronics</v>
      </c>
      <c r="E489" s="1" t="str">
        <f t="shared" si="3"/>
        <v>WearableTechnology</v>
      </c>
      <c r="F489" s="2">
        <v>4499.0</v>
      </c>
      <c r="G489" s="2">
        <v>7999.0</v>
      </c>
      <c r="H489" s="3">
        <f t="shared" si="4"/>
        <v>0.4375546943</v>
      </c>
      <c r="I489" s="4">
        <f>IFERROR(__xludf.DUMMYFUNCTION("GOOGLEFINANCE(""CURRENCY:INRBRL"")*F489"),268.4927742772)</f>
        <v>268.4927743</v>
      </c>
      <c r="J489" s="1">
        <v>4.5</v>
      </c>
      <c r="K489" s="1">
        <v>37.0</v>
      </c>
      <c r="L489" s="1" t="s">
        <v>1899</v>
      </c>
      <c r="M489" s="6" t="s">
        <v>1900</v>
      </c>
      <c r="N489" s="7" t="str">
        <f>VLOOKUP(A489, avaliacoes!A:G, 5, FALSE)</f>
        <v>Tap to wake up issue,Such a amazing watch.use full gestures.,Great but hand wash screen off problem,Restart problem,Nice Product. Go for it.,Super Smooth Experience,Don't buy. Keeps restarting everytime a call arrives.,Highly recommended</v>
      </c>
      <c r="O489" s="7" t="str">
        <f>VLOOKUP(A489, avaliacoes!A:G, 6, FALSE)</f>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v>
      </c>
    </row>
    <row r="490">
      <c r="A490" s="1" t="s">
        <v>1901</v>
      </c>
      <c r="B490" s="1" t="s">
        <v>1902</v>
      </c>
      <c r="C490" s="1" t="s">
        <v>1617</v>
      </c>
      <c r="D490" s="1" t="str">
        <f t="shared" si="2"/>
        <v>Electronics</v>
      </c>
      <c r="E490" s="1" t="str">
        <f t="shared" si="3"/>
        <v>Mobiles&amp;Accessories</v>
      </c>
      <c r="F490" s="2">
        <v>89.0</v>
      </c>
      <c r="G490" s="2">
        <v>599.0</v>
      </c>
      <c r="H490" s="3">
        <f t="shared" si="4"/>
        <v>0.8514190317</v>
      </c>
      <c r="I490" s="4">
        <f>IFERROR(__xludf.DUMMYFUNCTION("GOOGLEFINANCE(""CURRENCY:INRBRL"")*F490"),5.311370729199999)</f>
        <v>5.311370729</v>
      </c>
      <c r="J490" s="1">
        <v>4.5</v>
      </c>
      <c r="K490" s="1">
        <v>2351.0</v>
      </c>
      <c r="L490" s="1" t="s">
        <v>1903</v>
      </c>
      <c r="M490" s="6" t="s">
        <v>1904</v>
      </c>
      <c r="N490" s="7" t="str">
        <f>VLOOKUP(A490, avaliacoes!A:G, 5, FALSE)</f>
        <v>Handsfree!,Recommended,Good product,It's heavy and stable.Good product but can't change as given in photo.,Good and Sturdy Smartphone Stand,Good and Sturdy,Ok,good</v>
      </c>
      <c r="O490" s="7" t="str">
        <f>VLOOKUP(A490, avaliacoes!A:G, 6, FALSE)</f>
        <v>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v>
      </c>
    </row>
    <row r="491">
      <c r="A491" s="1" t="s">
        <v>1905</v>
      </c>
      <c r="B491" s="1" t="s">
        <v>1906</v>
      </c>
      <c r="C491" s="1" t="s">
        <v>1374</v>
      </c>
      <c r="D491" s="1" t="str">
        <f t="shared" si="2"/>
        <v>Electronics</v>
      </c>
      <c r="E491" s="1" t="str">
        <f t="shared" si="3"/>
        <v>Mobiles&amp;Accessories</v>
      </c>
      <c r="F491" s="2">
        <v>15499.0</v>
      </c>
      <c r="G491" s="2">
        <v>20999.0</v>
      </c>
      <c r="H491" s="3">
        <f t="shared" si="4"/>
        <v>0.2619172342</v>
      </c>
      <c r="I491" s="4">
        <f>IFERROR(__xludf.DUMMYFUNCTION("GOOGLEFINANCE(""CURRENCY:INRBRL"")*F491"),924.9543250771999)</f>
        <v>924.9543251</v>
      </c>
      <c r="J491" s="1">
        <v>4.49</v>
      </c>
      <c r="K491" s="1">
        <v>19253.0</v>
      </c>
      <c r="L491" s="1" t="s">
        <v>1719</v>
      </c>
      <c r="M491" s="6" t="s">
        <v>1907</v>
      </c>
      <c r="N491" s="7" t="str">
        <f>VLOOKUP(A491, avaliacoes!A:G, 5, FALSE)</f>
        <v>Above average phone,Worth For The Money 💰,Okie,Phone is excellent,Purchased in good budget at 12k,It can fulfill basic needs in affordable price range,Nice,About features</v>
      </c>
      <c r="O491" s="7" t="str">
        <f>VLOOKUP(A491,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row>
    <row r="492">
      <c r="A492" s="1" t="s">
        <v>1908</v>
      </c>
      <c r="B492" s="1" t="s">
        <v>1909</v>
      </c>
      <c r="C492" s="1" t="s">
        <v>1374</v>
      </c>
      <c r="D492" s="1" t="str">
        <f t="shared" si="2"/>
        <v>Electronics</v>
      </c>
      <c r="E492" s="1" t="str">
        <f t="shared" si="3"/>
        <v>Mobiles&amp;Accessories</v>
      </c>
      <c r="F492" s="2">
        <v>13999.0</v>
      </c>
      <c r="G492" s="2">
        <v>15999.0</v>
      </c>
      <c r="H492" s="3">
        <f t="shared" si="4"/>
        <v>0.125007813</v>
      </c>
      <c r="I492" s="4">
        <f>IFERROR(__xludf.DUMMYFUNCTION("GOOGLEFINANCE(""CURRENCY:INRBRL"")*F492"),835.4368408772)</f>
        <v>835.4368409</v>
      </c>
      <c r="J492" s="1">
        <v>4.52</v>
      </c>
      <c r="K492" s="1">
        <v>218.0</v>
      </c>
      <c r="L492" s="1" t="s">
        <v>1910</v>
      </c>
      <c r="M492" s="6" t="s">
        <v>1911</v>
      </c>
      <c r="N492" s="7" t="str">
        <f>VLOOKUP(A492, avaliacoes!A:G, 5, FALSE)</f>
        <v>Nice phone,15 day review,Extent,Awesome phone, recommend to buy it.,its all okay,Design,Good,Worth it</v>
      </c>
      <c r="O492" s="7" t="str">
        <f>VLOOKUP(A492, avaliacoes!A:G, 6, FALSE)</f>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v>
      </c>
    </row>
    <row r="493">
      <c r="A493" s="1" t="s">
        <v>1912</v>
      </c>
      <c r="B493" s="1" t="s">
        <v>1913</v>
      </c>
      <c r="C493" s="1" t="s">
        <v>1356</v>
      </c>
      <c r="D493" s="1" t="str">
        <f t="shared" si="2"/>
        <v>Electronics</v>
      </c>
      <c r="E493" s="1" t="str">
        <f t="shared" si="3"/>
        <v>WearableTechnology</v>
      </c>
      <c r="F493" s="2">
        <v>1999.0</v>
      </c>
      <c r="G493" s="2">
        <v>4999.0</v>
      </c>
      <c r="H493" s="3">
        <f t="shared" si="4"/>
        <v>0.600120024</v>
      </c>
      <c r="I493" s="4">
        <f>IFERROR(__xludf.DUMMYFUNCTION("GOOGLEFINANCE(""CURRENCY:INRBRL"")*F493"),119.2969672772)</f>
        <v>119.2969673</v>
      </c>
      <c r="J493" s="1">
        <v>4.52</v>
      </c>
      <c r="K493" s="1">
        <v>7571.0</v>
      </c>
      <c r="L493" s="1" t="s">
        <v>1914</v>
      </c>
      <c r="M493" s="6" t="s">
        <v>1915</v>
      </c>
      <c r="N493" s="7" t="str">
        <f>VLOOKUP(A493, avaliacoes!A:G, 5, FALSE)</f>
        <v>Best for this price,Nice starter smartwatch,Work,Very light weight watch,Smart watch,Good looking,Super,Good</v>
      </c>
      <c r="O493" s="7" t="str">
        <f>VLOOKUP(A493, avaliacoes!A:G, 6, FALSE)</f>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v>
      </c>
    </row>
    <row r="494">
      <c r="A494" s="1" t="s">
        <v>1916</v>
      </c>
      <c r="B494" s="1" t="s">
        <v>1917</v>
      </c>
      <c r="C494" s="1" t="s">
        <v>1356</v>
      </c>
      <c r="D494" s="1" t="str">
        <f t="shared" si="2"/>
        <v>Electronics</v>
      </c>
      <c r="E494" s="1" t="str">
        <f t="shared" si="3"/>
        <v>WearableTechnology</v>
      </c>
      <c r="F494" s="2">
        <v>1399.0</v>
      </c>
      <c r="G494" s="2">
        <v>5999.0</v>
      </c>
      <c r="H494" s="3">
        <f t="shared" si="4"/>
        <v>0.7667944657</v>
      </c>
      <c r="I494" s="4">
        <f>IFERROR(__xludf.DUMMYFUNCTION("GOOGLEFINANCE(""CURRENCY:INRBRL"")*F494"),83.48997359719999)</f>
        <v>83.4899736</v>
      </c>
      <c r="J494" s="1">
        <v>4.5</v>
      </c>
      <c r="K494" s="1">
        <v>4415.0</v>
      </c>
      <c r="L494" s="1" t="s">
        <v>1918</v>
      </c>
      <c r="M494" s="6" t="s">
        <v>1919</v>
      </c>
      <c r="N494" s="7" t="str">
        <f>VLOOKUP(A494, avaliacoes!A:G,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494" s="7" t="str">
        <f>VLOOKUP(A494, avaliacoes!A:G,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row>
    <row r="495">
      <c r="A495" s="1" t="s">
        <v>1920</v>
      </c>
      <c r="B495" s="1" t="s">
        <v>1921</v>
      </c>
      <c r="C495" s="1" t="s">
        <v>1451</v>
      </c>
      <c r="D495" s="1" t="str">
        <f t="shared" si="2"/>
        <v>Electronics</v>
      </c>
      <c r="E495" s="1" t="str">
        <f t="shared" si="3"/>
        <v>Mobiles&amp;Accessories</v>
      </c>
      <c r="F495" s="2">
        <v>599.0</v>
      </c>
      <c r="G495" s="2">
        <v>999.0</v>
      </c>
      <c r="H495" s="3">
        <f t="shared" si="4"/>
        <v>0.4004004004</v>
      </c>
      <c r="I495" s="4">
        <f>IFERROR(__xludf.DUMMYFUNCTION("GOOGLEFINANCE(""CURRENCY:INRBRL"")*F495"),35.747315357199994)</f>
        <v>35.74731536</v>
      </c>
      <c r="J495" s="1">
        <v>4.0</v>
      </c>
      <c r="K495" s="1">
        <v>18654.0</v>
      </c>
      <c r="L495" s="1" t="s">
        <v>1922</v>
      </c>
      <c r="M495" s="6" t="s">
        <v>1923</v>
      </c>
      <c r="N495" s="7" t="str">
        <f>VLOOKUP(A495, avaliacoes!A:G, 5, FALSE)</f>
        <v>No vacuum suction, so it works,Not bad!,Good build quality,Fitment in AC vent bit of a issue,Gets the job done!,good,Good,Nice one</v>
      </c>
      <c r="O495" s="7" t="str">
        <f>VLOOKUP(A495, avaliacoes!A:G, 6, FALSE)</f>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v>
      </c>
    </row>
    <row r="496">
      <c r="A496" s="1" t="s">
        <v>1924</v>
      </c>
      <c r="B496" s="1" t="s">
        <v>1925</v>
      </c>
      <c r="C496" s="1" t="s">
        <v>1456</v>
      </c>
      <c r="D496" s="1" t="str">
        <f t="shared" si="2"/>
        <v>Electronics</v>
      </c>
      <c r="E496" s="1" t="str">
        <f t="shared" si="3"/>
        <v>Mobiles&amp;Accessories</v>
      </c>
      <c r="F496" s="2">
        <v>199.0</v>
      </c>
      <c r="G496" s="2">
        <v>1099.0</v>
      </c>
      <c r="H496" s="3">
        <f t="shared" si="4"/>
        <v>0.8189262966</v>
      </c>
      <c r="I496" s="4">
        <f>IFERROR(__xludf.DUMMYFUNCTION("GOOGLEFINANCE(""CURRENCY:INRBRL"")*F496"),11.8759862372)</f>
        <v>11.87598624</v>
      </c>
      <c r="J496" s="1">
        <v>4.0</v>
      </c>
      <c r="K496" s="1">
        <v>3197.0</v>
      </c>
      <c r="L496" s="1" t="s">
        <v>1926</v>
      </c>
      <c r="M496" s="6" t="s">
        <v>1927</v>
      </c>
      <c r="N496" s="7" t="str">
        <f>VLOOKUP(A496, avaliacoes!A:G, 5, FALSE)</f>
        <v>The space between the ports is very less. Engineering defect.,good,Heating issue,Good,A smart product.,Awesome,Good one,Good</v>
      </c>
      <c r="O496" s="7" t="str">
        <f>VLOOKUP(A496, avaliacoes!A:G, 6, FALSE)</f>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v>
      </c>
    </row>
    <row r="497">
      <c r="A497" s="1" t="s">
        <v>1928</v>
      </c>
      <c r="B497" s="1" t="s">
        <v>1929</v>
      </c>
      <c r="C497" s="1" t="s">
        <v>1356</v>
      </c>
      <c r="D497" s="1" t="str">
        <f t="shared" si="2"/>
        <v>Electronics</v>
      </c>
      <c r="E497" s="1" t="str">
        <f t="shared" si="3"/>
        <v>WearableTechnology</v>
      </c>
      <c r="F497" s="2">
        <v>1799.0</v>
      </c>
      <c r="G497" s="2">
        <v>6990.0</v>
      </c>
      <c r="H497" s="3">
        <f t="shared" si="4"/>
        <v>0.7426323319</v>
      </c>
      <c r="I497" s="4">
        <f>IFERROR(__xludf.DUMMYFUNCTION("GOOGLEFINANCE(""CURRENCY:INRBRL"")*F497"),107.36130271719999)</f>
        <v>107.3613027</v>
      </c>
      <c r="J497" s="1">
        <v>4.0</v>
      </c>
      <c r="K497" s="1">
        <v>2688.0</v>
      </c>
      <c r="L497" s="1" t="s">
        <v>1930</v>
      </c>
      <c r="M497" s="6" t="s">
        <v>1931</v>
      </c>
      <c r="N497" s="7" t="str">
        <f>VLOOKUP(A497, avaliacoes!A:G, 5, FALSE)</f>
        <v>It's pretty decent,Friendly product,I love its design btw it's a descent watch .,Excellent👍💯,The Blue color is worst. BUY RED ONE,Design very good,Its worth it,Very nice</v>
      </c>
      <c r="O497" s="7" t="str">
        <f>VLOOKUP(A497, avaliacoes!A:G, 6, FALSE)</f>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v>
      </c>
    </row>
    <row r="498">
      <c r="A498" s="1" t="s">
        <v>1932</v>
      </c>
      <c r="B498" s="1" t="s">
        <v>1933</v>
      </c>
      <c r="C498" s="1" t="s">
        <v>1356</v>
      </c>
      <c r="D498" s="1" t="str">
        <f t="shared" si="2"/>
        <v>Electronics</v>
      </c>
      <c r="E498" s="1" t="str">
        <f t="shared" si="3"/>
        <v>WearableTechnology</v>
      </c>
      <c r="F498" s="2">
        <v>1499.0</v>
      </c>
      <c r="G498" s="2">
        <v>6990.0</v>
      </c>
      <c r="H498" s="3">
        <f t="shared" si="4"/>
        <v>0.7855507868</v>
      </c>
      <c r="I498" s="4">
        <f>IFERROR(__xludf.DUMMYFUNCTION("GOOGLEFINANCE(""CURRENCY:INRBRL"")*F498"),89.45780587719999)</f>
        <v>89.45780588</v>
      </c>
      <c r="J498" s="1">
        <v>4.52</v>
      </c>
      <c r="K498" s="1">
        <v>21796.0</v>
      </c>
      <c r="L498" s="1" t="s">
        <v>1407</v>
      </c>
      <c r="M498" s="6" t="s">
        <v>1934</v>
      </c>
      <c r="N498" s="7" t="str">
        <f>VLOOKUP(A498, avaliacoes!A:G, 5, FALSE)</f>
        <v>Ideal Product,Ok,उपयोगी एवं संतोषजनक,Ok in this price range,Battery,It is a good watch,Nice watch,Average</v>
      </c>
      <c r="O498" s="7" t="str">
        <f>VLOOKUP(A498, avaliacoes!A:G,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row>
    <row r="499">
      <c r="A499" s="1" t="s">
        <v>1935</v>
      </c>
      <c r="B499" s="1" t="s">
        <v>1936</v>
      </c>
      <c r="C499" s="1" t="s">
        <v>1374</v>
      </c>
      <c r="D499" s="1" t="str">
        <f t="shared" si="2"/>
        <v>Electronics</v>
      </c>
      <c r="E499" s="1" t="str">
        <f t="shared" si="3"/>
        <v>Mobiles&amp;Accessories</v>
      </c>
      <c r="F499" s="2">
        <v>20999.0</v>
      </c>
      <c r="G499" s="2">
        <v>29990.0</v>
      </c>
      <c r="H499" s="3">
        <f t="shared" si="4"/>
        <v>0.2997999333</v>
      </c>
      <c r="I499" s="4">
        <f>IFERROR(__xludf.DUMMYFUNCTION("GOOGLEFINANCE(""CURRENCY:INRBRL"")*F499"),1253.1851004772)</f>
        <v>1253.1851</v>
      </c>
      <c r="J499" s="1">
        <v>4.5</v>
      </c>
      <c r="K499" s="1">
        <v>9499.0</v>
      </c>
      <c r="L499" s="1" t="s">
        <v>1777</v>
      </c>
      <c r="M499" s="6" t="s">
        <v>1937</v>
      </c>
      <c r="N499" s="7" t="str">
        <f>VLOOKUP(A499, avaliacoes!A:G, 5, FALSE)</f>
        <v>Good phone , little expensive,Buyers Beware,I bought this mobile at 18k, worth on that price.,satisfied with the product,Single led flash light,Good product,Good not Excellent.,Good one</v>
      </c>
      <c r="O499" s="7" t="str">
        <f>VLOOKUP(A499, avaliacoes!A:G,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row>
    <row r="500">
      <c r="A500" s="1" t="s">
        <v>1938</v>
      </c>
      <c r="B500" s="1" t="s">
        <v>1939</v>
      </c>
      <c r="C500" s="1" t="s">
        <v>1374</v>
      </c>
      <c r="D500" s="1" t="str">
        <f t="shared" si="2"/>
        <v>Electronics</v>
      </c>
      <c r="E500" s="1" t="str">
        <f t="shared" si="3"/>
        <v>Mobiles&amp;Accessories</v>
      </c>
      <c r="F500" s="2">
        <v>12999.0</v>
      </c>
      <c r="G500" s="2">
        <v>13499.0</v>
      </c>
      <c r="H500" s="3">
        <f t="shared" si="4"/>
        <v>0.03703978072</v>
      </c>
      <c r="I500" s="4">
        <f>IFERROR(__xludf.DUMMYFUNCTION("GOOGLEFINANCE(""CURRENCY:INRBRL"")*F500"),775.7585180771999)</f>
        <v>775.7585181</v>
      </c>
      <c r="J500" s="1">
        <v>4.49</v>
      </c>
      <c r="K500" s="1">
        <v>56098.0</v>
      </c>
      <c r="L500" s="1" t="s">
        <v>1940</v>
      </c>
      <c r="M500" s="6" t="s">
        <v>1941</v>
      </c>
      <c r="N500" s="7" t="str">
        <f>VLOOKUP(A500, avaliacoes!A:G, 5, FALSE)</f>
        <v>Great, best 4g phone for around 10,500Rs,Good midrange phone,SAMSUNG GALAXY M32 PRIME EDITION (Pros &amp; Cons),Great Phone but slow performance.,Good one,Good phone,Jitters,Many issues in Samsung M series</v>
      </c>
      <c r="O500" s="7" t="str">
        <f>VLOOKUP(A500, avaliacoes!A:G, 6, FALSE)</f>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v>
      </c>
    </row>
    <row r="501">
      <c r="A501" s="1" t="s">
        <v>1942</v>
      </c>
      <c r="B501" s="1" t="s">
        <v>1943</v>
      </c>
      <c r="C501" s="1" t="s">
        <v>1374</v>
      </c>
      <c r="D501" s="1" t="str">
        <f t="shared" si="2"/>
        <v>Electronics</v>
      </c>
      <c r="E501" s="1" t="str">
        <f t="shared" si="3"/>
        <v>Mobiles&amp;Accessories</v>
      </c>
      <c r="F501" s="2">
        <v>16999.0</v>
      </c>
      <c r="G501" s="2">
        <v>20999.0</v>
      </c>
      <c r="H501" s="3">
        <f t="shared" si="4"/>
        <v>0.1904852612</v>
      </c>
      <c r="I501" s="4">
        <f>IFERROR(__xludf.DUMMYFUNCTION("GOOGLEFINANCE(""CURRENCY:INRBRL"")*F501"),1014.4718092771999)</f>
        <v>1014.471809</v>
      </c>
      <c r="J501" s="1">
        <v>4.49</v>
      </c>
      <c r="K501" s="1">
        <v>31822.0</v>
      </c>
      <c r="L501" s="1" t="s">
        <v>1944</v>
      </c>
      <c r="M501" s="6" t="s">
        <v>1945</v>
      </c>
      <c r="N501" s="7" t="str">
        <f>VLOOKUP(A501, avaliacoes!A:G, 5, FALSE)</f>
        <v>Good 5g mobile,Overall good phone,The best phone in 2k22 I have purchased in 30sep,Works amazing and buttery smooth, design kinda boring though,Good,Overall good under this budget,not bad,Buy for normal daily use..</v>
      </c>
      <c r="O501" s="7" t="str">
        <f>VLOOKUP(A501, avaliacoes!A:G,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row>
    <row r="502">
      <c r="A502" s="1" t="s">
        <v>1946</v>
      </c>
      <c r="B502" s="1" t="s">
        <v>1947</v>
      </c>
      <c r="C502" s="1" t="s">
        <v>1374</v>
      </c>
      <c r="D502" s="1" t="str">
        <f t="shared" si="2"/>
        <v>Electronics</v>
      </c>
      <c r="E502" s="1" t="str">
        <f t="shared" si="3"/>
        <v>Mobiles&amp;Accessories</v>
      </c>
      <c r="F502" s="2">
        <v>19999.0</v>
      </c>
      <c r="G502" s="2">
        <v>27990.0</v>
      </c>
      <c r="H502" s="3">
        <f t="shared" si="4"/>
        <v>0.2854948196</v>
      </c>
      <c r="I502" s="4">
        <f>IFERROR(__xludf.DUMMYFUNCTION("GOOGLEFINANCE(""CURRENCY:INRBRL"")*F502"),1193.5067776771998)</f>
        <v>1193.506778</v>
      </c>
      <c r="J502" s="1">
        <v>4.5</v>
      </c>
      <c r="K502" s="1">
        <v>9499.0</v>
      </c>
      <c r="L502" s="1" t="s">
        <v>1948</v>
      </c>
      <c r="M502" s="6" t="s">
        <v>1949</v>
      </c>
      <c r="N502" s="7" t="str">
        <f>VLOOKUP(A502, avaliacoes!A:G, 5, FALSE)</f>
        <v>Good phone , little expensive,Buyers Beware,I bought this mobile at 18k, worth on that price.,satisfied with the product,Single led flash light,Good product,Good not Excellent.,Good one</v>
      </c>
      <c r="O502" s="7" t="str">
        <f>VLOOKUP(A502, avaliacoes!A:G,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row>
    <row r="503">
      <c r="A503" s="1" t="s">
        <v>1950</v>
      </c>
      <c r="B503" s="1" t="s">
        <v>1951</v>
      </c>
      <c r="C503" s="1" t="s">
        <v>1374</v>
      </c>
      <c r="D503" s="1" t="str">
        <f t="shared" si="2"/>
        <v>Electronics</v>
      </c>
      <c r="E503" s="1" t="str">
        <f t="shared" si="3"/>
        <v>Mobiles&amp;Accessories</v>
      </c>
      <c r="F503" s="2">
        <v>12999.0</v>
      </c>
      <c r="G503" s="2">
        <v>18999.0</v>
      </c>
      <c r="H503" s="3">
        <f t="shared" si="4"/>
        <v>0.3158060951</v>
      </c>
      <c r="I503" s="4">
        <f>IFERROR(__xludf.DUMMYFUNCTION("GOOGLEFINANCE(""CURRENCY:INRBRL"")*F503"),775.7585180771999)</f>
        <v>775.7585181</v>
      </c>
      <c r="J503" s="1">
        <v>4.49</v>
      </c>
      <c r="K503" s="1">
        <v>50772.0</v>
      </c>
      <c r="L503" s="1" t="s">
        <v>1952</v>
      </c>
      <c r="M503" s="6" t="s">
        <v>1953</v>
      </c>
      <c r="N503" s="7" t="str">
        <f>VLOOKUP(A503, avaliacoes!A:G, 5, FALSE)</f>
        <v>Excellent Phone in the budget segment,Best value for money... But afraid of future MIUI updates.,Don't purchase it as camera phone 😤,Dependable &amp; it's been a year.,Budget mobile,Good for basic use,Phone is nice , but software is not</v>
      </c>
      <c r="O503" s="7" t="str">
        <f>VLOOKUP(A503, avaliacoes!A:G,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row>
    <row r="504">
      <c r="A504" s="1" t="s">
        <v>1954</v>
      </c>
      <c r="B504" s="1" t="s">
        <v>1955</v>
      </c>
      <c r="C504" s="1" t="s">
        <v>1356</v>
      </c>
      <c r="D504" s="1" t="str">
        <f t="shared" si="2"/>
        <v>Electronics</v>
      </c>
      <c r="E504" s="1" t="str">
        <f t="shared" si="3"/>
        <v>WearableTechnology</v>
      </c>
      <c r="F504" s="2">
        <v>2999.0</v>
      </c>
      <c r="G504" s="2">
        <v>5999.0</v>
      </c>
      <c r="H504" s="3">
        <f t="shared" si="4"/>
        <v>0.5000833472</v>
      </c>
      <c r="I504" s="4">
        <f>IFERROR(__xludf.DUMMYFUNCTION("GOOGLEFINANCE(""CURRENCY:INRBRL"")*F504"),178.9752900772)</f>
        <v>178.9752901</v>
      </c>
      <c r="J504" s="1">
        <v>4.49</v>
      </c>
      <c r="K504" s="1">
        <v>7148.0</v>
      </c>
      <c r="L504" s="1" t="s">
        <v>1956</v>
      </c>
      <c r="M504" s="6" t="s">
        <v>1957</v>
      </c>
      <c r="N504" s="7" t="str">
        <f>VLOOKUP(A504, avaliacoes!A:G, 5, FALSE)</f>
        <v>Value for money smartwatch for those interested in tracking their physical activity.,Noise pulse2max smart watch is awesome and looks good,Paisa wasool,One of the best smartwatches in this segment,Noise,Touch,Good value for money,Best budget segment fitness watch</v>
      </c>
      <c r="O504" s="7" t="str">
        <f>VLOOKUP(A504, avaliacoes!A:G, 6, FALSE)</f>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v>
      </c>
    </row>
    <row r="505">
      <c r="A505" s="1" t="s">
        <v>138</v>
      </c>
      <c r="B505" s="1" t="s">
        <v>139</v>
      </c>
      <c r="C505" s="1" t="s">
        <v>21</v>
      </c>
      <c r="D505" s="1" t="str">
        <f t="shared" si="2"/>
        <v>Computers&amp;Accessories</v>
      </c>
      <c r="E505" s="1" t="str">
        <f t="shared" si="3"/>
        <v>Accessories&amp;Peripherals</v>
      </c>
      <c r="F505" s="2">
        <v>299.0</v>
      </c>
      <c r="G505" s="2">
        <v>999.0</v>
      </c>
      <c r="H505" s="3">
        <f t="shared" si="4"/>
        <v>0.7007007007</v>
      </c>
      <c r="I505" s="4">
        <f>IFERROR(__xludf.DUMMYFUNCTION("GOOGLEFINANCE(""CURRENCY:INRBRL"")*F505"),17.8438185172)</f>
        <v>17.84381852</v>
      </c>
      <c r="J505" s="1">
        <v>4.5</v>
      </c>
      <c r="K505" s="1">
        <v>2085.0</v>
      </c>
      <c r="L505" s="1" t="s">
        <v>140</v>
      </c>
      <c r="M505" s="6" t="s">
        <v>1958</v>
      </c>
      <c r="N505" s="7" t="str">
        <f>VLOOKUP(A505, avaliacoes!A:G, 5, FALSE)</f>
        <v>Just buy it dont even 2nd guess it,Quality is good,Nylon braided quiet sturdy,Amazing,Feels like steel harnessed wire - strong,Sturdy and durable. Useful for charging Power Banks,good,Nice quality</v>
      </c>
      <c r="O505" s="7" t="str">
        <f>VLOOKUP(A505,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row>
    <row r="506">
      <c r="A506" s="1" t="s">
        <v>134</v>
      </c>
      <c r="B506" s="1" t="s">
        <v>135</v>
      </c>
      <c r="C506" s="1" t="s">
        <v>21</v>
      </c>
      <c r="D506" s="1" t="str">
        <f t="shared" si="2"/>
        <v>Computers&amp;Accessories</v>
      </c>
      <c r="E506" s="1" t="str">
        <f t="shared" si="3"/>
        <v>Accessories&amp;Peripherals</v>
      </c>
      <c r="F506" s="2">
        <v>970.0</v>
      </c>
      <c r="G506" s="2">
        <v>1999.0</v>
      </c>
      <c r="H506" s="3">
        <f t="shared" si="4"/>
        <v>0.5147573787</v>
      </c>
      <c r="I506" s="4">
        <f>IFERROR(__xludf.DUMMYFUNCTION("GOOGLEFINANCE(""CURRENCY:INRBRL"")*F506"),57.887973116)</f>
        <v>57.88797312</v>
      </c>
      <c r="J506" s="1">
        <v>4.5</v>
      </c>
      <c r="K506" s="1">
        <v>184.0</v>
      </c>
      <c r="L506" s="1" t="s">
        <v>136</v>
      </c>
      <c r="M506" s="6" t="s">
        <v>1959</v>
      </c>
      <c r="N506" s="7" t="str">
        <f>VLOOKUP(A506, avaliacoes!A:G, 5, FALSE)</f>
        <v>Very good product.,Using as a spare cable in car,Sturdy, Durable, Fast Charging!,Good brand,It’s like original apple cable,One of the best wire ..,Super well build. Quality product worth the money,Good product</v>
      </c>
      <c r="O506" s="7" t="str">
        <f>VLOOKUP(A506, avaliacoes!A:G,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row>
    <row r="507">
      <c r="A507" s="1" t="s">
        <v>1960</v>
      </c>
      <c r="B507" s="1" t="s">
        <v>1961</v>
      </c>
      <c r="C507" s="1" t="s">
        <v>1456</v>
      </c>
      <c r="D507" s="1" t="str">
        <f t="shared" si="2"/>
        <v>Electronics</v>
      </c>
      <c r="E507" s="1" t="str">
        <f t="shared" si="3"/>
        <v>Mobiles&amp;Accessories</v>
      </c>
      <c r="F507" s="2">
        <v>329.0</v>
      </c>
      <c r="G507" s="2">
        <v>999.0</v>
      </c>
      <c r="H507" s="3">
        <f t="shared" si="4"/>
        <v>0.6706706707</v>
      </c>
      <c r="I507" s="4">
        <f>IFERROR(__xludf.DUMMYFUNCTION("GOOGLEFINANCE(""CURRENCY:INRBRL"")*F507"),19.634168201199998)</f>
        <v>19.6341682</v>
      </c>
      <c r="J507" s="1">
        <v>4.5</v>
      </c>
      <c r="K507" s="1">
        <v>3492.0</v>
      </c>
      <c r="L507" s="1" t="s">
        <v>1962</v>
      </c>
      <c r="M507" s="6" t="s">
        <v>1963</v>
      </c>
      <c r="N507" s="7" t="str">
        <f>VLOOKUP(A507, avaliacoes!A:G, 5, FALSE)</f>
        <v>Good Quality,Good one,Good,Decent buy,Value for money,Product worth buying,Lasted for 5 months,It fullfilled my expectations.. Looks awesome..</v>
      </c>
      <c r="O507" s="7" t="str">
        <f>VLOOKUP(A507, avaliacoes!A:G, 6, FALSE)</f>
        <v>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v>
      </c>
    </row>
    <row r="508">
      <c r="A508" s="1" t="s">
        <v>1964</v>
      </c>
      <c r="B508" s="1" t="s">
        <v>1965</v>
      </c>
      <c r="C508" s="1" t="s">
        <v>1356</v>
      </c>
      <c r="D508" s="1" t="str">
        <f t="shared" si="2"/>
        <v>Electronics</v>
      </c>
      <c r="E508" s="1" t="str">
        <f t="shared" si="3"/>
        <v>WearableTechnology</v>
      </c>
      <c r="F508" s="2">
        <v>1299.0</v>
      </c>
      <c r="G508" s="2">
        <v>5999.0</v>
      </c>
      <c r="H508" s="3">
        <f t="shared" si="4"/>
        <v>0.7834639107</v>
      </c>
      <c r="I508" s="4">
        <f>IFERROR(__xludf.DUMMYFUNCTION("GOOGLEFINANCE(""CURRENCY:INRBRL"")*F508"),77.5221413172)</f>
        <v>77.52214132</v>
      </c>
      <c r="J508" s="1">
        <v>4.5</v>
      </c>
      <c r="K508" s="1">
        <v>4415.0</v>
      </c>
      <c r="L508" s="1" t="s">
        <v>1966</v>
      </c>
      <c r="M508" s="6" t="s">
        <v>1967</v>
      </c>
      <c r="N508" s="7" t="str">
        <f>VLOOKUP(A508, avaliacoes!A:G,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508" s="7" t="str">
        <f>VLOOKUP(A508, avaliacoes!A:G,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row>
    <row r="509">
      <c r="A509" s="1" t="s">
        <v>1968</v>
      </c>
      <c r="B509" s="1" t="s">
        <v>1969</v>
      </c>
      <c r="C509" s="1" t="s">
        <v>1393</v>
      </c>
      <c r="D509" s="1" t="str">
        <f t="shared" si="2"/>
        <v>Electronics</v>
      </c>
      <c r="E509" s="1" t="str">
        <f t="shared" si="3"/>
        <v>Accessories</v>
      </c>
      <c r="F509" s="2">
        <v>1989.0</v>
      </c>
      <c r="G509" s="2">
        <v>3499.0</v>
      </c>
      <c r="H509" s="3">
        <f t="shared" si="4"/>
        <v>0.431551872</v>
      </c>
      <c r="I509" s="4">
        <f>IFERROR(__xludf.DUMMYFUNCTION("GOOGLEFINANCE(""CURRENCY:INRBRL"")*F509"),118.70018404919999)</f>
        <v>118.700184</v>
      </c>
      <c r="J509" s="1">
        <v>4.5</v>
      </c>
      <c r="K509" s="1">
        <v>6726.0</v>
      </c>
      <c r="L509" s="1" t="s">
        <v>1970</v>
      </c>
      <c r="M509" s="6" t="s">
        <v>1971</v>
      </c>
      <c r="N509" s="7" t="str">
        <f>VLOOKUP(A509, avaliacoes!A:G, 5, FALSE)</f>
        <v>Fake Product,Costly but excellent quality,Storage good but don't know how to Activate warantee??,Good for use,5 stas nahi diya kyuki capacity 477gb hi rahta hai,Speed not as advertise,Good one,It's ok</v>
      </c>
      <c r="O509" s="7" t="str">
        <f>VLOOKUP(A509,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row>
    <row r="510">
      <c r="A510" s="1" t="s">
        <v>1972</v>
      </c>
      <c r="B510" s="1" t="s">
        <v>1360</v>
      </c>
      <c r="C510" s="1" t="s">
        <v>1356</v>
      </c>
      <c r="D510" s="1" t="str">
        <f t="shared" si="2"/>
        <v>Electronics</v>
      </c>
      <c r="E510" s="1" t="str">
        <f t="shared" si="3"/>
        <v>WearableTechnology</v>
      </c>
      <c r="F510" s="2">
        <v>1999.0</v>
      </c>
      <c r="G510" s="2">
        <v>9999.0</v>
      </c>
      <c r="H510" s="3">
        <f t="shared" si="4"/>
        <v>0.800080008</v>
      </c>
      <c r="I510" s="4">
        <f>IFERROR(__xludf.DUMMYFUNCTION("GOOGLEFINANCE(""CURRENCY:INRBRL"")*F510"),119.2969672772)</f>
        <v>119.2969673</v>
      </c>
      <c r="J510" s="1">
        <v>4.5</v>
      </c>
      <c r="K510" s="1">
        <v>27704.0</v>
      </c>
      <c r="L510" s="1" t="s">
        <v>1550</v>
      </c>
      <c r="M510" s="6" t="s">
        <v>1973</v>
      </c>
      <c r="N510" s="7" t="str">
        <f>VLOOKUP(A510, avaliacoes!A:G, 5, FALSE)</f>
        <v>7-8/10, Decent, good for day to day use,Good choice under budget of Rs2000,Average product.,Budget friendly,Overall it's a good watch,Good product,Best in design, accuracy and looks fancy. A must buy for every person who is watch enthusiast.,Having a great experience</v>
      </c>
      <c r="O510" s="7" t="str">
        <f>VLOOKUP(A510, avaliacoes!A:G,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row>
    <row r="511">
      <c r="A511" s="1" t="s">
        <v>1974</v>
      </c>
      <c r="B511" s="1" t="s">
        <v>1975</v>
      </c>
      <c r="C511" s="1" t="s">
        <v>1374</v>
      </c>
      <c r="D511" s="1" t="str">
        <f t="shared" si="2"/>
        <v>Electronics</v>
      </c>
      <c r="E511" s="1" t="str">
        <f t="shared" si="3"/>
        <v>Mobiles&amp;Accessories</v>
      </c>
      <c r="F511" s="2">
        <v>12999.0</v>
      </c>
      <c r="G511" s="2">
        <v>18999.0</v>
      </c>
      <c r="H511" s="3">
        <f t="shared" si="4"/>
        <v>0.3158060951</v>
      </c>
      <c r="I511" s="4">
        <f>IFERROR(__xludf.DUMMYFUNCTION("GOOGLEFINANCE(""CURRENCY:INRBRL"")*F511"),775.7585180771999)</f>
        <v>775.7585181</v>
      </c>
      <c r="J511" s="1">
        <v>4.49</v>
      </c>
      <c r="K511" s="1">
        <v>50772.0</v>
      </c>
      <c r="L511" s="1" t="s">
        <v>1952</v>
      </c>
      <c r="M511" s="6" t="s">
        <v>1976</v>
      </c>
      <c r="N511" s="7" t="str">
        <f>VLOOKUP(A511, avaliacoes!A:G, 5, FALSE)</f>
        <v>Excellent Phone in the budget segment,Best value for money... But afraid of future MIUI updates.,Don't purchase it as camera phone 😤,Dependable &amp; it's been a year.,Budget mobile,Good for basic use,Phone is nice , but software is not</v>
      </c>
      <c r="O511" s="7" t="str">
        <f>VLOOKUP(A511, avaliacoes!A:G,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row>
    <row r="512">
      <c r="A512" s="1" t="s">
        <v>1977</v>
      </c>
      <c r="B512" s="1" t="s">
        <v>1978</v>
      </c>
      <c r="C512" s="1" t="s">
        <v>1356</v>
      </c>
      <c r="D512" s="1" t="str">
        <f t="shared" si="2"/>
        <v>Electronics</v>
      </c>
      <c r="E512" s="1" t="str">
        <f t="shared" si="3"/>
        <v>WearableTechnology</v>
      </c>
      <c r="F512" s="2">
        <v>1499.0</v>
      </c>
      <c r="G512" s="2">
        <v>4999.0</v>
      </c>
      <c r="H512" s="3">
        <f t="shared" si="4"/>
        <v>0.700140028</v>
      </c>
      <c r="I512" s="4">
        <f>IFERROR(__xludf.DUMMYFUNCTION("GOOGLEFINANCE(""CURRENCY:INRBRL"")*F512"),89.45780587719999)</f>
        <v>89.45780588</v>
      </c>
      <c r="J512" s="1">
        <v>4.0</v>
      </c>
      <c r="K512" s="1">
        <v>92588.0</v>
      </c>
      <c r="L512" s="1" t="s">
        <v>1979</v>
      </c>
      <c r="M512" s="6" t="s">
        <v>1980</v>
      </c>
      <c r="N512" s="7" t="str">
        <f>VLOOKUP(A512, avaliacoes!A:G, 5, FALSE)</f>
        <v>nice product,Great watch,Ok ok,Nice 👍,Thik thak,Avarage,Smart watch,They can improve more</v>
      </c>
      <c r="O512" s="7" t="str">
        <f>VLOOKUP(A512, avaliacoes!A:G, 6, FALSE)</f>
        <v>I really like this product. Gifted to my sister, and she likes it,Great ⌚,Good product,Nice 👍,Thik hai,In this price range it's ok product,Color so nice..I loved it,Need some more features:(</v>
      </c>
    </row>
    <row r="513">
      <c r="A513" s="1" t="s">
        <v>1981</v>
      </c>
      <c r="B513" s="1" t="s">
        <v>1982</v>
      </c>
      <c r="C513" s="1" t="s">
        <v>1374</v>
      </c>
      <c r="D513" s="1" t="str">
        <f t="shared" si="2"/>
        <v>Electronics</v>
      </c>
      <c r="E513" s="1" t="str">
        <f t="shared" si="3"/>
        <v>Mobiles&amp;Accessories</v>
      </c>
      <c r="F513" s="2">
        <v>16999.0</v>
      </c>
      <c r="G513" s="2">
        <v>20999.0</v>
      </c>
      <c r="H513" s="3">
        <f t="shared" si="4"/>
        <v>0.1904852612</v>
      </c>
      <c r="I513" s="4">
        <f>IFERROR(__xludf.DUMMYFUNCTION("GOOGLEFINANCE(""CURRENCY:INRBRL"")*F513"),1014.4718092771999)</f>
        <v>1014.471809</v>
      </c>
      <c r="J513" s="1">
        <v>4.49</v>
      </c>
      <c r="K513" s="1">
        <v>31822.0</v>
      </c>
      <c r="L513" s="1" t="s">
        <v>1983</v>
      </c>
      <c r="M513" s="6" t="s">
        <v>1984</v>
      </c>
      <c r="N513" s="7" t="str">
        <f>VLOOKUP(A513, avaliacoes!A:G, 5, FALSE)</f>
        <v>Good 5g mobile,Overall good phone,The best phone in 2k22 I have purchased in 30sep,Works amazing and buttery smooth, design kinda boring though,Good,Overall good under this budget,not bad,Buy for normal daily use..</v>
      </c>
      <c r="O513" s="7" t="str">
        <f>VLOOKUP(A513, avaliacoes!A:G,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row>
    <row r="514">
      <c r="A514" s="1" t="s">
        <v>1985</v>
      </c>
      <c r="B514" s="1" t="s">
        <v>1986</v>
      </c>
      <c r="C514" s="1" t="s">
        <v>1356</v>
      </c>
      <c r="D514" s="1" t="str">
        <f t="shared" si="2"/>
        <v>Electronics</v>
      </c>
      <c r="E514" s="1" t="str">
        <f t="shared" si="3"/>
        <v>WearableTechnology</v>
      </c>
      <c r="F514" s="2">
        <v>1999.0</v>
      </c>
      <c r="G514" s="2">
        <v>8499.0</v>
      </c>
      <c r="H514" s="3">
        <f t="shared" si="4"/>
        <v>0.7647958583</v>
      </c>
      <c r="I514" s="4">
        <f>IFERROR(__xludf.DUMMYFUNCTION("GOOGLEFINANCE(""CURRENCY:INRBRL"")*F514"),119.2969672772)</f>
        <v>119.2969673</v>
      </c>
      <c r="J514" s="1">
        <v>4.5</v>
      </c>
      <c r="K514" s="1">
        <v>240.0</v>
      </c>
      <c r="L514" s="1" t="s">
        <v>1987</v>
      </c>
      <c r="M514" s="6" t="s">
        <v>1988</v>
      </c>
      <c r="N514" s="7" t="str">
        <f>VLOOKUP(A514, avaliacoes!A:G, 5, FALSE)</f>
        <v>Sensors burnt my wrist upon wearing overnight,Worst to buy,👍👍,It's  good,Low battery life and it's okay to buy,Superb 😘,Good,Good product</v>
      </c>
      <c r="O514" s="7" t="str">
        <f>VLOOKUP(A514, avaliacoes!A:G, 6, FALSE)</f>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v>
      </c>
    </row>
    <row r="515">
      <c r="A515" s="1" t="s">
        <v>1989</v>
      </c>
      <c r="B515" s="1" t="s">
        <v>1990</v>
      </c>
      <c r="C515" s="1" t="s">
        <v>1356</v>
      </c>
      <c r="D515" s="1" t="str">
        <f t="shared" si="2"/>
        <v>Electronics</v>
      </c>
      <c r="E515" s="1" t="str">
        <f t="shared" si="3"/>
        <v>WearableTechnology</v>
      </c>
      <c r="F515" s="2">
        <v>4999.0</v>
      </c>
      <c r="G515" s="2">
        <v>6999.0</v>
      </c>
      <c r="H515" s="3">
        <f t="shared" si="4"/>
        <v>0.2857551079</v>
      </c>
      <c r="I515" s="4">
        <f>IFERROR(__xludf.DUMMYFUNCTION("GOOGLEFINANCE(""CURRENCY:INRBRL"")*F515"),298.33193567719997)</f>
        <v>298.3319357</v>
      </c>
      <c r="J515" s="1">
        <v>4.51</v>
      </c>
      <c r="K515" s="1">
        <v>758.0</v>
      </c>
      <c r="L515" s="1" t="s">
        <v>1991</v>
      </c>
      <c r="M515" s="6" t="s">
        <v>1992</v>
      </c>
      <c r="N515" s="7" t="str">
        <f>VLOOKUP(A515, avaliacoes!A:G, 5, FALSE)</f>
        <v>Na,Add bluthooth calling,Premium build watch with mid range features and some bad design choices,Happy with the purchase,Got this watch at 4499,Nyc watch with minimal features,Worth the money,No call receiving option</v>
      </c>
      <c r="O515" s="7" t="str">
        <f>VLOOKUP(A515, avaliacoes!A:G, 6, FALSE)</f>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v>
      </c>
    </row>
    <row r="516">
      <c r="A516" s="1" t="s">
        <v>162</v>
      </c>
      <c r="B516" s="1" t="s">
        <v>163</v>
      </c>
      <c r="C516" s="1" t="s">
        <v>21</v>
      </c>
      <c r="D516" s="1" t="str">
        <f t="shared" si="2"/>
        <v>Computers&amp;Accessories</v>
      </c>
      <c r="E516" s="1" t="str">
        <f t="shared" si="3"/>
        <v>Accessories&amp;Peripherals</v>
      </c>
      <c r="F516" s="2">
        <v>99.0</v>
      </c>
      <c r="G516" s="2">
        <v>666.66</v>
      </c>
      <c r="H516" s="3">
        <f t="shared" si="4"/>
        <v>0.851498515</v>
      </c>
      <c r="I516" s="4">
        <f>IFERROR(__xludf.DUMMYFUNCTION("GOOGLEFINANCE(""CURRENCY:INRBRL"")*F516"),5.9081539572)</f>
        <v>5.908153957</v>
      </c>
      <c r="J516" s="1">
        <v>4.52</v>
      </c>
      <c r="K516" s="1">
        <v>2487.0</v>
      </c>
      <c r="L516" s="1" t="s">
        <v>164</v>
      </c>
      <c r="M516" s="6" t="s">
        <v>1993</v>
      </c>
      <c r="N516" s="7" t="str">
        <f>VLOOKUP(A516, avaliacoes!A:G, 5, FALSE)</f>
        <v>It's pretty good,Average quality,very good and useful usb cable,Good USB cable. My experience was very good it is long lasting,Good,Nice product and useful,-,Sturdy but does not support 33w charging</v>
      </c>
      <c r="O516" s="7" t="str">
        <f>VLOOKUP(A516, avaliacoes!A:G, 6, FALSE)</f>
        <v>It's a good product.,Like,Very good item strong and useful USB cableValue for moneyThanks to amazon and producer,https://m.media-amazon.com/images/W/WEBP_402378-T1/images/I/51112ZRE-1L._SY88.jpg,Good,Nice product and useful product,-,Sturdy but does not support 33w charging</v>
      </c>
    </row>
    <row r="517">
      <c r="A517" s="1" t="s">
        <v>1994</v>
      </c>
      <c r="B517" s="1" t="s">
        <v>1995</v>
      </c>
      <c r="C517" s="1" t="s">
        <v>1356</v>
      </c>
      <c r="D517" s="1" t="str">
        <f t="shared" si="2"/>
        <v>Electronics</v>
      </c>
      <c r="E517" s="1" t="str">
        <f t="shared" si="3"/>
        <v>WearableTechnology</v>
      </c>
      <c r="F517" s="2">
        <v>2499.0</v>
      </c>
      <c r="G517" s="2">
        <v>5999.0</v>
      </c>
      <c r="H517" s="3">
        <f t="shared" si="4"/>
        <v>0.5834305718</v>
      </c>
      <c r="I517" s="4">
        <f>IFERROR(__xludf.DUMMYFUNCTION("GOOGLEFINANCE(""CURRENCY:INRBRL"")*F517"),149.1361286772)</f>
        <v>149.1361287</v>
      </c>
      <c r="J517" s="1">
        <v>4.51</v>
      </c>
      <c r="K517" s="1">
        <v>828.0</v>
      </c>
      <c r="L517" s="1" t="s">
        <v>1996</v>
      </c>
      <c r="M517" s="6" t="s">
        <v>1997</v>
      </c>
      <c r="N517" s="7" t="str">
        <f>VLOOKUP(A517, avaliacoes!A:G, 5, FALSE)</f>
        <v>Noise,Nice watch',DeezNuts are important,Noise,Noise,Good 👍,Noice,Noise</v>
      </c>
      <c r="O517" s="7" t="str">
        <f>VLOOKUP(A517, avaliacoes!A:G, 6, FALSE)</f>
        <v>Only issue I've had is battery life.Rest it is a great product.,Very nice watchNice touch,ok.,Nice,Good product,Battery back up need to be improved... Remaining all features are good...,Ai is not working properly,Watch is good ..but I had battery issue and alarm issues</v>
      </c>
    </row>
    <row r="518">
      <c r="A518" s="1" t="s">
        <v>1998</v>
      </c>
      <c r="B518" s="1" t="s">
        <v>1999</v>
      </c>
      <c r="C518" s="1" t="s">
        <v>1402</v>
      </c>
      <c r="D518" s="1" t="str">
        <f t="shared" si="2"/>
        <v>Electronics</v>
      </c>
      <c r="E518" s="1" t="str">
        <f t="shared" si="3"/>
        <v>Mobiles&amp;Accessories</v>
      </c>
      <c r="F518" s="2">
        <v>1399.0</v>
      </c>
      <c r="G518" s="2">
        <v>1630.0</v>
      </c>
      <c r="H518" s="3">
        <f t="shared" si="4"/>
        <v>0.1417177914</v>
      </c>
      <c r="I518" s="4">
        <f>IFERROR(__xludf.DUMMYFUNCTION("GOOGLEFINANCE(""CURRENCY:INRBRL"")*F518"),83.48997359719999)</f>
        <v>83.4899736</v>
      </c>
      <c r="J518" s="1">
        <v>4.0</v>
      </c>
      <c r="K518" s="1">
        <v>9378.0</v>
      </c>
      <c r="L518" s="1" t="s">
        <v>2000</v>
      </c>
      <c r="M518" s="6" t="s">
        <v>2001</v>
      </c>
      <c r="N518" s="7" t="str">
        <f>VLOOKUP(A518, avaliacoes!A:G, 5, FALSE)</f>
        <v>Out of 5 iam giving 3.5 rating everything is okay except voice sound during call,Simple for rough use,charger quality bad,Lightweight.,Terriffic battery life,Good one for elders,Good in this price,Good</v>
      </c>
      <c r="O518" s="7" t="str">
        <f>VLOOKUP(A518, avaliacoes!A:G, 6, FALSE)</f>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v>
      </c>
    </row>
    <row r="519">
      <c r="A519" s="1" t="s">
        <v>2002</v>
      </c>
      <c r="B519" s="1" t="s">
        <v>2003</v>
      </c>
      <c r="C519" s="1" t="s">
        <v>1356</v>
      </c>
      <c r="D519" s="1" t="str">
        <f t="shared" si="2"/>
        <v>Electronics</v>
      </c>
      <c r="E519" s="1" t="str">
        <f t="shared" si="3"/>
        <v>WearableTechnology</v>
      </c>
      <c r="F519" s="2">
        <v>1499.0</v>
      </c>
      <c r="G519" s="2">
        <v>9999.0</v>
      </c>
      <c r="H519" s="3">
        <f t="shared" si="4"/>
        <v>0.8500850085</v>
      </c>
      <c r="I519" s="4">
        <f>IFERROR(__xludf.DUMMYFUNCTION("GOOGLEFINANCE(""CURRENCY:INRBRL"")*F519"),89.45780587719999)</f>
        <v>89.45780588</v>
      </c>
      <c r="J519" s="1">
        <v>4.5</v>
      </c>
      <c r="K519" s="1">
        <v>22638.0</v>
      </c>
      <c r="L519" s="1" t="s">
        <v>2004</v>
      </c>
      <c r="M519" s="6" t="s">
        <v>2005</v>
      </c>
      <c r="N519" s="7" t="str">
        <f>VLOOKUP(A519, avaliacoes!A:G, 5, FALSE)</f>
        <v>Premium looking watch,Excellent Product,The Tracking and touch would be better,Bluetooth connectivity,Very good,The watch is good,Felt Good,Not bad</v>
      </c>
      <c r="O519" s="7" t="str">
        <f>VLOOKUP(A519, avaliacoes!A:G,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row>
    <row r="520">
      <c r="A520" s="1" t="s">
        <v>166</v>
      </c>
      <c r="B520" s="1" t="s">
        <v>167</v>
      </c>
      <c r="C520" s="1" t="s">
        <v>21</v>
      </c>
      <c r="D520" s="1" t="str">
        <f t="shared" si="2"/>
        <v>Computers&amp;Accessories</v>
      </c>
      <c r="E520" s="1" t="str">
        <f t="shared" si="3"/>
        <v>Accessories&amp;Peripherals</v>
      </c>
      <c r="F520" s="2">
        <v>899.0</v>
      </c>
      <c r="G520" s="2">
        <v>1899.0</v>
      </c>
      <c r="H520" s="3">
        <f t="shared" si="4"/>
        <v>0.5265929437</v>
      </c>
      <c r="I520" s="4">
        <f>IFERROR(__xludf.DUMMYFUNCTION("GOOGLEFINANCE(""CURRENCY:INRBRL"")*F520"),53.6508121972)</f>
        <v>53.6508122</v>
      </c>
      <c r="J520" s="1">
        <v>4.5</v>
      </c>
      <c r="K520" s="1">
        <v>13552.0</v>
      </c>
      <c r="L520" s="1" t="s">
        <v>168</v>
      </c>
      <c r="M520" s="6" t="s">
        <v>2006</v>
      </c>
      <c r="N520" s="7" t="str">
        <f>VLOOKUP(A520, avaliacoes!A:G, 5, FALSE)</f>
        <v>Good,Worth to buy,Great value for price,Good product,Nice product.,Reliable and worth it!,Much more sturdy and durable than Apple cable,Good</v>
      </c>
      <c r="O520" s="7" t="str">
        <f>VLOOKUP(A520,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row>
    <row r="521">
      <c r="A521" s="1" t="s">
        <v>2007</v>
      </c>
      <c r="B521" s="1" t="s">
        <v>2008</v>
      </c>
      <c r="C521" s="1" t="s">
        <v>1456</v>
      </c>
      <c r="D521" s="1" t="str">
        <f t="shared" si="2"/>
        <v>Electronics</v>
      </c>
      <c r="E521" s="1" t="str">
        <f t="shared" si="3"/>
        <v>Mobiles&amp;Accessories</v>
      </c>
      <c r="F521" s="2">
        <v>249.0</v>
      </c>
      <c r="G521" s="2">
        <v>599.0</v>
      </c>
      <c r="H521" s="3">
        <f t="shared" si="4"/>
        <v>0.5843071786</v>
      </c>
      <c r="I521" s="4">
        <f>IFERROR(__xludf.DUMMYFUNCTION("GOOGLEFINANCE(""CURRENCY:INRBRL"")*F521"),14.8599023772)</f>
        <v>14.85990238</v>
      </c>
      <c r="J521" s="1">
        <v>4.52</v>
      </c>
      <c r="K521" s="1">
        <v>2147.0</v>
      </c>
      <c r="L521" s="1" t="s">
        <v>2009</v>
      </c>
      <c r="M521" s="6" t="s">
        <v>2010</v>
      </c>
      <c r="N521" s="7" t="str">
        <f>VLOOKUP(A521, avaliacoes!A:G, 5, FALSE)</f>
        <v>good till now,Good,An additional charger same as ORIGINAL .,Good adapter,Best,okay okay,Good,Good product</v>
      </c>
      <c r="O521" s="7" t="str">
        <f>VLOOKUP(A521, avaliacoes!A:G, 6, FALSE)</f>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v>
      </c>
    </row>
    <row r="522">
      <c r="A522" s="1" t="s">
        <v>2011</v>
      </c>
      <c r="B522" s="1" t="s">
        <v>2012</v>
      </c>
      <c r="C522" s="1" t="s">
        <v>1765</v>
      </c>
      <c r="D522" s="1" t="str">
        <f t="shared" si="2"/>
        <v>Electronics</v>
      </c>
      <c r="E522" s="1" t="str">
        <f t="shared" si="3"/>
        <v>Mobiles&amp;Accessories</v>
      </c>
      <c r="F522" s="2">
        <v>299.0</v>
      </c>
      <c r="G522" s="2">
        <v>1199.0</v>
      </c>
      <c r="H522" s="3">
        <f t="shared" si="4"/>
        <v>0.7506255213</v>
      </c>
      <c r="I522" s="4">
        <f>IFERROR(__xludf.DUMMYFUNCTION("GOOGLEFINANCE(""CURRENCY:INRBRL"")*F522"),17.8438185172)</f>
        <v>17.84381852</v>
      </c>
      <c r="J522" s="1">
        <v>4.51</v>
      </c>
      <c r="K522" s="1">
        <v>596.0</v>
      </c>
      <c r="L522" s="1" t="s">
        <v>2013</v>
      </c>
      <c r="M522" s="6" t="s">
        <v>2014</v>
      </c>
      <c r="N522" s="7" t="str">
        <f>VLOOKUP(A522, avaliacoes!A:G, 5, FALSE)</f>
        <v>Good quality screen protector,Well made basic screen protector,Good one,Good affordable tempered glass,Perfect for pixel 6a,Recommended,Perfect and budget screen guard for pixel 7,Okish</v>
      </c>
      <c r="O522" s="7" t="str">
        <f>VLOOKUP(A522, avaliacoes!A:G, 6, FALSE)</f>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v>
      </c>
    </row>
    <row r="523">
      <c r="A523" s="1" t="s">
        <v>2015</v>
      </c>
      <c r="B523" s="1" t="s">
        <v>2016</v>
      </c>
      <c r="C523" s="1" t="s">
        <v>1689</v>
      </c>
      <c r="D523" s="1" t="str">
        <f t="shared" si="2"/>
        <v>Electronics</v>
      </c>
      <c r="E523" s="1" t="str">
        <f t="shared" si="3"/>
        <v>Mobiles&amp;Accessories</v>
      </c>
      <c r="F523" s="2">
        <v>79.0</v>
      </c>
      <c r="G523" s="2">
        <v>499.0</v>
      </c>
      <c r="H523" s="3">
        <f t="shared" si="4"/>
        <v>0.8416833667</v>
      </c>
      <c r="I523" s="4">
        <f>IFERROR(__xludf.DUMMYFUNCTION("GOOGLEFINANCE(""CURRENCY:INRBRL"")*F523"),4.7145875012)</f>
        <v>4.714587501</v>
      </c>
      <c r="J523" s="1">
        <v>4.5</v>
      </c>
      <c r="K523" s="1">
        <v>1949.0</v>
      </c>
      <c r="L523" s="1" t="s">
        <v>2017</v>
      </c>
      <c r="M523" s="6" t="s">
        <v>2018</v>
      </c>
      <c r="N523" s="7" t="str">
        <f>VLOOKUP(A523, avaliacoes!A:G, 5, FALSE)</f>
        <v>Very useful,Very useful item to make your phone cables long lasting,Price can be reduced as this product is not worth for 80 rs,Value for money,It is useful,Good product,Good quality,Its good item in this money</v>
      </c>
      <c r="O523" s="7" t="str">
        <f>VLOOKUP(A523, avaliacoes!A:G,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row>
    <row r="524">
      <c r="A524" s="1" t="s">
        <v>2019</v>
      </c>
      <c r="B524" s="1" t="s">
        <v>2020</v>
      </c>
      <c r="C524" s="1" t="s">
        <v>1374</v>
      </c>
      <c r="D524" s="1" t="str">
        <f t="shared" si="2"/>
        <v>Electronics</v>
      </c>
      <c r="E524" s="1" t="str">
        <f t="shared" si="3"/>
        <v>Mobiles&amp;Accessories</v>
      </c>
      <c r="F524" s="2">
        <v>13999.0</v>
      </c>
      <c r="G524" s="2">
        <v>15999.0</v>
      </c>
      <c r="H524" s="3">
        <f t="shared" si="4"/>
        <v>0.125007813</v>
      </c>
      <c r="I524" s="4">
        <f>IFERROR(__xludf.DUMMYFUNCTION("GOOGLEFINANCE(""CURRENCY:INRBRL"")*F524"),835.4368408772)</f>
        <v>835.4368409</v>
      </c>
      <c r="J524" s="1">
        <v>4.52</v>
      </c>
      <c r="K524" s="1">
        <v>218.0</v>
      </c>
      <c r="L524" s="1" t="s">
        <v>1910</v>
      </c>
      <c r="M524" s="6" t="s">
        <v>2021</v>
      </c>
      <c r="N524" s="7" t="str">
        <f>VLOOKUP(A524, avaliacoes!A:G, 5, FALSE)</f>
        <v>Nice phone,15 day review,Nice Phone,Extent,Awesome phone, recommend to buy it.,its all okay,Design,Good</v>
      </c>
      <c r="O524" s="7" t="str">
        <f>VLOOKUP(A524, avaliacoes!A:G, 6, FALSE)</f>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v>
      </c>
    </row>
    <row r="525">
      <c r="A525" s="1" t="s">
        <v>2022</v>
      </c>
      <c r="B525" s="1" t="s">
        <v>2023</v>
      </c>
      <c r="C525" s="1" t="s">
        <v>1411</v>
      </c>
      <c r="D525" s="1" t="str">
        <f t="shared" si="2"/>
        <v>Electronics</v>
      </c>
      <c r="E525" s="1" t="str">
        <f t="shared" si="3"/>
        <v>Headphones,Earbuds&amp;Accessories</v>
      </c>
      <c r="F525" s="2">
        <v>949.0</v>
      </c>
      <c r="G525" s="2">
        <v>999.0</v>
      </c>
      <c r="H525" s="3">
        <f t="shared" si="4"/>
        <v>0.05005005005</v>
      </c>
      <c r="I525" s="4">
        <f>IFERROR(__xludf.DUMMYFUNCTION("GOOGLEFINANCE(""CURRENCY:INRBRL"")*F525"),56.634728337199995)</f>
        <v>56.63472834</v>
      </c>
      <c r="J525" s="1">
        <v>4.5</v>
      </c>
      <c r="K525" s="1">
        <v>31539.0</v>
      </c>
      <c r="L525" s="1" t="s">
        <v>2024</v>
      </c>
      <c r="M525" s="6" t="s">
        <v>2025</v>
      </c>
      <c r="N525" s="7" t="str">
        <f>VLOOKUP(A525, avaliacoes!A:G, 5, FALSE)</f>
        <v>Works well, but not for long,Good product,Good product,Good quality,Excellent.,Good,Average item,Try to improve</v>
      </c>
      <c r="O525" s="7" t="str">
        <f>VLOOKUP(A525, avaliacoes!A:G, 6, FALSE)</f>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v>
      </c>
    </row>
    <row r="526">
      <c r="A526" s="1" t="s">
        <v>2026</v>
      </c>
      <c r="B526" s="1" t="s">
        <v>2027</v>
      </c>
      <c r="C526" s="1" t="s">
        <v>1617</v>
      </c>
      <c r="D526" s="1" t="str">
        <f t="shared" si="2"/>
        <v>Electronics</v>
      </c>
      <c r="E526" s="1" t="str">
        <f t="shared" si="3"/>
        <v>Mobiles&amp;Accessories</v>
      </c>
      <c r="F526" s="2">
        <v>99.0</v>
      </c>
      <c r="G526" s="2">
        <v>499.0</v>
      </c>
      <c r="H526" s="3">
        <f t="shared" si="4"/>
        <v>0.8016032064</v>
      </c>
      <c r="I526" s="4">
        <f>IFERROR(__xludf.DUMMYFUNCTION("GOOGLEFINANCE(""CURRENCY:INRBRL"")*F526"),5.9081539572)</f>
        <v>5.908153957</v>
      </c>
      <c r="J526" s="1">
        <v>4.49</v>
      </c>
      <c r="K526" s="1">
        <v>2451.0</v>
      </c>
      <c r="L526" s="1" t="s">
        <v>2028</v>
      </c>
      <c r="M526" s="6" t="s">
        <v>2029</v>
      </c>
      <c r="N526" s="7" t="str">
        <f>VLOOKUP(A526, avaliacoes!A:G, 5, FALSE)</f>
        <v>Totally worth rs99,Best,Valuable,Good,Fulfil purpose, easy to carry,Good product,Good product,Good</v>
      </c>
      <c r="O526" s="7" t="str">
        <f>VLOOKUP(A526, avaliacoes!A:G, 6, FALSE)</f>
        <v>Perfect for a 10 inch tablet both vertically and horizontally,It was the best phone holder,Premium quality and reasonable price 👍🏼,Good,Fulfil purpose, easy to carry, solid material. Think it will last long.,Nice,Liked the product. Easy to carry, portable,  foldable, lightweight.,Good</v>
      </c>
    </row>
    <row r="527">
      <c r="A527" s="1" t="s">
        <v>2030</v>
      </c>
      <c r="B527" s="1" t="s">
        <v>2031</v>
      </c>
      <c r="C527" s="1" t="s">
        <v>1356</v>
      </c>
      <c r="D527" s="1" t="str">
        <f t="shared" si="2"/>
        <v>Electronics</v>
      </c>
      <c r="E527" s="1" t="str">
        <f t="shared" si="3"/>
        <v>WearableTechnology</v>
      </c>
      <c r="F527" s="2">
        <v>2499.0</v>
      </c>
      <c r="G527" s="2">
        <v>7990.0</v>
      </c>
      <c r="H527" s="3">
        <f t="shared" si="4"/>
        <v>0.6872340426</v>
      </c>
      <c r="I527" s="4">
        <f>IFERROR(__xludf.DUMMYFUNCTION("GOOGLEFINANCE(""CURRENCY:INRBRL"")*F527"),149.1361286772)</f>
        <v>149.1361287</v>
      </c>
      <c r="J527" s="1">
        <v>4.49</v>
      </c>
      <c r="K527" s="1">
        <v>154.0</v>
      </c>
      <c r="L527" s="1" t="s">
        <v>2032</v>
      </c>
      <c r="M527" s="6" t="s">
        <v>2033</v>
      </c>
      <c r="N527" s="7" t="str">
        <f>VLOOKUP(A527, avaliacoes!A:G, 5, FALSE)</f>
        <v>Feature Wise OK at this Price But Sometimes call screen not come on the display of Watch,Problem with connection.,Good,Good watch,Worth ₹1799,Very nice product,Touch working smoothly.,Nice watch</v>
      </c>
      <c r="O527" s="7" t="str">
        <f>VLOOKUP(A527, avaliacoes!A:G, 6, FALSE)</f>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v>
      </c>
    </row>
    <row r="528">
      <c r="A528" s="1" t="s">
        <v>2034</v>
      </c>
      <c r="B528" s="1" t="s">
        <v>2035</v>
      </c>
      <c r="C528" s="1" t="s">
        <v>2036</v>
      </c>
      <c r="D528" s="1" t="str">
        <f t="shared" si="2"/>
        <v>Electronics</v>
      </c>
      <c r="E528" s="1" t="str">
        <f t="shared" si="3"/>
        <v>Mobiles&amp;Accessories</v>
      </c>
      <c r="F528" s="2">
        <v>689.0</v>
      </c>
      <c r="G528" s="2">
        <v>1999.0</v>
      </c>
      <c r="H528" s="3">
        <f t="shared" si="4"/>
        <v>0.6553276638</v>
      </c>
      <c r="I528" s="4">
        <f>IFERROR(__xludf.DUMMYFUNCTION("GOOGLEFINANCE(""CURRENCY:INRBRL"")*F528"),41.1183644092)</f>
        <v>41.11836441</v>
      </c>
      <c r="J528" s="1">
        <v>4.5</v>
      </c>
      <c r="K528" s="1">
        <v>1193.0</v>
      </c>
      <c r="L528" s="1" t="s">
        <v>2037</v>
      </c>
      <c r="M528" s="6" t="s">
        <v>2038</v>
      </c>
      <c r="N528" s="7" t="str">
        <f>VLOOKUP(A528, avaliacoes!A:G, 5, FALSE)</f>
        <v>Quite firm and steady.,👍,good buy,Theft easy,Good product,Its work,Best in market,quality</v>
      </c>
      <c r="O528" s="7" t="str">
        <f>VLOOKUP(A528, avaliacoes!A:G, 6, FALSE)</f>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v>
      </c>
    </row>
    <row r="529">
      <c r="A529" s="1" t="s">
        <v>2039</v>
      </c>
      <c r="B529" s="1" t="s">
        <v>2040</v>
      </c>
      <c r="C529" s="1" t="s">
        <v>1843</v>
      </c>
      <c r="D529" s="1" t="str">
        <f t="shared" si="2"/>
        <v>Electronics</v>
      </c>
      <c r="E529" s="1" t="str">
        <f t="shared" si="3"/>
        <v>Mobiles&amp;Accessories</v>
      </c>
      <c r="F529" s="2">
        <v>499.0</v>
      </c>
      <c r="G529" s="2">
        <v>1899.0</v>
      </c>
      <c r="H529" s="3">
        <f t="shared" si="4"/>
        <v>0.7372301211</v>
      </c>
      <c r="I529" s="4">
        <f>IFERROR(__xludf.DUMMYFUNCTION("GOOGLEFINANCE(""CURRENCY:INRBRL"")*F529"),29.7794830772)</f>
        <v>29.77948308</v>
      </c>
      <c r="J529" s="1">
        <v>4.49</v>
      </c>
      <c r="K529" s="1">
        <v>1475.0</v>
      </c>
      <c r="L529" s="1" t="s">
        <v>2041</v>
      </c>
      <c r="M529" s="6" t="s">
        <v>2042</v>
      </c>
      <c r="N529" s="7" t="str">
        <f>VLOOKUP(A529, avaliacoes!A:G, 5, FALSE)</f>
        <v>Very sturdy and convenient.,Good product,Very,Find summed up review below,Very Useful 🙂👍,Great product,Good product,Works well enough, it isn’t really stable and tend to vibrate</v>
      </c>
      <c r="O529" s="7" t="str">
        <f>VLOOKUP(A529, avaliacoes!A:G, 6, FALSE)</f>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v>
      </c>
    </row>
    <row r="530">
      <c r="A530" s="1" t="s">
        <v>2043</v>
      </c>
      <c r="B530" s="1" t="s">
        <v>2044</v>
      </c>
      <c r="C530" s="1" t="s">
        <v>1765</v>
      </c>
      <c r="D530" s="1" t="str">
        <f t="shared" si="2"/>
        <v>Electronics</v>
      </c>
      <c r="E530" s="1" t="str">
        <f t="shared" si="3"/>
        <v>Mobiles&amp;Accessories</v>
      </c>
      <c r="F530" s="2">
        <v>299.0</v>
      </c>
      <c r="G530" s="2">
        <v>999.0</v>
      </c>
      <c r="H530" s="3">
        <f t="shared" si="4"/>
        <v>0.7007007007</v>
      </c>
      <c r="I530" s="4">
        <f>IFERROR(__xludf.DUMMYFUNCTION("GOOGLEFINANCE(""CURRENCY:INRBRL"")*F530"),17.8438185172)</f>
        <v>17.84381852</v>
      </c>
      <c r="J530" s="1">
        <v>4.5</v>
      </c>
      <c r="K530" s="1">
        <v>8891.0</v>
      </c>
      <c r="L530" s="1" t="s">
        <v>2045</v>
      </c>
      <c r="M530" s="6" t="s">
        <v>2046</v>
      </c>
      <c r="N530" s="7" t="str">
        <f>VLOOKUP(A530, avaliacoes!A:G, 5, FALSE)</f>
        <v>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v>
      </c>
      <c r="O530" s="7" t="str">
        <f>VLOOKUP(A530, avaliacoes!A:G, 6, FALSE)</f>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v>
      </c>
    </row>
    <row r="531">
      <c r="A531" s="1" t="s">
        <v>2047</v>
      </c>
      <c r="B531" s="1" t="s">
        <v>2048</v>
      </c>
      <c r="C531" s="1" t="s">
        <v>1617</v>
      </c>
      <c r="D531" s="1" t="str">
        <f t="shared" si="2"/>
        <v>Electronics</v>
      </c>
      <c r="E531" s="1" t="str">
        <f t="shared" si="3"/>
        <v>Mobiles&amp;Accessories</v>
      </c>
      <c r="F531" s="2">
        <v>209.0</v>
      </c>
      <c r="G531" s="2">
        <v>499.0</v>
      </c>
      <c r="H531" s="3">
        <f t="shared" si="4"/>
        <v>0.5811623246</v>
      </c>
      <c r="I531" s="4">
        <f>IFERROR(__xludf.DUMMYFUNCTION("GOOGLEFINANCE(""CURRENCY:INRBRL"")*F531"),12.472769465199999)</f>
        <v>12.47276947</v>
      </c>
      <c r="J531" s="1">
        <v>4.51</v>
      </c>
      <c r="K531" s="1">
        <v>104.0</v>
      </c>
      <c r="L531" s="1" t="s">
        <v>2049</v>
      </c>
      <c r="M531" s="6" t="s">
        <v>2050</v>
      </c>
      <c r="N531" s="7" t="str">
        <f>VLOOKUP(A531, avaliacoes!A:G, 5, FALSE)</f>
        <v>Ok but not bad,Good stand but not quality product,Not so good,Low quality,Worth and good quality,Very useful,Very use ful and easy to carry,I like the product</v>
      </c>
      <c r="O531" s="7" t="str">
        <f>VLOOKUP(A531, avaliacoes!A:G, 6, FALSE)</f>
        <v>Lital bit ok,Good design but china product,It changes the angle and gets loose in a few days only,Very poor quality,It's worth and good quality,Very good quality,,I like the quality of the phone holder its amazing</v>
      </c>
    </row>
    <row r="532">
      <c r="A532" s="1" t="s">
        <v>2051</v>
      </c>
      <c r="B532" s="1" t="s">
        <v>2052</v>
      </c>
      <c r="C532" s="1" t="s">
        <v>1374</v>
      </c>
      <c r="D532" s="1" t="str">
        <f t="shared" si="2"/>
        <v>Electronics</v>
      </c>
      <c r="E532" s="1" t="str">
        <f t="shared" si="3"/>
        <v>Mobiles&amp;Accessories</v>
      </c>
      <c r="F532" s="2">
        <v>8499.0</v>
      </c>
      <c r="G532" s="2">
        <v>12999.0</v>
      </c>
      <c r="H532" s="3">
        <f t="shared" si="4"/>
        <v>0.3461804754</v>
      </c>
      <c r="I532" s="4">
        <f>IFERROR(__xludf.DUMMYFUNCTION("GOOGLEFINANCE(""CURRENCY:INRBRL"")*F532"),507.20606547719996)</f>
        <v>507.2060655</v>
      </c>
      <c r="J532" s="1">
        <v>4.49</v>
      </c>
      <c r="K532" s="1">
        <v>6662.0</v>
      </c>
      <c r="L532" s="1" t="s">
        <v>2053</v>
      </c>
      <c r="M532" s="6" t="s">
        <v>2054</v>
      </c>
      <c r="N532" s="7" t="str">
        <f>VLOOKUP(A532, avaliacoes!A:G, 5, FALSE)</f>
        <v>I have been using this phone since 2month it's very good on problem,Nice products,nice product,I am giving  9 out of 10.,Ek dam mst,Tecno Spark 8T,Gud,Lag</v>
      </c>
      <c r="O532" s="7" t="str">
        <f>VLOOKUP(A532, avaliacoes!A:G, 6, FALSE)</f>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v>
      </c>
    </row>
    <row r="533">
      <c r="A533" s="1" t="s">
        <v>2055</v>
      </c>
      <c r="B533" s="1" t="s">
        <v>2056</v>
      </c>
      <c r="C533" s="1" t="s">
        <v>1369</v>
      </c>
      <c r="D533" s="1" t="str">
        <f t="shared" si="2"/>
        <v>Electronics</v>
      </c>
      <c r="E533" s="1" t="str">
        <f t="shared" si="3"/>
        <v>Mobiles&amp;Accessories</v>
      </c>
      <c r="F533" s="2">
        <v>2179.0</v>
      </c>
      <c r="G533" s="2">
        <v>3999.0</v>
      </c>
      <c r="H533" s="3">
        <f t="shared" si="4"/>
        <v>0.4551137784</v>
      </c>
      <c r="I533" s="4">
        <f>IFERROR(__xludf.DUMMYFUNCTION("GOOGLEFINANCE(""CURRENCY:INRBRL"")*F533"),130.0390653812)</f>
        <v>130.0390654</v>
      </c>
      <c r="J533" s="1">
        <v>4.0</v>
      </c>
      <c r="K533" s="1">
        <v>838.0</v>
      </c>
      <c r="L533" s="1" t="s">
        <v>2057</v>
      </c>
      <c r="M533" s="6" t="s">
        <v>2058</v>
      </c>
      <c r="N533" s="7" t="str">
        <f>VLOOKUP(A533, avaliacoes!A:G, 5, FALSE)</f>
        <v>Handy, premium and fast charger but just 2 outputs,Don’t give much back up,Lightweight heavy duty but charging speed less,Not fast charging to one plus Nord mobile,Power beast with some drawbacks,BEAST mode,User review,Charging is fast. C to C cable and adaptor not supplied</v>
      </c>
      <c r="O533" s="7" t="str">
        <f>VLOOKUP(A533, avaliacoes!A:G, 6, FALSE)</f>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v>
      </c>
    </row>
    <row r="534">
      <c r="A534" s="1" t="s">
        <v>2059</v>
      </c>
      <c r="B534" s="1" t="s">
        <v>2060</v>
      </c>
      <c r="C534" s="1" t="s">
        <v>1374</v>
      </c>
      <c r="D534" s="1" t="str">
        <f t="shared" si="2"/>
        <v>Electronics</v>
      </c>
      <c r="E534" s="1" t="str">
        <f t="shared" si="3"/>
        <v>Mobiles&amp;Accessories</v>
      </c>
      <c r="F534" s="2">
        <v>16999.0</v>
      </c>
      <c r="G534" s="2">
        <v>20999.0</v>
      </c>
      <c r="H534" s="3">
        <f t="shared" si="4"/>
        <v>0.1904852612</v>
      </c>
      <c r="I534" s="4">
        <f>IFERROR(__xludf.DUMMYFUNCTION("GOOGLEFINANCE(""CURRENCY:INRBRL"")*F534"),1014.4718092771999)</f>
        <v>1014.471809</v>
      </c>
      <c r="J534" s="1">
        <v>4.49</v>
      </c>
      <c r="K534" s="1">
        <v>31822.0</v>
      </c>
      <c r="L534" s="1" t="s">
        <v>2061</v>
      </c>
      <c r="M534" s="6" t="s">
        <v>2062</v>
      </c>
      <c r="N534" s="7" t="str">
        <f>VLOOKUP(A534, avaliacoes!A:G, 5, FALSE)</f>
        <v>Good 5g mobile,Overall good phone,The best phone in 2k22 I have purchased in 30sep,Works amazing and buttery smooth, design kinda boring though,Good,Overall good under this budget,not bad,Buy for normal daily use..</v>
      </c>
      <c r="O534" s="7" t="str">
        <f>VLOOKUP(A534, avaliacoes!A:G,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row>
    <row r="535">
      <c r="A535" s="1" t="s">
        <v>2063</v>
      </c>
      <c r="B535" s="1" t="s">
        <v>2064</v>
      </c>
      <c r="C535" s="1" t="s">
        <v>1374</v>
      </c>
      <c r="D535" s="1" t="str">
        <f t="shared" si="2"/>
        <v>Electronics</v>
      </c>
      <c r="E535" s="1" t="str">
        <f t="shared" si="3"/>
        <v>Mobiles&amp;Accessories</v>
      </c>
      <c r="F535" s="2">
        <v>44999.0</v>
      </c>
      <c r="G535" s="2">
        <v>49999.0</v>
      </c>
      <c r="H535" s="3">
        <f t="shared" si="4"/>
        <v>0.100002</v>
      </c>
      <c r="I535" s="4">
        <f>IFERROR(__xludf.DUMMYFUNCTION("GOOGLEFINANCE(""CURRENCY:INRBRL"")*F535"),2685.4648476772)</f>
        <v>2685.464848</v>
      </c>
      <c r="J535" s="1">
        <v>4.5</v>
      </c>
      <c r="K535" s="1">
        <v>3075.0</v>
      </c>
      <c r="L535" s="1" t="s">
        <v>2065</v>
      </c>
      <c r="M535" s="6" t="s">
        <v>2066</v>
      </c>
      <c r="N535" s="7" t="str">
        <f>VLOOKUP(A535, avaliacoes!A:G, 5, FALSE)</f>
        <v>A conditional beast,Overall satisfied but Wow factor is no missing,Honest one which might help.,Perfect one , You can buy</v>
      </c>
      <c r="O535" s="7" t="str">
        <f>VLOOKUP(A535, avaliacoes!A:G, 6, FALSE)</f>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v>
      </c>
    </row>
    <row r="536">
      <c r="A536" s="1" t="s">
        <v>2067</v>
      </c>
      <c r="B536" s="1" t="s">
        <v>2068</v>
      </c>
      <c r="C536" s="1" t="s">
        <v>1402</v>
      </c>
      <c r="D536" s="1" t="str">
        <f t="shared" si="2"/>
        <v>Electronics</v>
      </c>
      <c r="E536" s="1" t="str">
        <f t="shared" si="3"/>
        <v>Mobiles&amp;Accessories</v>
      </c>
      <c r="F536" s="2">
        <v>2599.0</v>
      </c>
      <c r="G536" s="2">
        <v>2999.0</v>
      </c>
      <c r="H536" s="3">
        <f t="shared" si="4"/>
        <v>0.1333777926</v>
      </c>
      <c r="I536" s="4">
        <f>IFERROR(__xludf.DUMMYFUNCTION("GOOGLEFINANCE(""CURRENCY:INRBRL"")*F536"),155.1039609572)</f>
        <v>155.103961</v>
      </c>
      <c r="J536" s="1">
        <v>4.52</v>
      </c>
      <c r="K536" s="1">
        <v>14266.0</v>
      </c>
      <c r="L536" s="1" t="s">
        <v>2069</v>
      </c>
      <c r="M536" s="6" t="s">
        <v>2070</v>
      </c>
      <c r="N536" s="7" t="str">
        <f>VLOOKUP(A536, avaliacoes!A:G, 5, FALSE)</f>
        <v>Ok phone,Good Basic Phone,Nice one,Hghjk,Good one,Nokia 150,Listen to this before buying..,Good produt</v>
      </c>
      <c r="O536" s="7" t="str">
        <f>VLOOKUP(A536, avaliacoes!A:G, 6, FALSE)</f>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v>
      </c>
    </row>
    <row r="537">
      <c r="A537" s="1" t="s">
        <v>2071</v>
      </c>
      <c r="B537" s="1" t="s">
        <v>2072</v>
      </c>
      <c r="C537" s="1" t="s">
        <v>1356</v>
      </c>
      <c r="D537" s="1" t="str">
        <f t="shared" si="2"/>
        <v>Electronics</v>
      </c>
      <c r="E537" s="1" t="str">
        <f t="shared" si="3"/>
        <v>WearableTechnology</v>
      </c>
      <c r="F537" s="2">
        <v>2799.0</v>
      </c>
      <c r="G537" s="2">
        <v>6499.0</v>
      </c>
      <c r="H537" s="3">
        <f t="shared" si="4"/>
        <v>0.5693183567</v>
      </c>
      <c r="I537" s="4">
        <f>IFERROR(__xludf.DUMMYFUNCTION("GOOGLEFINANCE(""CURRENCY:INRBRL"")*F537"),167.0396255172)</f>
        <v>167.0396255</v>
      </c>
      <c r="J537" s="1">
        <v>4.49</v>
      </c>
      <c r="K537" s="1">
        <v>38879.0</v>
      </c>
      <c r="L537" s="1" t="s">
        <v>2073</v>
      </c>
      <c r="M537" s="6" t="s">
        <v>2074</v>
      </c>
      <c r="N537" s="7" t="str">
        <f>VLOOKUP(A537, avaliacoes!A:G, 5, FALSE)</f>
        <v>Budget friendly watch,Good product at this price range,Ok,Satisfied,Watch ⌚️ Review,Nice,Display touch was good but screen bazales is too much,Nice watch under 2000</v>
      </c>
      <c r="O537" s="7" t="str">
        <f>VLOOKUP(A537, avaliacoes!A:G, 6, FALSE)</f>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v>
      </c>
    </row>
    <row r="538">
      <c r="A538" s="1" t="s">
        <v>2075</v>
      </c>
      <c r="B538" s="1" t="s">
        <v>2076</v>
      </c>
      <c r="C538" s="1" t="s">
        <v>2077</v>
      </c>
      <c r="D538" s="1" t="str">
        <f t="shared" si="2"/>
        <v>Electronics</v>
      </c>
      <c r="E538" s="1" t="str">
        <f t="shared" si="3"/>
        <v>Headphones,Earbuds&amp;Accessories</v>
      </c>
      <c r="F538" s="2">
        <v>1399.0</v>
      </c>
      <c r="G538" s="2">
        <v>2990.0</v>
      </c>
      <c r="H538" s="3">
        <f t="shared" si="4"/>
        <v>0.5321070234</v>
      </c>
      <c r="I538" s="4">
        <f>IFERROR(__xludf.DUMMYFUNCTION("GOOGLEFINANCE(""CURRENCY:INRBRL"")*F538"),83.48997359719999)</f>
        <v>83.4899736</v>
      </c>
      <c r="J538" s="1">
        <v>4.49</v>
      </c>
      <c r="K538" s="1">
        <v>97175.0</v>
      </c>
      <c r="L538" s="1" t="s">
        <v>2078</v>
      </c>
      <c r="M538" s="6" t="s">
        <v>2079</v>
      </c>
      <c r="N538" s="7" t="str">
        <f>VLOOKUP(A538, avaliacoes!A:G, 5, FALSE)</f>
        <v>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v>
      </c>
      <c r="O538" s="7" t="str">
        <f>VLOOKUP(A538, avaliacoes!A:G, 6, FALSE)</f>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v>
      </c>
    </row>
    <row r="539">
      <c r="A539" s="1" t="s">
        <v>2080</v>
      </c>
      <c r="B539" s="1" t="s">
        <v>2081</v>
      </c>
      <c r="C539" s="1" t="s">
        <v>1393</v>
      </c>
      <c r="D539" s="1" t="str">
        <f t="shared" si="2"/>
        <v>Electronics</v>
      </c>
      <c r="E539" s="1" t="str">
        <f t="shared" si="3"/>
        <v>Accessories</v>
      </c>
      <c r="F539" s="2">
        <v>649.0</v>
      </c>
      <c r="G539" s="2">
        <v>2399.0</v>
      </c>
      <c r="H539" s="3">
        <f t="shared" si="4"/>
        <v>0.7294706128</v>
      </c>
      <c r="I539" s="4">
        <f>IFERROR(__xludf.DUMMYFUNCTION("GOOGLEFINANCE(""CURRENCY:INRBRL"")*F539"),38.7312314972)</f>
        <v>38.7312315</v>
      </c>
      <c r="J539" s="1">
        <v>4.5</v>
      </c>
      <c r="K539" s="1">
        <v>6726.0</v>
      </c>
      <c r="L539" s="1" t="s">
        <v>2082</v>
      </c>
      <c r="M539" s="6" t="s">
        <v>2083</v>
      </c>
      <c r="N539" s="7" t="str">
        <f>VLOOKUP(A539, avaliacoes!A:G, 5, FALSE)</f>
        <v>Fake Product,Costly but excellent quality,Storage good but don't know how to Activate warantee??,Good for use,5 stas nahi diya kyuki capacity 477gb hi rahta hai,Speed not as advertise,Good one,It's ok</v>
      </c>
      <c r="O539" s="7" t="str">
        <f>VLOOKUP(A539,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row>
    <row r="540">
      <c r="A540" s="1" t="s">
        <v>2084</v>
      </c>
      <c r="B540" s="1" t="s">
        <v>2085</v>
      </c>
      <c r="C540" s="1" t="s">
        <v>1456</v>
      </c>
      <c r="D540" s="1" t="str">
        <f t="shared" si="2"/>
        <v>Electronics</v>
      </c>
      <c r="E540" s="1" t="str">
        <f t="shared" si="3"/>
        <v>Mobiles&amp;Accessories</v>
      </c>
      <c r="F540" s="2">
        <v>799.0</v>
      </c>
      <c r="G540" s="2">
        <v>3990.0</v>
      </c>
      <c r="H540" s="3">
        <f t="shared" si="4"/>
        <v>0.7997493734</v>
      </c>
      <c r="I540" s="4">
        <f>IFERROR(__xludf.DUMMYFUNCTION("GOOGLEFINANCE(""CURRENCY:INRBRL"")*F540"),47.682979917199994)</f>
        <v>47.68297992</v>
      </c>
      <c r="J540" s="1">
        <v>4.51</v>
      </c>
      <c r="K540" s="1">
        <v>119.0</v>
      </c>
      <c r="L540" s="1" t="s">
        <v>2086</v>
      </c>
      <c r="M540" s="6" t="s">
        <v>2087</v>
      </c>
      <c r="N540" s="7" t="str">
        <f>VLOOKUP(A540, avaliacoes!A:G, 5, FALSE)</f>
        <v>It’s worth,Good,Iphone 18w adapter.,The product is good to use,Nice,Excellent,Very useful and excellent product at an very affordable price. tag,Affordable price, Great deal!</v>
      </c>
      <c r="O540" s="7" t="str">
        <f>VLOOKUP(A540, avaliacoes!A:G, 6, FALSE)</f>
        <v>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v>
      </c>
    </row>
    <row r="541">
      <c r="A541" s="1" t="s">
        <v>2088</v>
      </c>
      <c r="B541" s="1" t="s">
        <v>2089</v>
      </c>
      <c r="C541" s="1" t="s">
        <v>2090</v>
      </c>
      <c r="D541" s="1" t="str">
        <f t="shared" si="2"/>
        <v>Computers&amp;Accessories</v>
      </c>
      <c r="E541" s="1" t="str">
        <f t="shared" si="3"/>
        <v>Accessories&amp;Peripherals</v>
      </c>
      <c r="F541" s="2">
        <v>149.0</v>
      </c>
      <c r="G541" s="2">
        <v>149.0</v>
      </c>
      <c r="H541" s="3">
        <f t="shared" si="4"/>
        <v>0</v>
      </c>
      <c r="I541" s="4">
        <f>IFERROR(__xludf.DUMMYFUNCTION("GOOGLEFINANCE(""CURRENCY:INRBRL"")*F541"),8.8920700972)</f>
        <v>8.892070097</v>
      </c>
      <c r="J541" s="1">
        <v>4.5</v>
      </c>
      <c r="K541" s="1">
        <v>10833.0</v>
      </c>
      <c r="L541" s="1" t="s">
        <v>2091</v>
      </c>
      <c r="M541" s="6" t="s">
        <v>2092</v>
      </c>
      <c r="N541" s="7" t="str">
        <f>VLOOKUP(A541, avaliacoes!A:G, 5, FALSE)</f>
        <v>Merges with the device, Ultra Thin, Smooth Sliding,Good for Privacy Concerns,Good product,RESEARCH PROPERLY BEFORE BUYING! NOT SUITABLE FOR MACBOOKS!</v>
      </c>
      <c r="O541" s="7" t="str">
        <f>VLOOKUP(A541, avaliacoes!A:G, 6, FALSE)</f>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v>
      </c>
    </row>
    <row r="542">
      <c r="A542" s="1" t="s">
        <v>231</v>
      </c>
      <c r="B542" s="1" t="s">
        <v>232</v>
      </c>
      <c r="C542" s="1" t="s">
        <v>21</v>
      </c>
      <c r="D542" s="1" t="str">
        <f t="shared" si="2"/>
        <v>Computers&amp;Accessories</v>
      </c>
      <c r="E542" s="1" t="str">
        <f t="shared" si="3"/>
        <v>Accessories&amp;Peripherals</v>
      </c>
      <c r="F542" s="2">
        <v>799.0</v>
      </c>
      <c r="G542" s="2">
        <v>2099.0</v>
      </c>
      <c r="H542" s="3">
        <f t="shared" si="4"/>
        <v>0.6193425441</v>
      </c>
      <c r="I542" s="4">
        <f>IFERROR(__xludf.DUMMYFUNCTION("GOOGLEFINANCE(""CURRENCY:INRBRL"")*F542"),47.682979917199994)</f>
        <v>47.68297992</v>
      </c>
      <c r="J542" s="1">
        <v>4.5</v>
      </c>
      <c r="K542" s="1">
        <v>8188.0</v>
      </c>
      <c r="L542" s="1" t="s">
        <v>233</v>
      </c>
      <c r="M542" s="6" t="s">
        <v>2093</v>
      </c>
      <c r="N542" s="7" t="str">
        <f>VLOOKUP(A542, avaliacoes!A:G, 5, FALSE)</f>
        <v>Good product but costly,It’s really long n sturdy no homo 🔥,Takes longer to charge than the regular cable,Quality is really good,iPhone X pink charging cable long one ☝️,A good purchase,It charges fine for me,Absolutely fantastic USB👍👍👍</v>
      </c>
      <c r="O542" s="7" t="str">
        <f>VLOOKUP(A542, avaliacoes!A:G,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row>
    <row r="543">
      <c r="A543" s="1" t="s">
        <v>2094</v>
      </c>
      <c r="B543" s="1" t="s">
        <v>2095</v>
      </c>
      <c r="C543" s="1" t="s">
        <v>1402</v>
      </c>
      <c r="D543" s="1" t="str">
        <f t="shared" si="2"/>
        <v>Electronics</v>
      </c>
      <c r="E543" s="1" t="str">
        <f t="shared" si="3"/>
        <v>Mobiles&amp;Accessories</v>
      </c>
      <c r="F543" s="2">
        <v>3799.0</v>
      </c>
      <c r="G543" s="2">
        <v>5299.0</v>
      </c>
      <c r="H543" s="3">
        <f t="shared" si="4"/>
        <v>0.2830722778</v>
      </c>
      <c r="I543" s="4">
        <f>IFERROR(__xludf.DUMMYFUNCTION("GOOGLEFINANCE(""CURRENCY:INRBRL"")*F543"),226.71794831719998)</f>
        <v>226.7179483</v>
      </c>
      <c r="J543" s="1">
        <v>4.5</v>
      </c>
      <c r="K543" s="1">
        <v>1641.0</v>
      </c>
      <c r="L543" s="1" t="s">
        <v>2096</v>
      </c>
      <c r="M543" s="6" t="s">
        <v>2097</v>
      </c>
      <c r="N543" s="7" t="str">
        <f>VLOOKUP(A543, avaliacoes!A:G, 5, FALSE)</f>
        <v>Good to use as a secondary mobile,It's average.,Not user friendly operation of nokia 8210.,Need invoice,Good feature phone with 4G connectivity,Model for worth,Good,Good feature phone, but it is highly overprized</v>
      </c>
      <c r="O543" s="7" t="str">
        <f>VLOOKUP(A543, avaliacoes!A:G, 6, FALSE)</f>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v>
      </c>
    </row>
    <row r="544">
      <c r="A544" s="1" t="s">
        <v>2098</v>
      </c>
      <c r="B544" s="1" t="s">
        <v>2099</v>
      </c>
      <c r="C544" s="1" t="s">
        <v>1857</v>
      </c>
      <c r="D544" s="1" t="str">
        <f t="shared" si="2"/>
        <v>Electronics</v>
      </c>
      <c r="E544" s="1" t="str">
        <f t="shared" si="3"/>
        <v>Mobiles&amp;Accessories</v>
      </c>
      <c r="F544" s="2">
        <v>199.0</v>
      </c>
      <c r="G544" s="2">
        <v>1899.0</v>
      </c>
      <c r="H544" s="3">
        <f t="shared" si="4"/>
        <v>0.8952080042</v>
      </c>
      <c r="I544" s="4">
        <f>IFERROR(__xludf.DUMMYFUNCTION("GOOGLEFINANCE(""CURRENCY:INRBRL"")*F544"),11.8759862372)</f>
        <v>11.87598624</v>
      </c>
      <c r="J544" s="1">
        <v>4.0</v>
      </c>
      <c r="K544" s="1">
        <v>474.0</v>
      </c>
      <c r="L544" s="1" t="s">
        <v>2100</v>
      </c>
      <c r="M544" s="6" t="s">
        <v>2101</v>
      </c>
      <c r="N544" s="7" t="str">
        <f>VLOOKUP(A544, avaliacoes!A:G, 5, FALSE)</f>
        <v>Perfect fit n finish. But slightly over priced. Overall good and useful.,Screen cover,Amazing product.. I'm very glad after got it..Now I can use my watch confidently..Thank you Amazon..,protect our screen.,Perfect fitting for m nosice smartwatch ❤,Good for protection,Ok,Good</v>
      </c>
      <c r="O544" s="7" t="str">
        <f>VLOOKUP(A544, avaliacoes!A:G, 6, FALSE)</f>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v>
      </c>
    </row>
    <row r="545">
      <c r="A545" s="1" t="s">
        <v>2102</v>
      </c>
      <c r="B545" s="1" t="s">
        <v>2103</v>
      </c>
      <c r="C545" s="1" t="s">
        <v>1374</v>
      </c>
      <c r="D545" s="1" t="str">
        <f t="shared" si="2"/>
        <v>Electronics</v>
      </c>
      <c r="E545" s="1" t="str">
        <f t="shared" si="3"/>
        <v>Mobiles&amp;Accessories</v>
      </c>
      <c r="F545" s="2">
        <v>23999.0</v>
      </c>
      <c r="G545" s="2">
        <v>32999.0</v>
      </c>
      <c r="H545" s="3">
        <f t="shared" si="4"/>
        <v>0.2727355374</v>
      </c>
      <c r="I545" s="4">
        <f>IFERROR(__xludf.DUMMYFUNCTION("GOOGLEFINANCE(""CURRENCY:INRBRL"")*F545"),1432.2200688772)</f>
        <v>1432.220069</v>
      </c>
      <c r="J545" s="1">
        <v>4.52</v>
      </c>
      <c r="K545" s="1">
        <v>8866.0</v>
      </c>
      <c r="L545" s="1" t="s">
        <v>2104</v>
      </c>
      <c r="M545" s="6" t="s">
        <v>2105</v>
      </c>
      <c r="N545" s="7" t="str">
        <f>VLOOKUP(A545, avaliacoes!A:G, 5, FALSE)</f>
        <v>Received defective phone and running from one customer care to another to replace the phone,Honest opinion.,Worth the money but not as good as promised,Good budget model phone,value for money.,Galaxy m53,Good buy for 22k,A little overpriced but gets the work done</v>
      </c>
      <c r="O545" s="7" t="str">
        <f>VLOOKUP(A545, avaliacoes!A:G, 6, FALSE)</f>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v>
      </c>
    </row>
    <row r="546">
      <c r="A546" s="1" t="s">
        <v>2106</v>
      </c>
      <c r="B546" s="1" t="s">
        <v>2107</v>
      </c>
      <c r="C546" s="1" t="s">
        <v>1374</v>
      </c>
      <c r="D546" s="1" t="str">
        <f t="shared" si="2"/>
        <v>Electronics</v>
      </c>
      <c r="E546" s="1" t="str">
        <f t="shared" si="3"/>
        <v>Mobiles&amp;Accessories</v>
      </c>
      <c r="F546" s="2">
        <v>29990.0</v>
      </c>
      <c r="G546" s="2">
        <v>39990.0</v>
      </c>
      <c r="H546" s="3">
        <f t="shared" si="4"/>
        <v>0.2500625156</v>
      </c>
      <c r="I546" s="4">
        <f>IFERROR(__xludf.DUMMYFUNCTION("GOOGLEFINANCE(""CURRENCY:INRBRL"")*F546"),1789.752900772)</f>
        <v>1789.752901</v>
      </c>
      <c r="J546" s="1">
        <v>4.5</v>
      </c>
      <c r="K546" s="1">
        <v>8399.0</v>
      </c>
      <c r="L546" s="1" t="s">
        <v>2108</v>
      </c>
      <c r="M546" s="6" t="s">
        <v>2109</v>
      </c>
      <c r="N546" s="7" t="str">
        <f>VLOOKUP(A546, avaliacoes!A:G, 5, FALSE)</f>
        <v>Real Monster 👽,Overall good,Good performance oriented phone,An all Rounder in the &lt; 30k segment,All good, battery life could be better.,A good Phone with few disadvantages.,Value for Money product,❤️</v>
      </c>
      <c r="O546" s="7" t="str">
        <f>VLOOKUP(A546, avaliacoes!A:G, 6, FALSE)</f>
        <v>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v>
      </c>
    </row>
    <row r="547">
      <c r="A547" s="1" t="s">
        <v>2110</v>
      </c>
      <c r="B547" s="1" t="s">
        <v>2111</v>
      </c>
      <c r="C547" s="1" t="s">
        <v>1356</v>
      </c>
      <c r="D547" s="1" t="str">
        <f t="shared" si="2"/>
        <v>Electronics</v>
      </c>
      <c r="E547" s="1" t="str">
        <f t="shared" si="3"/>
        <v>WearableTechnology</v>
      </c>
      <c r="F547" s="2">
        <v>281.0</v>
      </c>
      <c r="G547" s="2">
        <v>1999.0</v>
      </c>
      <c r="H547" s="3">
        <f t="shared" si="4"/>
        <v>0.8594297149</v>
      </c>
      <c r="I547" s="4">
        <f>IFERROR(__xludf.DUMMYFUNCTION("GOOGLEFINANCE(""CURRENCY:INRBRL"")*F547"),16.7696087068)</f>
        <v>16.76960871</v>
      </c>
      <c r="J547" s="1">
        <v>4.51</v>
      </c>
      <c r="K547" s="1">
        <v>87.0</v>
      </c>
      <c r="L547" s="1" t="s">
        <v>2112</v>
      </c>
      <c r="M547" s="6" t="s">
        <v>2113</v>
      </c>
      <c r="N547" s="7" t="str">
        <f>VLOOKUP(A547, avaliacoes!A:G, 5, FALSE)</f>
        <v>Very Good prodat,Battery life is 0 day,Good,Where is switch on button?,Saman kharab hai,Do not purchase totally waste of time and money.,Bhot Gandhi h ye watch,Good 👍 nice</v>
      </c>
      <c r="O547" s="7" t="str">
        <f>VLOOKUP(A547, avaliacoes!A:G, 6, FALSE)</f>
        <v>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v>
      </c>
    </row>
    <row r="548">
      <c r="A548" s="1" t="s">
        <v>2114</v>
      </c>
      <c r="B548" s="1" t="s">
        <v>2115</v>
      </c>
      <c r="C548" s="1" t="s">
        <v>1374</v>
      </c>
      <c r="D548" s="1" t="str">
        <f t="shared" si="2"/>
        <v>Electronics</v>
      </c>
      <c r="E548" s="1" t="str">
        <f t="shared" si="3"/>
        <v>Mobiles&amp;Accessories</v>
      </c>
      <c r="F548" s="2">
        <v>7998.0</v>
      </c>
      <c r="G548" s="2">
        <v>11999.0</v>
      </c>
      <c r="H548" s="3">
        <f t="shared" si="4"/>
        <v>0.3334444537</v>
      </c>
      <c r="I548" s="4">
        <f>IFERROR(__xludf.DUMMYFUNCTION("GOOGLEFINANCE(""CURRENCY:INRBRL"")*F548"),477.30722575439995)</f>
        <v>477.3072258</v>
      </c>
      <c r="J548" s="1">
        <v>4.51</v>
      </c>
      <c r="K548" s="1">
        <v>125.0</v>
      </c>
      <c r="L548" s="1" t="s">
        <v>2116</v>
      </c>
      <c r="M548" s="6" t="s">
        <v>2117</v>
      </c>
      <c r="N548" s="7" t="str">
        <f>VLOOKUP(A548, avaliacoes!A:G, 5, FALSE)</f>
        <v>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v>
      </c>
      <c r="O548" s="7" t="str">
        <f>VLOOKUP(A548, avaliacoes!A:G, 6, FALSE)</f>
        <v>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v>
      </c>
    </row>
    <row r="549">
      <c r="A549" s="1" t="s">
        <v>2118</v>
      </c>
      <c r="B549" s="1" t="s">
        <v>2119</v>
      </c>
      <c r="C549" s="1" t="s">
        <v>1356</v>
      </c>
      <c r="D549" s="1" t="str">
        <f t="shared" si="2"/>
        <v>Electronics</v>
      </c>
      <c r="E549" s="1" t="str">
        <f t="shared" si="3"/>
        <v>WearableTechnology</v>
      </c>
      <c r="F549" s="2">
        <v>249.0</v>
      </c>
      <c r="G549" s="2">
        <v>999.0</v>
      </c>
      <c r="H549" s="3">
        <f t="shared" si="4"/>
        <v>0.7507507508</v>
      </c>
      <c r="I549" s="4">
        <f>IFERROR(__xludf.DUMMYFUNCTION("GOOGLEFINANCE(""CURRENCY:INRBRL"")*F549"),14.8599023772)</f>
        <v>14.85990238</v>
      </c>
      <c r="J549" s="1">
        <v>4.51</v>
      </c>
      <c r="K549" s="1">
        <v>38.0</v>
      </c>
      <c r="L549" s="1" t="s">
        <v>2120</v>
      </c>
      <c r="M549" s="6" t="s">
        <v>2121</v>
      </c>
      <c r="N549" s="7" t="str">
        <f>VLOOKUP(A549, avaliacoes!A:G, 5, FALSE)</f>
        <v>Must Buy,Truly value for money at this price point get this type of quality charger cable.,Perfect fit for my Noise Colourfit NAV,Must try product,Product good,Good product,Value for money,Good product</v>
      </c>
      <c r="O549" s="7" t="str">
        <f>VLOOKUP(A549, avaliacoes!A:G, 6, FALSE)</f>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v>
      </c>
    </row>
    <row r="550">
      <c r="A550" s="1" t="s">
        <v>2122</v>
      </c>
      <c r="B550" s="1" t="s">
        <v>2123</v>
      </c>
      <c r="C550" s="1" t="s">
        <v>1765</v>
      </c>
      <c r="D550" s="1" t="str">
        <f t="shared" si="2"/>
        <v>Electronics</v>
      </c>
      <c r="E550" s="1" t="str">
        <f t="shared" si="3"/>
        <v>Mobiles&amp;Accessories</v>
      </c>
      <c r="F550" s="2">
        <v>299.0</v>
      </c>
      <c r="G550" s="2">
        <v>599.0</v>
      </c>
      <c r="H550" s="3">
        <f t="shared" si="4"/>
        <v>0.5008347245</v>
      </c>
      <c r="I550" s="4">
        <f>IFERROR(__xludf.DUMMYFUNCTION("GOOGLEFINANCE(""CURRENCY:INRBRL"")*F550"),17.8438185172)</f>
        <v>17.84381852</v>
      </c>
      <c r="J550" s="1">
        <v>4.5</v>
      </c>
      <c r="K550" s="1">
        <v>4674.0</v>
      </c>
      <c r="L550" s="1" t="s">
        <v>2124</v>
      </c>
      <c r="M550" s="6" t="s">
        <v>2125</v>
      </c>
      <c r="N550" s="7" t="str">
        <f>VLOOKUP(A550, avaliacoes!A:G, 5, FALSE)</f>
        <v>Big Bubble dont go away,Perfect tempered glass in given price,Nice,Overall good but difficult to install,Good quality and great price,Best Tempered Glass👌🏻,Good quality,Best tempered glass used till date</v>
      </c>
      <c r="O550" s="7" t="str">
        <f>VLOOKUP(A550, avaliacoes!A:G, 6, FALSE)</f>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v>
      </c>
    </row>
    <row r="551">
      <c r="A551" s="1" t="s">
        <v>2126</v>
      </c>
      <c r="B551" s="1" t="s">
        <v>2127</v>
      </c>
      <c r="C551" s="1" t="s">
        <v>1356</v>
      </c>
      <c r="D551" s="1" t="str">
        <f t="shared" si="2"/>
        <v>Electronics</v>
      </c>
      <c r="E551" s="1" t="str">
        <f t="shared" si="3"/>
        <v>WearableTechnology</v>
      </c>
      <c r="F551" s="2">
        <v>499.0</v>
      </c>
      <c r="G551" s="2">
        <v>1899.0</v>
      </c>
      <c r="H551" s="3">
        <f t="shared" si="4"/>
        <v>0.7372301211</v>
      </c>
      <c r="I551" s="4">
        <f>IFERROR(__xludf.DUMMYFUNCTION("GOOGLEFINANCE(""CURRENCY:INRBRL"")*F551"),29.7794830772)</f>
        <v>29.77948308</v>
      </c>
      <c r="J551" s="1">
        <v>4.49</v>
      </c>
      <c r="K551" s="1">
        <v>412.0</v>
      </c>
      <c r="L551" s="1" t="s">
        <v>2128</v>
      </c>
      <c r="M551" s="6" t="s">
        <v>2129</v>
      </c>
      <c r="N551" s="7" t="str">
        <f>VLOOKUP(A551, avaliacoes!A:G, 5, FALSE)</f>
        <v>It's worth for money and satisfied.,Nice product,Not great but will do,Very good product I like this product.,Product is ok ok as it is too difficult to connect with phone or it not be able to with ios,Must buy,Good, watch was as expected,Good smart watch</v>
      </c>
      <c r="O551" s="7" t="str">
        <f>VLOOKUP(A551, avaliacoes!A:G, 6, FALSE)</f>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v>
      </c>
    </row>
    <row r="552">
      <c r="A552" s="1" t="s">
        <v>2130</v>
      </c>
      <c r="B552" s="1" t="s">
        <v>2131</v>
      </c>
      <c r="C552" s="1" t="s">
        <v>1356</v>
      </c>
      <c r="D552" s="1" t="str">
        <f t="shared" si="2"/>
        <v>Electronics</v>
      </c>
      <c r="E552" s="1" t="str">
        <f t="shared" si="3"/>
        <v>WearableTechnology</v>
      </c>
      <c r="F552" s="2">
        <v>899.0</v>
      </c>
      <c r="G552" s="2">
        <v>3499.0</v>
      </c>
      <c r="H552" s="3">
        <f t="shared" si="4"/>
        <v>0.7430694484</v>
      </c>
      <c r="I552" s="4">
        <f>IFERROR(__xludf.DUMMYFUNCTION("GOOGLEFINANCE(""CURRENCY:INRBRL"")*F552"),53.6508121972)</f>
        <v>53.6508122</v>
      </c>
      <c r="J552" s="1">
        <v>3.0</v>
      </c>
      <c r="K552" s="1">
        <v>681.0</v>
      </c>
      <c r="L552" s="1" t="s">
        <v>2132</v>
      </c>
      <c r="M552" s="6" t="s">
        <v>2133</v>
      </c>
      <c r="N552" s="7" t="str">
        <f>VLOOKUP(A552, avaliacoes!A:G, 5, FALSE)</f>
        <v>Its is good but battery life is very poor,Heart rate sanser and battery backup,Nice product,Good product within small price range,poor.,Cool product,Gets disconnected , time n data doesn't updates automatically,It's good deal at 849/- works fine for first few days</v>
      </c>
      <c r="O552" s="7" t="str">
        <f>VLOOKUP(A552, avaliacoes!A:G, 6, FALSE)</f>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v>
      </c>
    </row>
    <row r="553">
      <c r="A553" s="1" t="s">
        <v>2134</v>
      </c>
      <c r="B553" s="1" t="s">
        <v>2135</v>
      </c>
      <c r="C553" s="1" t="s">
        <v>1369</v>
      </c>
      <c r="D553" s="1" t="str">
        <f t="shared" si="2"/>
        <v>Electronics</v>
      </c>
      <c r="E553" s="1" t="str">
        <f t="shared" si="3"/>
        <v>Mobiles&amp;Accessories</v>
      </c>
      <c r="F553" s="2">
        <v>1599.0</v>
      </c>
      <c r="G553" s="2">
        <v>3499.0</v>
      </c>
      <c r="H553" s="3">
        <f t="shared" si="4"/>
        <v>0.5430122892</v>
      </c>
      <c r="I553" s="4">
        <f>IFERROR(__xludf.DUMMYFUNCTION("GOOGLEFINANCE(""CURRENCY:INRBRL"")*F553"),95.4256381572)</f>
        <v>95.42563816</v>
      </c>
      <c r="J553" s="1">
        <v>4.0</v>
      </c>
      <c r="K553" s="1">
        <v>36384.0</v>
      </c>
      <c r="L553" s="1" t="s">
        <v>2136</v>
      </c>
      <c r="M553" s="6" t="s">
        <v>2137</v>
      </c>
      <c r="N553" s="7" t="str">
        <f>VLOOKUP(A553, avaliacoes!A:G, 5, FALSE)</f>
        <v>Worth the price,It is good,Not Bad,BATTERY LIFE,It melts the smart watch charger,Very good light weight,Achha laga,Can’t be repaired</v>
      </c>
      <c r="O553" s="7" t="str">
        <f>VLOOKUP(A553, avaliacoes!A:G, 6, FALSE)</f>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v>
      </c>
    </row>
    <row r="554">
      <c r="A554" s="1" t="s">
        <v>2138</v>
      </c>
      <c r="B554" s="1" t="s">
        <v>2139</v>
      </c>
      <c r="C554" s="1" t="s">
        <v>2140</v>
      </c>
      <c r="D554" s="1" t="str">
        <f t="shared" si="2"/>
        <v>Electronics</v>
      </c>
      <c r="E554" s="1" t="str">
        <f t="shared" si="3"/>
        <v>Headphones,Earbuds&amp;Accessories</v>
      </c>
      <c r="F554" s="2">
        <v>120.0</v>
      </c>
      <c r="G554" s="2">
        <v>999.0</v>
      </c>
      <c r="H554" s="3">
        <f t="shared" si="4"/>
        <v>0.8798798799</v>
      </c>
      <c r="I554" s="4">
        <f>IFERROR(__xludf.DUMMYFUNCTION("GOOGLEFINANCE(""CURRENCY:INRBRL"")*F554"),7.161398736)</f>
        <v>7.161398736</v>
      </c>
      <c r="J554" s="1">
        <v>4.52</v>
      </c>
      <c r="K554" s="1">
        <v>6491.0</v>
      </c>
      <c r="L554" s="1" t="s">
        <v>2141</v>
      </c>
      <c r="M554" s="6" t="s">
        <v>2142</v>
      </c>
      <c r="N554" s="7" t="str">
        <f>VLOOKUP(A554, avaliacoes!A:G, 5, FALSE)</f>
        <v>Recommended !,Good product,Please wire quality improve karo,Value for money product.,Amazing Performance &amp; Great Quality,A lot of noise when mic is plugged in.,Great product,Good</v>
      </c>
      <c r="O554" s="7" t="str">
        <f>VLOOKUP(A554, avaliacoes!A:G, 6, FALSE)</f>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v>
      </c>
    </row>
    <row r="555">
      <c r="A555" s="1" t="s">
        <v>2143</v>
      </c>
      <c r="B555" s="1" t="s">
        <v>2144</v>
      </c>
      <c r="C555" s="1" t="s">
        <v>1356</v>
      </c>
      <c r="D555" s="1" t="str">
        <f t="shared" si="2"/>
        <v>Electronics</v>
      </c>
      <c r="E555" s="1" t="str">
        <f t="shared" si="3"/>
        <v>WearableTechnology</v>
      </c>
      <c r="F555" s="2">
        <v>3999.0</v>
      </c>
      <c r="G555" s="2">
        <v>6999.0</v>
      </c>
      <c r="H555" s="3">
        <f t="shared" si="4"/>
        <v>0.4286326618</v>
      </c>
      <c r="I555" s="4">
        <f>IFERROR(__xludf.DUMMYFUNCTION("GOOGLEFINANCE(""CURRENCY:INRBRL"")*F555"),238.65361287719998)</f>
        <v>238.6536129</v>
      </c>
      <c r="J555" s="1">
        <v>4.49</v>
      </c>
      <c r="K555" s="1">
        <v>10229.0</v>
      </c>
      <c r="L555" s="1" t="s">
        <v>2145</v>
      </c>
      <c r="M555" s="6" t="s">
        <v>2146</v>
      </c>
      <c r="N555" s="7" t="str">
        <f>VLOOKUP(A555, avaliacoes!A:G, 5, FALSE)</f>
        <v>Wonderful smart watch,Value for money. Good for first time users,Awesome,Best in market,Good,Worst customer support noise,Calls and userinterface is nice,Noise</v>
      </c>
      <c r="O555" s="7" t="str">
        <f>VLOOKUP(A555, avaliacoes!A:G, 6, FALSE)</f>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v>
      </c>
    </row>
    <row r="556">
      <c r="A556" s="1" t="s">
        <v>2147</v>
      </c>
      <c r="B556" s="1" t="s">
        <v>1951</v>
      </c>
      <c r="C556" s="1" t="s">
        <v>1374</v>
      </c>
      <c r="D556" s="1" t="str">
        <f t="shared" si="2"/>
        <v>Electronics</v>
      </c>
      <c r="E556" s="1" t="str">
        <f t="shared" si="3"/>
        <v>Mobiles&amp;Accessories</v>
      </c>
      <c r="F556" s="2">
        <v>12999.0</v>
      </c>
      <c r="G556" s="2">
        <v>18999.0</v>
      </c>
      <c r="H556" s="3">
        <f t="shared" si="4"/>
        <v>0.3158060951</v>
      </c>
      <c r="I556" s="4">
        <f>IFERROR(__xludf.DUMMYFUNCTION("GOOGLEFINANCE(""CURRENCY:INRBRL"")*F556"),775.7585180771999)</f>
        <v>775.7585181</v>
      </c>
      <c r="J556" s="1">
        <v>4.49</v>
      </c>
      <c r="K556" s="1">
        <v>50772.0</v>
      </c>
      <c r="L556" s="1" t="s">
        <v>1952</v>
      </c>
      <c r="M556" s="6" t="s">
        <v>2148</v>
      </c>
      <c r="N556" s="7" t="str">
        <f>VLOOKUP(A556, avaliacoes!A:G, 5, FALSE)</f>
        <v>Excellent Phone in the budget segment,Best value for money... But afraid of future MIUI updates.,Don't purchase it as camera phone 😤,Dependable &amp; it's been a year.,Budget mobile,Good for basic use,Phone is nice , but software is not</v>
      </c>
      <c r="O556" s="7" t="str">
        <f>VLOOKUP(A556, avaliacoes!A:G,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row>
    <row r="557">
      <c r="A557" s="1" t="s">
        <v>2149</v>
      </c>
      <c r="B557" s="1" t="s">
        <v>2150</v>
      </c>
      <c r="C557" s="1" t="s">
        <v>1857</v>
      </c>
      <c r="D557" s="1" t="str">
        <f t="shared" si="2"/>
        <v>Electronics</v>
      </c>
      <c r="E557" s="1" t="str">
        <f t="shared" si="3"/>
        <v>Mobiles&amp;Accessories</v>
      </c>
      <c r="F557" s="2">
        <v>1599.0</v>
      </c>
      <c r="G557" s="2">
        <v>2599.0</v>
      </c>
      <c r="H557" s="3">
        <f t="shared" si="4"/>
        <v>0.3847633705</v>
      </c>
      <c r="I557" s="4">
        <f>IFERROR(__xludf.DUMMYFUNCTION("GOOGLEFINANCE(""CURRENCY:INRBRL"")*F557"),95.4256381572)</f>
        <v>95.42563816</v>
      </c>
      <c r="J557" s="1">
        <v>4.5</v>
      </c>
      <c r="K557" s="1">
        <v>1801.0</v>
      </c>
      <c r="L557" s="1" t="s">
        <v>2151</v>
      </c>
      <c r="M557" s="6" t="s">
        <v>2152</v>
      </c>
      <c r="N557" s="7" t="str">
        <f>VLOOKUP(A557, avaliacoes!A:G, 5, FALSE)</f>
        <v>Good Looking Sturdy cover,Perfect fit for 14 pro max,Excellent fit and value for money must buy if using non mag charger,Excellent,Over priced,Awesome,Worth the money,Quality product</v>
      </c>
      <c r="O557" s="7" t="str">
        <f>VLOOKUP(A557, avaliacoes!A:G, 6, FALSE)</f>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v>
      </c>
    </row>
    <row r="558">
      <c r="A558" s="1" t="s">
        <v>2153</v>
      </c>
      <c r="B558" s="1" t="s">
        <v>2154</v>
      </c>
      <c r="C558" s="1" t="s">
        <v>1456</v>
      </c>
      <c r="D558" s="1" t="str">
        <f t="shared" si="2"/>
        <v>Electronics</v>
      </c>
      <c r="E558" s="1" t="str">
        <f t="shared" si="3"/>
        <v>Mobiles&amp;Accessories</v>
      </c>
      <c r="F558" s="2">
        <v>699.0</v>
      </c>
      <c r="G558" s="2">
        <v>1199.0</v>
      </c>
      <c r="H558" s="3">
        <f t="shared" si="4"/>
        <v>0.4170141785</v>
      </c>
      <c r="I558" s="4">
        <f>IFERROR(__xludf.DUMMYFUNCTION("GOOGLEFINANCE(""CURRENCY:INRBRL"")*F558"),41.7151476372)</f>
        <v>41.71514764</v>
      </c>
      <c r="J558" s="1">
        <v>4.0</v>
      </c>
      <c r="K558" s="1">
        <v>14404.0</v>
      </c>
      <c r="L558" s="1" t="s">
        <v>2155</v>
      </c>
      <c r="M558" s="6" t="s">
        <v>2156</v>
      </c>
      <c r="N558" s="7" t="str">
        <f>VLOOKUP(A558, avaliacoes!A:G, 5, FALSE)</f>
        <v>Good,NICE 👍 IN VALUE.PARACASED ON TWO OLY,Working fine,Good product,Good one,Good one,Very good product,Decent product, worth every penny</v>
      </c>
      <c r="O558" s="7" t="str">
        <f>VLOOKUP(A558, avaliacoes!A:G,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row>
    <row r="559">
      <c r="A559" s="1" t="s">
        <v>2157</v>
      </c>
      <c r="B559" s="1" t="s">
        <v>2158</v>
      </c>
      <c r="C559" s="1" t="s">
        <v>2159</v>
      </c>
      <c r="D559" s="1" t="str">
        <f t="shared" si="2"/>
        <v>Electronics</v>
      </c>
      <c r="E559" s="1" t="str">
        <f t="shared" si="3"/>
        <v>Mobiles&amp;Accessories</v>
      </c>
      <c r="F559" s="2">
        <v>99.0</v>
      </c>
      <c r="G559" s="2">
        <v>999.0</v>
      </c>
      <c r="H559" s="3">
        <f t="shared" si="4"/>
        <v>0.9009009009</v>
      </c>
      <c r="I559" s="4">
        <f>IFERROR(__xludf.DUMMYFUNCTION("GOOGLEFINANCE(""CURRENCY:INRBRL"")*F559"),5.9081539572)</f>
        <v>5.908153957</v>
      </c>
      <c r="J559" s="1">
        <v>4.5</v>
      </c>
      <c r="K559" s="1">
        <v>305.0</v>
      </c>
      <c r="L559" s="1" t="s">
        <v>2160</v>
      </c>
      <c r="M559" s="6" t="s">
        <v>2161</v>
      </c>
      <c r="N559" s="7" t="str">
        <f>VLOOKUP(A559, avaliacoes!A:G, 5, FALSE)</f>
        <v>It's OK,Useful product,All peices arrived,Good product 👍,very nice quality and durable,Seems to be made of recycled material, serves the purpose,Worth to buy!,Terrific purchase</v>
      </c>
      <c r="O559" s="7" t="str">
        <f>VLOOKUP(A559, avaliacoes!A:G, 6, FALSE)</f>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v>
      </c>
    </row>
    <row r="560">
      <c r="A560" s="1" t="s">
        <v>2162</v>
      </c>
      <c r="B560" s="1" t="s">
        <v>2163</v>
      </c>
      <c r="C560" s="1" t="s">
        <v>1374</v>
      </c>
      <c r="D560" s="1" t="str">
        <f t="shared" si="2"/>
        <v>Electronics</v>
      </c>
      <c r="E560" s="1" t="str">
        <f t="shared" si="3"/>
        <v>Mobiles&amp;Accessories</v>
      </c>
      <c r="F560" s="2">
        <v>7915.0</v>
      </c>
      <c r="G560" s="2">
        <v>9999.0</v>
      </c>
      <c r="H560" s="3">
        <f t="shared" si="4"/>
        <v>0.2084208421</v>
      </c>
      <c r="I560" s="4">
        <f>IFERROR(__xludf.DUMMYFUNCTION("GOOGLEFINANCE(""CURRENCY:INRBRL"")*F560"),472.35392496199995)</f>
        <v>472.353925</v>
      </c>
      <c r="J560" s="1">
        <v>4.5</v>
      </c>
      <c r="K560" s="1">
        <v>1376.0</v>
      </c>
      <c r="L560" s="1" t="s">
        <v>2164</v>
      </c>
      <c r="M560" s="6" t="s">
        <v>2165</v>
      </c>
      <c r="N560" s="7" t="str">
        <f>VLOOKUP(A560, avaliacoes!A:G, 5, FALSE)</f>
        <v>Good,Ok,Nice product in this range,1.Camera is not good. Not matching up to 13mp,Overall good,Good mobile at reasonable price !!,No Fingerprint reader,Too good</v>
      </c>
      <c r="O560" s="7" t="str">
        <f>VLOOKUP(A560, avaliacoes!A:G, 6, FALSE)</f>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v>
      </c>
    </row>
    <row r="561">
      <c r="A561" s="1" t="s">
        <v>2166</v>
      </c>
      <c r="B561" s="1" t="s">
        <v>2167</v>
      </c>
      <c r="C561" s="1" t="s">
        <v>1356</v>
      </c>
      <c r="D561" s="1" t="str">
        <f t="shared" si="2"/>
        <v>Electronics</v>
      </c>
      <c r="E561" s="1" t="str">
        <f t="shared" si="3"/>
        <v>WearableTechnology</v>
      </c>
      <c r="F561" s="2">
        <v>1499.0</v>
      </c>
      <c r="G561" s="2">
        <v>7999.0</v>
      </c>
      <c r="H561" s="3">
        <f t="shared" si="4"/>
        <v>0.8126015752</v>
      </c>
      <c r="I561" s="4">
        <f>IFERROR(__xludf.DUMMYFUNCTION("GOOGLEFINANCE(""CURRENCY:INRBRL"")*F561"),89.45780587719999)</f>
        <v>89.45780588</v>
      </c>
      <c r="J561" s="1">
        <v>4.5</v>
      </c>
      <c r="K561" s="1">
        <v>22638.0</v>
      </c>
      <c r="L561" s="1" t="s">
        <v>2168</v>
      </c>
      <c r="M561" s="6" t="s">
        <v>2169</v>
      </c>
      <c r="N561" s="7" t="str">
        <f>VLOOKUP(A561, avaliacoes!A:G, 5, FALSE)</f>
        <v>Premium looking watch,Excellent Product,The Tracking and touch would be better,Bluetooth connectivity,Very good,The watch is good,Felt Good,Not bad</v>
      </c>
      <c r="O561" s="7" t="str">
        <f>VLOOKUP(A561, avaliacoes!A:G,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row>
    <row r="562">
      <c r="A562" s="1" t="s">
        <v>2170</v>
      </c>
      <c r="B562" s="1" t="s">
        <v>2171</v>
      </c>
      <c r="C562" s="1" t="s">
        <v>1402</v>
      </c>
      <c r="D562" s="1" t="str">
        <f t="shared" si="2"/>
        <v>Electronics</v>
      </c>
      <c r="E562" s="1" t="str">
        <f t="shared" si="3"/>
        <v>Mobiles&amp;Accessories</v>
      </c>
      <c r="F562" s="2">
        <v>1055.0</v>
      </c>
      <c r="G562" s="2">
        <v>1249.0</v>
      </c>
      <c r="H562" s="3">
        <f t="shared" si="4"/>
        <v>0.1553242594</v>
      </c>
      <c r="I562" s="4">
        <f>IFERROR(__xludf.DUMMYFUNCTION("GOOGLEFINANCE(""CURRENCY:INRBRL"")*F562"),62.960630554)</f>
        <v>62.96063055</v>
      </c>
      <c r="J562" s="1">
        <v>4.51</v>
      </c>
      <c r="K562" s="1">
        <v>2352.0</v>
      </c>
      <c r="L562" s="1" t="s">
        <v>2172</v>
      </c>
      <c r="M562" s="6" t="s">
        <v>2173</v>
      </c>
      <c r="N562" s="7" t="str">
        <f>VLOOKUP(A562, avaliacoes!A:G, 5, FALSE)</f>
        <v>Very Bad mobile,Value for money,Part missing,Ok,Good buy,Value for money,Value of money,Phone works well</v>
      </c>
      <c r="O562" s="7" t="str">
        <f>VLOOKUP(A562, avaliacoes!A:G, 6, FALSE)</f>
        <v>Very Bad mobile,Best mobile.,Phone good but charger Nani aya,It's good,The phone serves all my purpose..very good one❤️,Value for money,https://m.media-amazon.com/images/I/71veEcoG5-L._SY88.jpg,Phone works well.</v>
      </c>
    </row>
    <row r="563">
      <c r="A563" s="1" t="s">
        <v>2174</v>
      </c>
      <c r="B563" s="1" t="s">
        <v>2175</v>
      </c>
      <c r="C563" s="1" t="s">
        <v>1765</v>
      </c>
      <c r="D563" s="1" t="str">
        <f t="shared" si="2"/>
        <v>Electronics</v>
      </c>
      <c r="E563" s="1" t="str">
        <f t="shared" si="3"/>
        <v>Mobiles&amp;Accessories</v>
      </c>
      <c r="F563" s="2">
        <v>150.0</v>
      </c>
      <c r="G563" s="2">
        <v>599.0</v>
      </c>
      <c r="H563" s="3">
        <f t="shared" si="4"/>
        <v>0.7495826377</v>
      </c>
      <c r="I563" s="4">
        <f>IFERROR(__xludf.DUMMYFUNCTION("GOOGLEFINANCE(""CURRENCY:INRBRL"")*F563"),8.95174842)</f>
        <v>8.95174842</v>
      </c>
      <c r="J563" s="1">
        <v>4.5</v>
      </c>
      <c r="K563" s="1">
        <v>714.0</v>
      </c>
      <c r="L563" s="1" t="s">
        <v>2176</v>
      </c>
      <c r="M563" s="6" t="s">
        <v>2177</v>
      </c>
      <c r="N563" s="7" t="str">
        <f>VLOOKUP(A563, avaliacoes!A:G, 5, FALSE)</f>
        <v>Great product if you don’t mind the edges,Recommended !!,Looks premium,Real value for money however I wish there would have been stronger adhesive,Its a genuine product,Precision!,Does the job perfectly,A perfect fit for iPhone 13 and has transparent edges too.</v>
      </c>
      <c r="O563" s="7" t="str">
        <f>VLOOKUP(A563, avaliacoes!A:G, 6, FALSE)</f>
        <v>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v>
      </c>
    </row>
    <row r="564">
      <c r="A564" s="1" t="s">
        <v>301</v>
      </c>
      <c r="B564" s="1" t="s">
        <v>302</v>
      </c>
      <c r="C564" s="1" t="s">
        <v>21</v>
      </c>
      <c r="D564" s="1" t="str">
        <f t="shared" si="2"/>
        <v>Computers&amp;Accessories</v>
      </c>
      <c r="E564" s="1" t="str">
        <f t="shared" si="3"/>
        <v>Accessories&amp;Peripherals</v>
      </c>
      <c r="F564" s="2">
        <v>219.0</v>
      </c>
      <c r="G564" s="2">
        <v>700.0</v>
      </c>
      <c r="H564" s="3">
        <f t="shared" si="4"/>
        <v>0.6871428571</v>
      </c>
      <c r="I564" s="4">
        <f>IFERROR(__xludf.DUMMYFUNCTION("GOOGLEFINANCE(""CURRENCY:INRBRL"")*F564"),13.069552693199999)</f>
        <v>13.06955269</v>
      </c>
      <c r="J564" s="1">
        <v>4.5</v>
      </c>
      <c r="K564" s="1">
        <v>20052.0</v>
      </c>
      <c r="L564" s="1" t="s">
        <v>303</v>
      </c>
      <c r="M564" s="6" t="s">
        <v>2178</v>
      </c>
      <c r="N564" s="7" t="str">
        <f>VLOOKUP(A564, avaliacoes!A:G, 5, FALSE)</f>
        <v>You can trust on this one,The best usb cable,Wel build just like original .,Nice!!,Working perfectly,Basic,Good,No issues</v>
      </c>
      <c r="O564" s="7" t="str">
        <f>VLOOKUP(A564, avaliacoes!A:G,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row>
    <row r="565">
      <c r="A565" s="1" t="s">
        <v>2179</v>
      </c>
      <c r="B565" s="1" t="s">
        <v>2180</v>
      </c>
      <c r="C565" s="1" t="s">
        <v>1857</v>
      </c>
      <c r="D565" s="1" t="str">
        <f t="shared" si="2"/>
        <v>Electronics</v>
      </c>
      <c r="E565" s="1" t="str">
        <f t="shared" si="3"/>
        <v>Mobiles&amp;Accessories</v>
      </c>
      <c r="F565" s="2">
        <v>474.0</v>
      </c>
      <c r="G565" s="2">
        <v>1799.0</v>
      </c>
      <c r="H565" s="3">
        <f t="shared" si="4"/>
        <v>0.736520289</v>
      </c>
      <c r="I565" s="4">
        <f>IFERROR(__xludf.DUMMYFUNCTION("GOOGLEFINANCE(""CURRENCY:INRBRL"")*F565"),28.2875250072)</f>
        <v>28.28752501</v>
      </c>
      <c r="J565" s="1">
        <v>4.5</v>
      </c>
      <c r="K565" s="1">
        <v>1454.0</v>
      </c>
      <c r="L565" s="1" t="s">
        <v>2181</v>
      </c>
      <c r="M565" s="6" t="s">
        <v>2182</v>
      </c>
      <c r="N565" s="7" t="str">
        <f>VLOOKUP(A565, avaliacoes!A:G, 5, FALSE)</f>
        <v>Okay product,Descent product,Very Sturdy,Great protectione and design,Good Product !!,Excellent Case with Beauty,Awesome cover,Good quality</v>
      </c>
      <c r="O565" s="7" t="str">
        <f>VLOOKUP(A565, avaliacoes!A:G, 6, FALSE)</f>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v>
      </c>
    </row>
    <row r="566">
      <c r="A566" s="1" t="s">
        <v>317</v>
      </c>
      <c r="B566" s="1" t="s">
        <v>318</v>
      </c>
      <c r="C566" s="1" t="s">
        <v>21</v>
      </c>
      <c r="D566" s="1" t="str">
        <f t="shared" si="2"/>
        <v>Computers&amp;Accessories</v>
      </c>
      <c r="E566" s="1" t="str">
        <f t="shared" si="3"/>
        <v>Accessories&amp;Peripherals</v>
      </c>
      <c r="F566" s="2">
        <v>115.0</v>
      </c>
      <c r="G566" s="2">
        <v>499.0</v>
      </c>
      <c r="H566" s="3">
        <f t="shared" si="4"/>
        <v>0.7695390782</v>
      </c>
      <c r="I566" s="4">
        <f>IFERROR(__xludf.DUMMYFUNCTION("GOOGLEFINANCE(""CURRENCY:INRBRL"")*F566"),6.863007121999999)</f>
        <v>6.863007122</v>
      </c>
      <c r="J566" s="1">
        <v>4.0</v>
      </c>
      <c r="K566" s="1">
        <v>7732.0</v>
      </c>
      <c r="L566" s="1" t="s">
        <v>319</v>
      </c>
      <c r="M566" s="6" t="s">
        <v>2183</v>
      </c>
      <c r="N566" s="7" t="str">
        <f>VLOOKUP(A566, avaliacoes!A:G, 5, FALSE)</f>
        <v>Very good product and met my need.  Thanks,Decent value,Nice quality… trustable…,Just well in this price.,supports 2.4 amps fast charging,Nice,Nice.,Value for money</v>
      </c>
      <c r="O566" s="7" t="str">
        <f>VLOOKUP(A566, avaliacoes!A:G,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row>
    <row r="567">
      <c r="A567" s="1" t="s">
        <v>2184</v>
      </c>
      <c r="B567" s="1" t="s">
        <v>2185</v>
      </c>
      <c r="C567" s="1" t="s">
        <v>1456</v>
      </c>
      <c r="D567" s="1" t="str">
        <f t="shared" si="2"/>
        <v>Electronics</v>
      </c>
      <c r="E567" s="1" t="str">
        <f t="shared" si="3"/>
        <v>Mobiles&amp;Accessories</v>
      </c>
      <c r="F567" s="2">
        <v>239.0</v>
      </c>
      <c r="G567" s="2">
        <v>599.0</v>
      </c>
      <c r="H567" s="3">
        <f t="shared" si="4"/>
        <v>0.6010016694</v>
      </c>
      <c r="I567" s="4">
        <f>IFERROR(__xludf.DUMMYFUNCTION("GOOGLEFINANCE(""CURRENCY:INRBRL"")*F567"),14.2631191492)</f>
        <v>14.26311915</v>
      </c>
      <c r="J567" s="1">
        <v>4.52</v>
      </c>
      <c r="K567" s="1">
        <v>2147.0</v>
      </c>
      <c r="L567" s="1" t="s">
        <v>2186</v>
      </c>
      <c r="M567" s="6" t="s">
        <v>2187</v>
      </c>
      <c r="N567" s="7" t="str">
        <f>VLOOKUP(A567, avaliacoes!A:G, 5, FALSE)</f>
        <v>good till now,Good,An additional charger same as ORIGINAL .,Good adapter,Best,okay okay,Good,Good product</v>
      </c>
      <c r="O567" s="7" t="str">
        <f>VLOOKUP(A567, avaliacoes!A:G, 6, FALSE)</f>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v>
      </c>
    </row>
    <row r="568">
      <c r="A568" s="1" t="s">
        <v>2188</v>
      </c>
      <c r="B568" s="1" t="s">
        <v>2189</v>
      </c>
      <c r="C568" s="1" t="s">
        <v>1374</v>
      </c>
      <c r="D568" s="1" t="str">
        <f t="shared" si="2"/>
        <v>Electronics</v>
      </c>
      <c r="E568" s="1" t="str">
        <f t="shared" si="3"/>
        <v>Mobiles&amp;Accessories</v>
      </c>
      <c r="F568" s="2">
        <v>7499.0</v>
      </c>
      <c r="G568" s="2">
        <v>9499.0</v>
      </c>
      <c r="H568" s="3">
        <f t="shared" si="4"/>
        <v>0.2105484788</v>
      </c>
      <c r="I568" s="4">
        <f>IFERROR(__xludf.DUMMYFUNCTION("GOOGLEFINANCE(""CURRENCY:INRBRL"")*F568"),447.52774267719997)</f>
        <v>447.5277427</v>
      </c>
      <c r="J568" s="1">
        <v>4.49</v>
      </c>
      <c r="K568" s="1">
        <v>313832.0</v>
      </c>
      <c r="L568" s="1" t="s">
        <v>2190</v>
      </c>
      <c r="M568" s="6" t="s">
        <v>2191</v>
      </c>
      <c r="N568" s="7" t="str">
        <f>VLOOKUP(A568, avaliacoes!A:G, 5, FALSE)</f>
        <v>Best phone for below normal use,Good mobile for minimal usage , but technically highly worth,For simple use,Ok,Good quality product,Good unit,Good,Best Budget mobile</v>
      </c>
      <c r="O568" s="7" t="str">
        <f>VLOOKUP(A568, avaliacoes!A:G,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row>
    <row r="569">
      <c r="A569" s="1" t="s">
        <v>2192</v>
      </c>
      <c r="B569" s="1" t="s">
        <v>2193</v>
      </c>
      <c r="C569" s="1" t="s">
        <v>1356</v>
      </c>
      <c r="D569" s="1" t="str">
        <f t="shared" si="2"/>
        <v>Electronics</v>
      </c>
      <c r="E569" s="1" t="str">
        <f t="shared" si="3"/>
        <v>WearableTechnology</v>
      </c>
      <c r="F569" s="2">
        <v>265.0</v>
      </c>
      <c r="G569" s="2">
        <v>999.0</v>
      </c>
      <c r="H569" s="3">
        <f t="shared" si="4"/>
        <v>0.7347347347</v>
      </c>
      <c r="I569" s="4">
        <f>IFERROR(__xludf.DUMMYFUNCTION("GOOGLEFINANCE(""CURRENCY:INRBRL"")*F569"),15.814755541999999)</f>
        <v>15.81475554</v>
      </c>
      <c r="J569" s="1">
        <v>4.51</v>
      </c>
      <c r="K569" s="1">
        <v>465.0</v>
      </c>
      <c r="L569" s="1" t="s">
        <v>2194</v>
      </c>
      <c r="M569" s="6" t="s">
        <v>2195</v>
      </c>
      <c r="N569" s="7" t="str">
        <f>VLOOKUP(A569, avaliacoes!A:G, 5, FALSE)</f>
        <v>Good Product,Must buy case for samsung watch 4,Generic but good,Not for watch 4, but for watch 4 classic,Good Product. Touch sensitivity to improve,Worth of buying,Perfectly fit for samsung brezzel,Awesome Watch Cover..Fitted Exactly size ...</v>
      </c>
      <c r="O569" s="7" t="str">
        <f>VLOOKUP(A569, avaliacoes!A:G, 6, FALSE)</f>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v>
      </c>
    </row>
    <row r="570">
      <c r="A570" s="1" t="s">
        <v>2196</v>
      </c>
      <c r="B570" s="1" t="s">
        <v>2197</v>
      </c>
      <c r="C570" s="1" t="s">
        <v>1374</v>
      </c>
      <c r="D570" s="1" t="str">
        <f t="shared" si="2"/>
        <v>Electronics</v>
      </c>
      <c r="E570" s="1" t="str">
        <f t="shared" si="3"/>
        <v>Mobiles&amp;Accessories</v>
      </c>
      <c r="F570" s="2">
        <v>37990.0</v>
      </c>
      <c r="G570" s="2">
        <v>74999.0</v>
      </c>
      <c r="H570" s="3">
        <f t="shared" si="4"/>
        <v>0.4934599128</v>
      </c>
      <c r="I570" s="4">
        <f>IFERROR(__xludf.DUMMYFUNCTION("GOOGLEFINANCE(""CURRENCY:INRBRL"")*F570"),2267.179483172)</f>
        <v>2267.179483</v>
      </c>
      <c r="J570" s="1">
        <v>4.5</v>
      </c>
      <c r="K570" s="1">
        <v>2779.0</v>
      </c>
      <c r="L570" s="1" t="s">
        <v>2198</v>
      </c>
      <c r="M570" s="6" t="s">
        <v>2199</v>
      </c>
      <c r="N570" s="7" t="str">
        <f>VLOOKUP(A570, avaliacoes!A:G, 5, FALSE)</f>
        <v>WORTH BUY ! THE BEST,Good for the price.</v>
      </c>
      <c r="O570" s="7" t="str">
        <f>VLOOKUP(A570, avaliacoes!A:G, 6, FALSE)</f>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v>
      </c>
    </row>
    <row r="571">
      <c r="A571" s="1" t="s">
        <v>325</v>
      </c>
      <c r="B571" s="1" t="s">
        <v>326</v>
      </c>
      <c r="C571" s="1" t="s">
        <v>21</v>
      </c>
      <c r="D571" s="1" t="str">
        <f t="shared" si="2"/>
        <v>Computers&amp;Accessories</v>
      </c>
      <c r="E571" s="1" t="str">
        <f t="shared" si="3"/>
        <v>Accessories&amp;Peripherals</v>
      </c>
      <c r="F571" s="2">
        <v>199.0</v>
      </c>
      <c r="G571" s="2">
        <v>499.0</v>
      </c>
      <c r="H571" s="3">
        <f t="shared" si="4"/>
        <v>0.6012024048</v>
      </c>
      <c r="I571" s="4">
        <f>IFERROR(__xludf.DUMMYFUNCTION("GOOGLEFINANCE(""CURRENCY:INRBRL"")*F571"),11.8759862372)</f>
        <v>11.87598624</v>
      </c>
      <c r="J571" s="1">
        <v>4.49</v>
      </c>
      <c r="K571" s="1">
        <v>602.0</v>
      </c>
      <c r="L571" s="1" t="s">
        <v>327</v>
      </c>
      <c r="M571" s="6" t="s">
        <v>2200</v>
      </c>
      <c r="N571" s="7" t="str">
        <f>VLOOKUP(A571, avaliacoes!A:G, 5, FALSE)</f>
        <v>Good product,Its good, but micro usb doesn't fit my phone.,Good and useful item,It is very best cable,good,2 in 1 Charging Cable.,Sturdy cable overall,Nice &amp; Best Charger Cabel</v>
      </c>
      <c r="O571" s="7" t="str">
        <f>VLOOKUP(A571, avaliacoes!A:G,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row>
    <row r="572">
      <c r="A572" s="1" t="s">
        <v>329</v>
      </c>
      <c r="B572" s="1" t="s">
        <v>330</v>
      </c>
      <c r="C572" s="1" t="s">
        <v>21</v>
      </c>
      <c r="D572" s="1" t="str">
        <f t="shared" si="2"/>
        <v>Computers&amp;Accessories</v>
      </c>
      <c r="E572" s="1" t="str">
        <f t="shared" si="3"/>
        <v>Accessories&amp;Peripherals</v>
      </c>
      <c r="F572" s="2">
        <v>179.0</v>
      </c>
      <c r="G572" s="2">
        <v>399.0</v>
      </c>
      <c r="H572" s="3">
        <f t="shared" si="4"/>
        <v>0.5513784461</v>
      </c>
      <c r="I572" s="4">
        <f>IFERROR(__xludf.DUMMYFUNCTION("GOOGLEFINANCE(""CURRENCY:INRBRL"")*F572"),10.682419781199998)</f>
        <v>10.68241978</v>
      </c>
      <c r="J572" s="1">
        <v>4.0</v>
      </c>
      <c r="K572" s="1">
        <v>1423.0</v>
      </c>
      <c r="L572" s="1" t="s">
        <v>331</v>
      </c>
      <c r="M572" s="6" t="s">
        <v>2201</v>
      </c>
      <c r="N572" s="7" t="str">
        <f>VLOOKUP(A572, avaliacoes!A:G, 5, FALSE)</f>
        <v>GOOD,Thank you  Amazon very good charging cable,Good,Very good product,good quality,Very Good Product,This is fast charging USB!,Simply perfect at the price of below 100</v>
      </c>
      <c r="O572" s="7" t="str">
        <f>VLOOKUP(A572,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row>
    <row r="573">
      <c r="A573" s="1" t="s">
        <v>2202</v>
      </c>
      <c r="B573" s="1" t="s">
        <v>2203</v>
      </c>
      <c r="C573" s="1" t="s">
        <v>1587</v>
      </c>
      <c r="D573" s="1" t="str">
        <f t="shared" si="2"/>
        <v>Electronics</v>
      </c>
      <c r="E573" s="1" t="str">
        <f t="shared" si="3"/>
        <v>Mobiles&amp;Accessories</v>
      </c>
      <c r="F573" s="2">
        <v>1799.0</v>
      </c>
      <c r="G573" s="2">
        <v>3999.0</v>
      </c>
      <c r="H573" s="3">
        <f t="shared" si="4"/>
        <v>0.5501375344</v>
      </c>
      <c r="I573" s="4">
        <f>IFERROR(__xludf.DUMMYFUNCTION("GOOGLEFINANCE(""CURRENCY:INRBRL"")*F573"),107.36130271719999)</f>
        <v>107.3613027</v>
      </c>
      <c r="J573" s="1">
        <v>4.51</v>
      </c>
      <c r="K573" s="1">
        <v>245.0</v>
      </c>
      <c r="L573" s="1" t="s">
        <v>2204</v>
      </c>
      <c r="M573" s="6" t="s">
        <v>2205</v>
      </c>
      <c r="N573" s="7" t="str">
        <f>VLOOKUP(A573, avaliacoes!A:G, 5, FALSE)</f>
        <v>Good,Good Product but Little expensive.,Happy with the purchase,Good buy in price range,Best travel companion,For instagram reels zoom in and zoom out switch is not available,MUST BUY FOR EVERY ONE WHO OWNS A MOBILE PHONE !!!,A good selfie stick</v>
      </c>
      <c r="O573" s="7" t="str">
        <f>VLOOKUP(A573, avaliacoes!A:G, 6, FALSE)</f>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v>
      </c>
    </row>
    <row r="574">
      <c r="A574" s="1" t="s">
        <v>2206</v>
      </c>
      <c r="B574" s="1" t="s">
        <v>2207</v>
      </c>
      <c r="C574" s="1" t="s">
        <v>1374</v>
      </c>
      <c r="D574" s="1" t="str">
        <f t="shared" si="2"/>
        <v>Electronics</v>
      </c>
      <c r="E574" s="1" t="str">
        <f t="shared" si="3"/>
        <v>Mobiles&amp;Accessories</v>
      </c>
      <c r="F574" s="2">
        <v>8499.0</v>
      </c>
      <c r="G574" s="2">
        <v>11999.0</v>
      </c>
      <c r="H574" s="3">
        <f t="shared" si="4"/>
        <v>0.2916909742</v>
      </c>
      <c r="I574" s="4">
        <f>IFERROR(__xludf.DUMMYFUNCTION("GOOGLEFINANCE(""CURRENCY:INRBRL"")*F574"),507.20606547719996)</f>
        <v>507.2060655</v>
      </c>
      <c r="J574" s="1">
        <v>4.52</v>
      </c>
      <c r="K574" s="1">
        <v>276.0</v>
      </c>
      <c r="L574" s="1" t="s">
        <v>2208</v>
      </c>
      <c r="M574" s="6" t="s">
        <v>2209</v>
      </c>
      <c r="N574" s="7" t="str">
        <f>VLOOKUP(A574, avaliacoes!A:G, 5, FALSE)</f>
        <v>Decent,Sad But Don't Buy,Ók,Nice mobile in this bugdet,Performance below low budget phone,Good performance,Budget phone,Very good product nice photo and display</v>
      </c>
      <c r="O574" s="7" t="str">
        <f>VLOOKUP(A574, avaliacoes!A:G, 6, FALSE)</f>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v>
      </c>
    </row>
    <row r="575">
      <c r="A575" s="1" t="s">
        <v>2210</v>
      </c>
      <c r="B575" s="1" t="s">
        <v>2211</v>
      </c>
      <c r="C575" s="1" t="s">
        <v>1356</v>
      </c>
      <c r="D575" s="1" t="str">
        <f t="shared" si="2"/>
        <v>Electronics</v>
      </c>
      <c r="E575" s="1" t="str">
        <f t="shared" si="3"/>
        <v>WearableTechnology</v>
      </c>
      <c r="F575" s="2">
        <v>1999.0</v>
      </c>
      <c r="G575" s="2">
        <v>3999.0</v>
      </c>
      <c r="H575" s="3">
        <f t="shared" si="4"/>
        <v>0.5001250313</v>
      </c>
      <c r="I575" s="4">
        <f>IFERROR(__xludf.DUMMYFUNCTION("GOOGLEFINANCE(""CURRENCY:INRBRL"")*F575"),119.2969672772)</f>
        <v>119.2969673</v>
      </c>
      <c r="J575" s="1">
        <v>4.0</v>
      </c>
      <c r="K575" s="1">
        <v>30254.0</v>
      </c>
      <c r="L575" s="1" t="s">
        <v>2212</v>
      </c>
      <c r="M575" s="6" t="s">
        <v>2213</v>
      </c>
      <c r="N575" s="7" t="str">
        <f>VLOOKUP(A575, avaliacoes!A:G, 5, FALSE)</f>
        <v>Ranjitha,Good one,Best One!!!,Good and average usage,IT'S BEEN GOOD,Good,Overall good product,Nice</v>
      </c>
      <c r="O575" s="7" t="str">
        <f>VLOOKUP(A575, avaliacoes!A:G,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v>
      </c>
    </row>
    <row r="576">
      <c r="A576" s="1" t="s">
        <v>2214</v>
      </c>
      <c r="B576" s="1" t="s">
        <v>1517</v>
      </c>
      <c r="C576" s="1" t="s">
        <v>1356</v>
      </c>
      <c r="D576" s="1" t="str">
        <f t="shared" si="2"/>
        <v>Electronics</v>
      </c>
      <c r="E576" s="1" t="str">
        <f t="shared" si="3"/>
        <v>WearableTechnology</v>
      </c>
      <c r="F576" s="2">
        <v>3999.0</v>
      </c>
      <c r="G576" s="2">
        <v>17999.0</v>
      </c>
      <c r="H576" s="3">
        <f t="shared" si="4"/>
        <v>0.7778209901</v>
      </c>
      <c r="I576" s="4">
        <f>IFERROR(__xludf.DUMMYFUNCTION("GOOGLEFINANCE(""CURRENCY:INRBRL"")*F576"),238.65361287719998)</f>
        <v>238.6536129</v>
      </c>
      <c r="J576" s="1">
        <v>4.5</v>
      </c>
      <c r="K576" s="1">
        <v>17161.0</v>
      </c>
      <c r="L576" s="1" t="s">
        <v>2215</v>
      </c>
      <c r="M576" s="6" t="s">
        <v>2216</v>
      </c>
      <c r="N576" s="7" t="str">
        <f>VLOOKUP(A576, avaliacoes!A:G, 5, FALSE)</f>
        <v>Nice watch but some cons,Great device for the budget !! And amazing amazon service!!,Good watch in this price,Watch faces could have been better,Amoled Screen &amp; Touch, Average Wrist Band.</v>
      </c>
      <c r="O576" s="7" t="str">
        <f>VLOOKUP(A576, avaliacoes!A:G,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row>
    <row r="577">
      <c r="A577" s="1" t="s">
        <v>2217</v>
      </c>
      <c r="B577" s="1" t="s">
        <v>2218</v>
      </c>
      <c r="C577" s="1" t="s">
        <v>1456</v>
      </c>
      <c r="D577" s="1" t="str">
        <f t="shared" si="2"/>
        <v>Electronics</v>
      </c>
      <c r="E577" s="1" t="str">
        <f t="shared" si="3"/>
        <v>Mobiles&amp;Accessories</v>
      </c>
      <c r="F577" s="2">
        <v>219.0</v>
      </c>
      <c r="G577" s="2">
        <v>499.0</v>
      </c>
      <c r="H577" s="3">
        <f t="shared" si="4"/>
        <v>0.5611222445</v>
      </c>
      <c r="I577" s="4">
        <f>IFERROR(__xludf.DUMMYFUNCTION("GOOGLEFINANCE(""CURRENCY:INRBRL"")*F577"),13.069552693199999)</f>
        <v>13.06955269</v>
      </c>
      <c r="J577" s="1">
        <v>4.5</v>
      </c>
      <c r="K577" s="1">
        <v>14.0</v>
      </c>
      <c r="L577" s="1" t="s">
        <v>2219</v>
      </c>
      <c r="M577" s="6" t="s">
        <v>2220</v>
      </c>
      <c r="N577" s="7" t="str">
        <f>VLOOKUP(A577, avaliacoes!A:G, 5, FALSE)</f>
        <v>Quality product,Excellent, it's fast charging,After 12 days not working 😔</v>
      </c>
      <c r="O577" s="7" t="str">
        <f>VLOOKUP(A577, avaliacoes!A:G, 6, FALSE)</f>
        <v>Product works well and charges the devices in a quick mannerValue for money.,I like this product,Not working 😔 after 12 days</v>
      </c>
    </row>
    <row r="578">
      <c r="A578" s="1" t="s">
        <v>2221</v>
      </c>
      <c r="B578" s="1" t="s">
        <v>2222</v>
      </c>
      <c r="C578" s="1" t="s">
        <v>1587</v>
      </c>
      <c r="D578" s="1" t="str">
        <f t="shared" si="2"/>
        <v>Electronics</v>
      </c>
      <c r="E578" s="1" t="str">
        <f t="shared" si="3"/>
        <v>Mobiles&amp;Accessories</v>
      </c>
      <c r="F578" s="2">
        <v>599.0</v>
      </c>
      <c r="G578" s="2">
        <v>1399.0</v>
      </c>
      <c r="H578" s="3">
        <f t="shared" si="4"/>
        <v>0.5718370264</v>
      </c>
      <c r="I578" s="4">
        <f>IFERROR(__xludf.DUMMYFUNCTION("GOOGLEFINANCE(""CURRENCY:INRBRL"")*F578"),35.747315357199994)</f>
        <v>35.74731536</v>
      </c>
      <c r="J578" s="1">
        <v>4.49</v>
      </c>
      <c r="K578" s="1">
        <v>1456.0</v>
      </c>
      <c r="L578" s="1" t="s">
        <v>2223</v>
      </c>
      <c r="M578" s="6" t="s">
        <v>2224</v>
      </c>
      <c r="N578" s="7" t="str">
        <f>VLOOKUP(A578, avaliacoes!A:G, 5, FALSE)</f>
        <v>Best selfie stick,Decent product with one draw back,Best for Recording videos and photo shoot,Great Selfi stick using for 6months,Nice product in this rate,Overall ok but stability is not rock solid,Selfie stick,Nice</v>
      </c>
      <c r="O578" s="7" t="str">
        <f>VLOOKUP(A578, avaliacoes!A:G, 6, FALSE)</f>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v>
      </c>
    </row>
    <row r="579">
      <c r="A579" s="1" t="s">
        <v>2225</v>
      </c>
      <c r="B579" s="1" t="s">
        <v>2226</v>
      </c>
      <c r="C579" s="1" t="s">
        <v>1369</v>
      </c>
      <c r="D579" s="1" t="str">
        <f t="shared" si="2"/>
        <v>Electronics</v>
      </c>
      <c r="E579" s="1" t="str">
        <f t="shared" si="3"/>
        <v>Mobiles&amp;Accessories</v>
      </c>
      <c r="F579" s="2">
        <v>2499.0</v>
      </c>
      <c r="G579" s="2">
        <v>2999.0</v>
      </c>
      <c r="H579" s="3">
        <f t="shared" si="4"/>
        <v>0.1667222407</v>
      </c>
      <c r="I579" s="4">
        <f>IFERROR(__xludf.DUMMYFUNCTION("GOOGLEFINANCE(""CURRENCY:INRBRL"")*F579"),149.1361286772)</f>
        <v>149.1361287</v>
      </c>
      <c r="J579" s="1">
        <v>4.49</v>
      </c>
      <c r="K579" s="1">
        <v>3156.0</v>
      </c>
      <c r="L579" s="1" t="s">
        <v>2227</v>
      </c>
      <c r="M579" s="6" t="s">
        <v>2228</v>
      </c>
      <c r="N579" s="7" t="str">
        <f>VLOOKUP(A579, avaliacoes!A:G, 5, FALSE)</f>
        <v>The first light  Is not working idk why,Pretty device,Good product,A GOOD INVESTMENT,Too bulky,This power bank full charge at 12 hour and I phone 12 will be 4 time full charged not 6 time,VERY GOOD PRODUCT.☆☆☆☆☆,Its too bulky and I would say not good for travelling</v>
      </c>
      <c r="O579" s="7" t="str">
        <f>VLOOKUP(A579, avaliacoes!A:G, 6, FALSE)</f>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v>
      </c>
    </row>
    <row r="580">
      <c r="A580" s="1" t="s">
        <v>2229</v>
      </c>
      <c r="B580" s="1" t="s">
        <v>2230</v>
      </c>
      <c r="C580" s="1" t="s">
        <v>2231</v>
      </c>
      <c r="D580" s="1" t="str">
        <f t="shared" si="2"/>
        <v>Electronics</v>
      </c>
      <c r="E580" s="1" t="str">
        <f t="shared" si="3"/>
        <v>Mobiles&amp;Accessories</v>
      </c>
      <c r="F580" s="2">
        <v>89.0</v>
      </c>
      <c r="G580" s="2">
        <v>499.0</v>
      </c>
      <c r="H580" s="3">
        <f t="shared" si="4"/>
        <v>0.8216432866</v>
      </c>
      <c r="I580" s="4">
        <f>IFERROR(__xludf.DUMMYFUNCTION("GOOGLEFINANCE(""CURRENCY:INRBRL"")*F580"),5.311370729199999)</f>
        <v>5.311370729</v>
      </c>
      <c r="J580" s="1">
        <v>4.49</v>
      </c>
      <c r="K580" s="1">
        <v>934.0</v>
      </c>
      <c r="L580" s="1" t="s">
        <v>2232</v>
      </c>
      <c r="M580" s="6" t="s">
        <v>2233</v>
      </c>
      <c r="N580" s="7" t="str">
        <f>VLOOKUP(A580, avaliacoes!A:G, 5, FALSE)</f>
        <v>Good,Good product,Small things looka zoomed out,GOOD PRODUCT,Good product,Good quality product,Little gap to hold the mobile. Struggling every time to keep the mobile in.,Excellent product</v>
      </c>
      <c r="O580" s="7" t="str">
        <f>VLOOKUP(A580, avaliacoes!A:G, 6, FALSE)</f>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v>
      </c>
    </row>
    <row r="581">
      <c r="A581" s="1" t="s">
        <v>2234</v>
      </c>
      <c r="B581" s="1" t="s">
        <v>2235</v>
      </c>
      <c r="C581" s="1" t="s">
        <v>1356</v>
      </c>
      <c r="D581" s="1" t="str">
        <f t="shared" si="2"/>
        <v>Electronics</v>
      </c>
      <c r="E581" s="1" t="str">
        <f t="shared" si="3"/>
        <v>WearableTechnology</v>
      </c>
      <c r="F581" s="2">
        <v>2999.0</v>
      </c>
      <c r="G581" s="2">
        <v>11999.0</v>
      </c>
      <c r="H581" s="3">
        <f t="shared" si="4"/>
        <v>0.7500625052</v>
      </c>
      <c r="I581" s="4">
        <f>IFERROR(__xludf.DUMMYFUNCTION("GOOGLEFINANCE(""CURRENCY:INRBRL"")*F581"),178.9752900772)</f>
        <v>178.9752901</v>
      </c>
      <c r="J581" s="1">
        <v>4.5</v>
      </c>
      <c r="K581" s="1">
        <v>768.0</v>
      </c>
      <c r="L581" s="1" t="s">
        <v>2236</v>
      </c>
      <c r="M581" s="6" t="s">
        <v>2237</v>
      </c>
      <c r="N581" s="7" t="str">
        <f>VLOOKUP(A581, avaliacoes!A:G, 5, FALSE)</f>
        <v>Perfect Value for money,Everything is great but you can increase battery backup,Worth the hype....simply good!,Ok product,I love tank so much . I bought it only before 10 days .i have charged it only once after buying .,Watch design is good,Overall Good Experience,Value for money.</v>
      </c>
      <c r="O581" s="7" t="str">
        <f>VLOOKUP(A581, avaliacoes!A:G, 6, FALSE)</f>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v>
      </c>
    </row>
    <row r="582">
      <c r="A582" s="1" t="s">
        <v>2238</v>
      </c>
      <c r="B582" s="1" t="s">
        <v>2239</v>
      </c>
      <c r="C582" s="1" t="s">
        <v>1617</v>
      </c>
      <c r="D582" s="1" t="str">
        <f t="shared" si="2"/>
        <v>Electronics</v>
      </c>
      <c r="E582" s="1" t="str">
        <f t="shared" si="3"/>
        <v>Mobiles&amp;Accessories</v>
      </c>
      <c r="F582" s="2">
        <v>314.0</v>
      </c>
      <c r="G582" s="2">
        <v>1499.0</v>
      </c>
      <c r="H582" s="3">
        <f t="shared" si="4"/>
        <v>0.790527018</v>
      </c>
      <c r="I582" s="4">
        <f>IFERROR(__xludf.DUMMYFUNCTION("GOOGLEFINANCE(""CURRENCY:INRBRL"")*F582"),18.7389933592)</f>
        <v>18.73899336</v>
      </c>
      <c r="J582" s="1">
        <v>4.51</v>
      </c>
      <c r="K582" s="1">
        <v>28978.0</v>
      </c>
      <c r="L582" s="1" t="s">
        <v>2240</v>
      </c>
      <c r="M582" s="6" t="s">
        <v>2241</v>
      </c>
      <c r="N582" s="7" t="str">
        <f>VLOOKUP(A582, avaliacoes!A:G, 5, FALSE)</f>
        <v>Good one,Almost perfect,Go for it,Good product,It's folding system is good,Very good product,Great stand sturdy and good quality,Good quality</v>
      </c>
      <c r="O582" s="7" t="str">
        <f>VLOOKUP(A582, avaliacoes!A:G, 6, FALSE)</f>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v>
      </c>
    </row>
    <row r="583">
      <c r="A583" s="1" t="s">
        <v>2242</v>
      </c>
      <c r="B583" s="1" t="s">
        <v>2243</v>
      </c>
      <c r="C583" s="1" t="s">
        <v>1374</v>
      </c>
      <c r="D583" s="1" t="str">
        <f t="shared" si="2"/>
        <v>Electronics</v>
      </c>
      <c r="E583" s="1" t="str">
        <f t="shared" si="3"/>
        <v>Mobiles&amp;Accessories</v>
      </c>
      <c r="F583" s="2">
        <v>13999.0</v>
      </c>
      <c r="G583" s="2">
        <v>19499.0</v>
      </c>
      <c r="H583" s="3">
        <f t="shared" si="4"/>
        <v>0.282065747</v>
      </c>
      <c r="I583" s="4">
        <f>IFERROR(__xludf.DUMMYFUNCTION("GOOGLEFINANCE(""CURRENCY:INRBRL"")*F583"),835.4368408772)</f>
        <v>835.4368409</v>
      </c>
      <c r="J583" s="1">
        <v>4.49</v>
      </c>
      <c r="K583" s="1">
        <v>18998.0</v>
      </c>
      <c r="L583" s="1" t="s">
        <v>1600</v>
      </c>
      <c r="M583" s="6" t="s">
        <v>2244</v>
      </c>
      <c r="N583" s="7" t="str">
        <f>VLOOKUP(A583, avaliacoes!A:G, 5, FALSE)</f>
        <v>Phone, camera, heating - works for me, may not for all,Good Mobile,Good but not excellent under this budget,Worth the price at 9499,Ok type phone... but unable to make videocall within same service provider.,Phone review,Budget king,Battery backup is good</v>
      </c>
      <c r="O583" s="7" t="str">
        <f>VLOOKUP(A583,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row>
    <row r="584">
      <c r="A584" s="1" t="s">
        <v>2245</v>
      </c>
      <c r="B584" s="1" t="s">
        <v>2246</v>
      </c>
      <c r="C584" s="1" t="s">
        <v>1513</v>
      </c>
      <c r="D584" s="1" t="str">
        <f t="shared" si="2"/>
        <v>Electronics</v>
      </c>
      <c r="E584" s="1" t="str">
        <f t="shared" si="3"/>
        <v>Mobiles&amp;Accessories</v>
      </c>
      <c r="F584" s="2">
        <v>139.0</v>
      </c>
      <c r="G584" s="2">
        <v>499.0</v>
      </c>
      <c r="H584" s="3">
        <f t="shared" si="4"/>
        <v>0.7214428858</v>
      </c>
      <c r="I584" s="4">
        <f>IFERROR(__xludf.DUMMYFUNCTION("GOOGLEFINANCE(""CURRENCY:INRBRL"")*F584"),8.2952868692)</f>
        <v>8.295286869</v>
      </c>
      <c r="J584" s="1">
        <v>4.5</v>
      </c>
      <c r="K584" s="1">
        <v>4971.0</v>
      </c>
      <c r="L584" s="1" t="s">
        <v>2247</v>
      </c>
      <c r="M584" s="6" t="s">
        <v>2248</v>
      </c>
      <c r="N584" s="7" t="str">
        <f>VLOOKUP(A584, avaliacoes!A:G, 5, FALSE)</f>
        <v>Good,Good,Worth buying and easy to use,Good,Great product for Ipad Pro,Super,It was good to use and also its fasttt.,Best</v>
      </c>
      <c r="O584" s="7" t="str">
        <f>VLOOKUP(A584, avaliacoes!A:G, 6, FALSE)</f>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v>
      </c>
    </row>
    <row r="585">
      <c r="A585" s="1" t="s">
        <v>2249</v>
      </c>
      <c r="B585" s="1" t="s">
        <v>2250</v>
      </c>
      <c r="C585" s="1" t="s">
        <v>1809</v>
      </c>
      <c r="D585" s="1" t="str">
        <f t="shared" si="2"/>
        <v>Electronics</v>
      </c>
      <c r="E585" s="1" t="str">
        <f t="shared" si="3"/>
        <v>Mobiles&amp;Accessories</v>
      </c>
      <c r="F585" s="2">
        <v>2599.0</v>
      </c>
      <c r="G585" s="2">
        <v>6999.0</v>
      </c>
      <c r="H585" s="3">
        <f t="shared" si="4"/>
        <v>0.6286612373</v>
      </c>
      <c r="I585" s="4">
        <f>IFERROR(__xludf.DUMMYFUNCTION("GOOGLEFINANCE(""CURRENCY:INRBRL"")*F585"),155.1039609572)</f>
        <v>155.103961</v>
      </c>
      <c r="J585" s="1">
        <v>4.51</v>
      </c>
      <c r="K585" s="1">
        <v>1526.0</v>
      </c>
      <c r="L585" s="1" t="s">
        <v>2251</v>
      </c>
      <c r="M585" s="6" t="s">
        <v>2252</v>
      </c>
      <c r="N585" s="7" t="str">
        <f>VLOOKUP(A585, avaliacoes!A:G, 5, FALSE)</f>
        <v>Quite Good,good pencil,Value for money,Brilliant,Value for moeny product,Must to buy this pencil,Problemsolver,It works as advertised</v>
      </c>
      <c r="O585" s="7" t="str">
        <f>VLOOKUP(A585, avaliacoes!A:G, 6, FALSE)</f>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v>
      </c>
    </row>
    <row r="586">
      <c r="A586" s="1" t="s">
        <v>2253</v>
      </c>
      <c r="B586" s="1" t="s">
        <v>2254</v>
      </c>
      <c r="C586" s="1" t="s">
        <v>1411</v>
      </c>
      <c r="D586" s="1" t="str">
        <f t="shared" si="2"/>
        <v>Electronics</v>
      </c>
      <c r="E586" s="1" t="str">
        <f t="shared" si="3"/>
        <v>Headphones,Earbuds&amp;Accessories</v>
      </c>
      <c r="F586" s="2">
        <v>365.0</v>
      </c>
      <c r="G586" s="2">
        <v>999.0</v>
      </c>
      <c r="H586" s="3">
        <f t="shared" si="4"/>
        <v>0.6346346346</v>
      </c>
      <c r="I586" s="4">
        <f>IFERROR(__xludf.DUMMYFUNCTION("GOOGLEFINANCE(""CURRENCY:INRBRL"")*F586"),21.782587822)</f>
        <v>21.78258782</v>
      </c>
      <c r="J586" s="1">
        <v>4.49</v>
      </c>
      <c r="K586" s="1">
        <v>363711.0</v>
      </c>
      <c r="L586" s="1" t="s">
        <v>1604</v>
      </c>
      <c r="M586" s="6" t="s">
        <v>2255</v>
      </c>
      <c r="N586" s="7" t="str">
        <f>VLOOKUP(A586, avaliacoes!A:G, 5, FALSE)</f>
        <v>Best value for money,HEAD PHONE POUCH NOT RECEIVED,Overall good in this pricerange,It's not working in my Phone properly Plz help me in exchange or return, I ll be thankful to you,Worth the money 🤑,Best,Nice sound,Wonderful product</v>
      </c>
      <c r="O586" s="7" t="str">
        <f>VLOOKUP(A586, avaliacoes!A:G,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row>
    <row r="587">
      <c r="A587" s="1" t="s">
        <v>2256</v>
      </c>
      <c r="B587" s="1" t="s">
        <v>2257</v>
      </c>
      <c r="C587" s="1" t="s">
        <v>1411</v>
      </c>
      <c r="D587" s="1" t="str">
        <f t="shared" si="2"/>
        <v>Electronics</v>
      </c>
      <c r="E587" s="1" t="str">
        <f t="shared" si="3"/>
        <v>Headphones,Earbuds&amp;Accessories</v>
      </c>
      <c r="F587" s="2">
        <v>1499.0</v>
      </c>
      <c r="G587" s="2">
        <v>4499.0</v>
      </c>
      <c r="H587" s="3">
        <f t="shared" si="4"/>
        <v>0.6668148477</v>
      </c>
      <c r="I587" s="4">
        <f>IFERROR(__xludf.DUMMYFUNCTION("GOOGLEFINANCE(""CURRENCY:INRBRL"")*F587"),89.45780587719999)</f>
        <v>89.45780588</v>
      </c>
      <c r="J587" s="1">
        <v>4.52</v>
      </c>
      <c r="K587" s="1">
        <v>136954.0</v>
      </c>
      <c r="L587" s="1" t="s">
        <v>2258</v>
      </c>
      <c r="M587" s="6" t="s">
        <v>2259</v>
      </c>
      <c r="N587" s="7" t="str">
        <f>VLOOKUP(A587, avaliacoes!A:G, 5, FALSE)</f>
        <v>Beast in budget!,Fake negative reviews.,great product under low price range</v>
      </c>
      <c r="O587" s="7" t="str">
        <f>VLOOKUP(A587, avaliacoes!A:G, 6, FALSE)</f>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v>
      </c>
    </row>
    <row r="588">
      <c r="A588" s="1" t="s">
        <v>1359</v>
      </c>
      <c r="B588" s="1" t="s">
        <v>1360</v>
      </c>
      <c r="C588" s="1" t="s">
        <v>1356</v>
      </c>
      <c r="D588" s="1" t="str">
        <f t="shared" si="2"/>
        <v>Electronics</v>
      </c>
      <c r="E588" s="1" t="str">
        <f t="shared" si="3"/>
        <v>WearableTechnology</v>
      </c>
      <c r="F588" s="2">
        <v>1998.0</v>
      </c>
      <c r="G588" s="2">
        <v>9999.0</v>
      </c>
      <c r="H588" s="3">
        <f t="shared" si="4"/>
        <v>0.800180018</v>
      </c>
      <c r="I588" s="4">
        <f>IFERROR(__xludf.DUMMYFUNCTION("GOOGLEFINANCE(""CURRENCY:INRBRL"")*F588"),119.23728895439999)</f>
        <v>119.237289</v>
      </c>
      <c r="J588" s="1">
        <v>4.5</v>
      </c>
      <c r="K588" s="1">
        <v>27709.0</v>
      </c>
      <c r="L588" s="1" t="s">
        <v>1361</v>
      </c>
      <c r="M588" s="6" t="s">
        <v>2260</v>
      </c>
      <c r="N588" s="7" t="str">
        <f>VLOOKUP(A588, avaliacoes!A:G, 5, FALSE)</f>
        <v>7-8/10, Decent, good for day to day use,Good choice under budget of Rs2000,Average product.,Budget friendly,Overall it's a good watch,Good product,Best in design, accuracy and looks fancy. A must buy for every person who is watch enthusiast.,Having a great experience</v>
      </c>
      <c r="O588" s="7" t="str">
        <f>VLOOKUP(A588, avaliacoes!A:G,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row>
    <row r="589">
      <c r="A589" s="1" t="s">
        <v>1363</v>
      </c>
      <c r="B589" s="1" t="s">
        <v>1364</v>
      </c>
      <c r="C589" s="1" t="s">
        <v>1356</v>
      </c>
      <c r="D589" s="1" t="str">
        <f t="shared" si="2"/>
        <v>Electronics</v>
      </c>
      <c r="E589" s="1" t="str">
        <f t="shared" si="3"/>
        <v>WearableTechnology</v>
      </c>
      <c r="F589" s="2">
        <v>1799.0</v>
      </c>
      <c r="G589" s="2">
        <v>7990.0</v>
      </c>
      <c r="H589" s="3">
        <f t="shared" si="4"/>
        <v>0.7748435544</v>
      </c>
      <c r="I589" s="4">
        <f>IFERROR(__xludf.DUMMYFUNCTION("GOOGLEFINANCE(""CURRENCY:INRBRL"")*F589"),107.36130271719999)</f>
        <v>107.3613027</v>
      </c>
      <c r="J589" s="1">
        <v>4.51</v>
      </c>
      <c r="K589" s="1">
        <v>17833.0</v>
      </c>
      <c r="L589" s="1" t="s">
        <v>1365</v>
      </c>
      <c r="M589" s="6" t="s">
        <v>2261</v>
      </c>
      <c r="N589" s="7" t="str">
        <f>VLOOKUP(A589, avaliacoes!A:G, 5, FALSE)</f>
        <v>Not Polished Enough. (Improving with updates),Best for the budget 👍,Value of money,nice product,Good product,Super value for money,Awesome product,Product itv</v>
      </c>
      <c r="O589" s="7" t="str">
        <f>VLOOKUP(A589,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row>
    <row r="590">
      <c r="A590" s="1" t="s">
        <v>2262</v>
      </c>
      <c r="B590" s="1" t="s">
        <v>2263</v>
      </c>
      <c r="C590" s="1" t="s">
        <v>2264</v>
      </c>
      <c r="D590" s="1" t="str">
        <f t="shared" si="2"/>
        <v>Computers&amp;Accessories</v>
      </c>
      <c r="E590" s="1" t="str">
        <f t="shared" si="3"/>
        <v>ExternalDevices&amp;DataStorage</v>
      </c>
      <c r="F590" s="2">
        <v>289.0</v>
      </c>
      <c r="G590" s="2">
        <v>650.0</v>
      </c>
      <c r="H590" s="3">
        <f t="shared" si="4"/>
        <v>0.5553846154</v>
      </c>
      <c r="I590" s="4">
        <f>IFERROR(__xludf.DUMMYFUNCTION("GOOGLEFINANCE(""CURRENCY:INRBRL"")*F590"),17.2470352892)</f>
        <v>17.24703529</v>
      </c>
      <c r="J590" s="1">
        <v>4.5</v>
      </c>
      <c r="K590" s="1">
        <v>253105.0</v>
      </c>
      <c r="L590" s="1" t="s">
        <v>2265</v>
      </c>
      <c r="M590" s="6" t="s">
        <v>2266</v>
      </c>
      <c r="N590" s="7" t="str">
        <f>VLOOKUP(A590, avaliacoes!A:G, 5, FALSE)</f>
        <v>Good product,Affordable,Good,Reding speed is only under 22mb/s,Good product 👍,good,Good product and value for money,All about it is very good product in suitable price.</v>
      </c>
      <c r="O590" s="7" t="str">
        <f>VLOOKUP(A590, avaliacoes!A:G, 6, FALSE)</f>
        <v>Very chip very good,Really happy to buy this pen drive comparatively with low cost,Very good,Storage capacity is good,Like,good,Good product and value for money,It's all good , you can vo for it.</v>
      </c>
    </row>
    <row r="591">
      <c r="A591" s="1" t="s">
        <v>2267</v>
      </c>
      <c r="B591" s="1" t="s">
        <v>2268</v>
      </c>
      <c r="C591" s="1" t="s">
        <v>2269</v>
      </c>
      <c r="D591" s="1" t="str">
        <f t="shared" si="2"/>
        <v>Computers&amp;Accessories</v>
      </c>
      <c r="E591" s="1" t="str">
        <f t="shared" si="3"/>
        <v>Accessories&amp;Peripherals</v>
      </c>
      <c r="F591" s="2">
        <v>599.0</v>
      </c>
      <c r="G591" s="2">
        <v>895.0</v>
      </c>
      <c r="H591" s="3">
        <f t="shared" si="4"/>
        <v>0.330726257</v>
      </c>
      <c r="I591" s="4">
        <f>IFERROR(__xludf.DUMMYFUNCTION("GOOGLEFINANCE(""CURRENCY:INRBRL"")*F591"),35.747315357199994)</f>
        <v>35.74731536</v>
      </c>
      <c r="J591" s="1">
        <v>4.5</v>
      </c>
      <c r="K591" s="1">
        <v>61314.0</v>
      </c>
      <c r="L591" s="1" t="s">
        <v>2270</v>
      </c>
      <c r="M591" s="6" t="s">
        <v>2271</v>
      </c>
      <c r="N591" s="7" t="str">
        <f>VLOOKUP(A591, avaliacoes!A:G, 5, FALSE)</f>
        <v>Small, not too heavy, good looking.,Quality of material,Nice product,Good,One of the Best Mouse for the price,Good holding good dpi easy to use,Value for money,Nice mouse</v>
      </c>
      <c r="O591" s="7" t="str">
        <f>VLOOKUP(A591, avaliacoes!A:G, 6, FALSE)</f>
        <v>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v>
      </c>
    </row>
    <row r="592">
      <c r="A592" s="1" t="s">
        <v>2272</v>
      </c>
      <c r="B592" s="1" t="s">
        <v>2273</v>
      </c>
      <c r="C592" s="1" t="s">
        <v>2274</v>
      </c>
      <c r="D592" s="1" t="str">
        <f t="shared" si="2"/>
        <v>Computers&amp;Accessories</v>
      </c>
      <c r="E592" s="1" t="str">
        <f t="shared" si="3"/>
        <v>Accessories&amp;Peripherals</v>
      </c>
      <c r="F592" s="2">
        <v>217.0</v>
      </c>
      <c r="G592" s="2">
        <v>237.0</v>
      </c>
      <c r="H592" s="3">
        <f t="shared" si="4"/>
        <v>0.08438818565</v>
      </c>
      <c r="I592" s="4">
        <f>IFERROR(__xludf.DUMMYFUNCTION("GOOGLEFINANCE(""CURRENCY:INRBRL"")*F592"),12.950196047599999)</f>
        <v>12.95019605</v>
      </c>
      <c r="J592" s="1">
        <v>4.51</v>
      </c>
      <c r="K592" s="1">
        <v>7354.0</v>
      </c>
      <c r="L592" s="1" t="s">
        <v>2275</v>
      </c>
      <c r="M592" s="6" t="s">
        <v>2276</v>
      </c>
      <c r="N592" s="7" t="str">
        <f>VLOOKUP(A592, avaliacoes!A:G, 5, FALSE)</f>
        <v>Good Product,Good,Excellent Product!,Please check before replacing...,Save Trees,overall, a good buy,Save tree,Very nice product</v>
      </c>
      <c r="O592" s="7" t="str">
        <f>VLOOKUP(A592, avaliacoes!A:G, 6, FALSE)</f>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v>
      </c>
    </row>
    <row r="593">
      <c r="A593" s="1" t="s">
        <v>2277</v>
      </c>
      <c r="B593" s="1" t="s">
        <v>2278</v>
      </c>
      <c r="C593" s="1" t="s">
        <v>1411</v>
      </c>
      <c r="D593" s="1" t="str">
        <f t="shared" si="2"/>
        <v>Electronics</v>
      </c>
      <c r="E593" s="1" t="str">
        <f t="shared" si="3"/>
        <v>Headphones,Earbuds&amp;Accessories</v>
      </c>
      <c r="F593" s="2">
        <v>1299.0</v>
      </c>
      <c r="G593" s="2">
        <v>2990.0</v>
      </c>
      <c r="H593" s="3">
        <f t="shared" si="4"/>
        <v>0.5655518395</v>
      </c>
      <c r="I593" s="4">
        <f>IFERROR(__xludf.DUMMYFUNCTION("GOOGLEFINANCE(""CURRENCY:INRBRL"")*F593"),77.5221413172)</f>
        <v>77.52214132</v>
      </c>
      <c r="J593" s="1">
        <v>4.51</v>
      </c>
      <c r="K593" s="1">
        <v>180998.0</v>
      </c>
      <c r="L593" s="1" t="s">
        <v>2279</v>
      </c>
      <c r="M593" s="6" t="s">
        <v>2280</v>
      </c>
      <c r="N593" s="7" t="str">
        <f>VLOOKUP(A593, avaliacoes!A:G, 5, FALSE)</f>
        <v>Good sound quality but not 40 hours backup!,Decent but not that impressive,Good purchase, good build and good sound quality,Good for cost.,Excellent,Like the product,Value for money,Call Disturbance</v>
      </c>
      <c r="O593" s="7" t="str">
        <f>VLOOKUP(A593, avaliacoes!A:G, 6, FALSE)</f>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v>
      </c>
    </row>
    <row r="594">
      <c r="A594" s="1" t="s">
        <v>2281</v>
      </c>
      <c r="B594" s="1" t="s">
        <v>2282</v>
      </c>
      <c r="C594" s="1" t="s">
        <v>2283</v>
      </c>
      <c r="D594" s="1" t="str">
        <f t="shared" si="2"/>
        <v>Computers&amp;Accessories</v>
      </c>
      <c r="E594" s="1" t="str">
        <f t="shared" si="3"/>
        <v>Accessories&amp;Peripherals</v>
      </c>
      <c r="F594" s="2">
        <v>263.0</v>
      </c>
      <c r="G594" s="2">
        <v>699.0</v>
      </c>
      <c r="H594" s="3">
        <f t="shared" si="4"/>
        <v>0.6237482117</v>
      </c>
      <c r="I594" s="4">
        <f>IFERROR(__xludf.DUMMYFUNCTION("GOOGLEFINANCE(""CURRENCY:INRBRL"")*F594"),15.695398896399999)</f>
        <v>15.6953989</v>
      </c>
      <c r="J594" s="1">
        <v>4.5</v>
      </c>
      <c r="K594" s="1">
        <v>690.0</v>
      </c>
      <c r="L594" s="1" t="s">
        <v>2284</v>
      </c>
      <c r="M594" s="6" t="s">
        <v>2285</v>
      </c>
      <c r="N594" s="7" t="str">
        <f>VLOOKUP(A594, avaliacoes!A:G, 5, FALSE)</f>
        <v>Good as per price,Good,Worthy for Price,Worth,Unstable on bed mattress - due to curved landing edges,RECOMMEND TO BUY.,Quality Wise It's Not Perfect But 👍 Good As Compared to Market Products,Totally is good 😊</v>
      </c>
      <c r="O594" s="7" t="str">
        <f>VLOOKUP(A594, avaliacoes!A:G, 6, FALSE)</f>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v>
      </c>
    </row>
    <row r="595">
      <c r="A595" s="1" t="s">
        <v>1391</v>
      </c>
      <c r="B595" s="1" t="s">
        <v>1392</v>
      </c>
      <c r="C595" s="1" t="s">
        <v>1393</v>
      </c>
      <c r="D595" s="1" t="str">
        <f t="shared" si="2"/>
        <v>Electronics</v>
      </c>
      <c r="E595" s="1" t="str">
        <f t="shared" si="3"/>
        <v>Accessories</v>
      </c>
      <c r="F595" s="2">
        <v>569.0</v>
      </c>
      <c r="G595" s="2">
        <v>999.0</v>
      </c>
      <c r="H595" s="3">
        <f t="shared" si="4"/>
        <v>0.4304304304</v>
      </c>
      <c r="I595" s="4">
        <f>IFERROR(__xludf.DUMMYFUNCTION("GOOGLEFINANCE(""CURRENCY:INRBRL"")*F595"),33.956965673199996)</f>
        <v>33.95696567</v>
      </c>
      <c r="J595" s="1">
        <v>4.5</v>
      </c>
      <c r="K595" s="1">
        <v>67262.0</v>
      </c>
      <c r="L595" s="1" t="s">
        <v>1394</v>
      </c>
      <c r="M595" s="6" t="s">
        <v>2286</v>
      </c>
      <c r="N595" s="7" t="str">
        <f>VLOOKUP(A595, avaliacoes!A:G, 5, FALSE)</f>
        <v>Fake Product,Costly but excellent quality,Storage good but don't know how to Activate warantee??,Good for use,5 stas nahi diya kyuki capacity 477gb hi rahta hai,Speed not as advertise,Good one,It's ok</v>
      </c>
      <c r="O595" s="7" t="str">
        <f>VLOOKUP(A595,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row>
    <row r="596">
      <c r="A596" s="1" t="s">
        <v>1396</v>
      </c>
      <c r="B596" s="1" t="s">
        <v>1397</v>
      </c>
      <c r="C596" s="1" t="s">
        <v>1356</v>
      </c>
      <c r="D596" s="1" t="str">
        <f t="shared" si="2"/>
        <v>Electronics</v>
      </c>
      <c r="E596" s="1" t="str">
        <f t="shared" si="3"/>
        <v>WearableTechnology</v>
      </c>
      <c r="F596" s="2">
        <v>1999.0</v>
      </c>
      <c r="G596" s="2">
        <v>4999.0</v>
      </c>
      <c r="H596" s="3">
        <f t="shared" si="4"/>
        <v>0.600120024</v>
      </c>
      <c r="I596" s="4">
        <f>IFERROR(__xludf.DUMMYFUNCTION("GOOGLEFINANCE(""CURRENCY:INRBRL"")*F596"),119.2969672772)</f>
        <v>119.2969673</v>
      </c>
      <c r="J596" s="1">
        <v>4.49</v>
      </c>
      <c r="K596" s="1">
        <v>10689.0</v>
      </c>
      <c r="L596" s="1" t="s">
        <v>1398</v>
      </c>
      <c r="M596" s="6" t="s">
        <v>2287</v>
      </c>
      <c r="N596" s="7" t="str">
        <f>VLOOKUP(A596, avaliacoes!A:G, 5, FALSE)</f>
        <v>Sumit Nath,For the price, it is a good purchase but can be better,Happy with product...,It's really smart with elegant design,Amazing,Noise,All good,Good</v>
      </c>
      <c r="O596" s="7" t="str">
        <f>VLOOKUP(A596, avaliacoes!A:G, 6, FALSE)</f>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v>
      </c>
    </row>
    <row r="597">
      <c r="A597" s="1" t="s">
        <v>2288</v>
      </c>
      <c r="B597" s="1" t="s">
        <v>2289</v>
      </c>
      <c r="C597" s="1" t="s">
        <v>1411</v>
      </c>
      <c r="D597" s="1" t="str">
        <f t="shared" si="2"/>
        <v>Electronics</v>
      </c>
      <c r="E597" s="1" t="str">
        <f t="shared" si="3"/>
        <v>Headphones,Earbuds&amp;Accessories</v>
      </c>
      <c r="F597" s="2">
        <v>1399.0</v>
      </c>
      <c r="G597" s="2">
        <v>3999.0</v>
      </c>
      <c r="H597" s="3">
        <f t="shared" si="4"/>
        <v>0.6501625406</v>
      </c>
      <c r="I597" s="4">
        <f>IFERROR(__xludf.DUMMYFUNCTION("GOOGLEFINANCE(""CURRENCY:INRBRL"")*F597"),83.48997359719999)</f>
        <v>83.4899736</v>
      </c>
      <c r="J597" s="1">
        <v>4.49</v>
      </c>
      <c r="K597" s="1">
        <v>141841.0</v>
      </c>
      <c r="L597" s="1" t="s">
        <v>2290</v>
      </c>
      <c r="M597" s="6" t="s">
        <v>2291</v>
      </c>
      <c r="N597" s="7" t="str">
        <f>VLOOKUP(A597, avaliacoes!A:G, 5, FALSE)</f>
        <v>The rebel with a defect,Nice product,Really good product,Awesome charging backup 👍,Value for price,Value for money,Bluetooth service centre not available,good quality</v>
      </c>
      <c r="O597" s="7" t="str">
        <f>VLOOKUP(A597, avaliacoes!A:G, 6, FALSE)</f>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v>
      </c>
    </row>
    <row r="598">
      <c r="A598" s="1" t="s">
        <v>2292</v>
      </c>
      <c r="B598" s="1" t="s">
        <v>2293</v>
      </c>
      <c r="C598" s="1" t="s">
        <v>2294</v>
      </c>
      <c r="D598" s="1" t="str">
        <f t="shared" si="2"/>
        <v>Computers&amp;Accessories</v>
      </c>
      <c r="E598" s="1" t="str">
        <f t="shared" si="3"/>
        <v>Accessories&amp;Peripherals</v>
      </c>
      <c r="F598" s="2">
        <v>349.0</v>
      </c>
      <c r="G598" s="2">
        <v>1499.0</v>
      </c>
      <c r="H598" s="3">
        <f t="shared" si="4"/>
        <v>0.7671781187</v>
      </c>
      <c r="I598" s="4">
        <f>IFERROR(__xludf.DUMMYFUNCTION("GOOGLEFINANCE(""CURRENCY:INRBRL"")*F598"),20.827734657199997)</f>
        <v>20.82773466</v>
      </c>
      <c r="J598" s="1">
        <v>4.5</v>
      </c>
      <c r="K598" s="1">
        <v>24791.0</v>
      </c>
      <c r="L598" s="1" t="s">
        <v>2295</v>
      </c>
      <c r="M598" s="6" t="s">
        <v>2296</v>
      </c>
      <c r="N598" s="7" t="str">
        <f>VLOOKUP(A598, avaliacoes!A:G, 5, FALSE)</f>
        <v>Product is very good , but delivery was not quite good,Overall good.,Average to good,Stability should have been better.,Price could be less,Best product in this price.,Mast,Value for money</v>
      </c>
      <c r="O598" s="7" t="str">
        <f>VLOOKUP(A598, avaliacoes!A:G, 6, FALSE)</f>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v>
      </c>
    </row>
    <row r="599">
      <c r="A599" s="1" t="s">
        <v>2297</v>
      </c>
      <c r="B599" s="1" t="s">
        <v>2298</v>
      </c>
      <c r="C599" s="1" t="s">
        <v>1411</v>
      </c>
      <c r="D599" s="1" t="str">
        <f t="shared" si="2"/>
        <v>Electronics</v>
      </c>
      <c r="E599" s="1" t="str">
        <f t="shared" si="3"/>
        <v>Headphones,Earbuds&amp;Accessories</v>
      </c>
      <c r="F599" s="2">
        <v>149.0</v>
      </c>
      <c r="G599" s="2">
        <v>399.0</v>
      </c>
      <c r="H599" s="3">
        <f t="shared" si="4"/>
        <v>0.626566416</v>
      </c>
      <c r="I599" s="4">
        <f>IFERROR(__xludf.DUMMYFUNCTION("GOOGLEFINANCE(""CURRENCY:INRBRL"")*F599"),8.8920700972)</f>
        <v>8.892070097</v>
      </c>
      <c r="J599" s="1">
        <v>4.5</v>
      </c>
      <c r="K599" s="1">
        <v>21764.0</v>
      </c>
      <c r="L599" s="1" t="s">
        <v>2299</v>
      </c>
      <c r="M599" s="6" t="s">
        <v>2300</v>
      </c>
      <c r="N599" s="7" t="str">
        <f>VLOOKUP(A599, avaliacoes!A:G, 5, FALSE)</f>
        <v>Build quality material is not good. I feel it might last for a longer run.,Very good earphones at this price,not grate,More than average 👍,Ok,Best ear phones,Is ok,good wired earphone</v>
      </c>
      <c r="O599" s="7" t="str">
        <f>VLOOKUP(A599, avaliacoes!A:G, 6, FALSE)</f>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v>
      </c>
    </row>
    <row r="600">
      <c r="A600" s="1" t="s">
        <v>1409</v>
      </c>
      <c r="B600" s="1" t="s">
        <v>1410</v>
      </c>
      <c r="C600" s="1" t="s">
        <v>1411</v>
      </c>
      <c r="D600" s="1" t="str">
        <f t="shared" si="2"/>
        <v>Electronics</v>
      </c>
      <c r="E600" s="1" t="str">
        <f t="shared" si="3"/>
        <v>Headphones,Earbuds&amp;Accessories</v>
      </c>
      <c r="F600" s="2">
        <v>599.0</v>
      </c>
      <c r="G600" s="2">
        <v>999.0</v>
      </c>
      <c r="H600" s="3">
        <f t="shared" si="4"/>
        <v>0.4004004004</v>
      </c>
      <c r="I600" s="4">
        <f>IFERROR(__xludf.DUMMYFUNCTION("GOOGLEFINANCE(""CURRENCY:INRBRL"")*F600"),35.747315357199994)</f>
        <v>35.74731536</v>
      </c>
      <c r="J600" s="1">
        <v>4.49</v>
      </c>
      <c r="K600" s="1">
        <v>192587.0</v>
      </c>
      <c r="L600" s="1" t="s">
        <v>1412</v>
      </c>
      <c r="M600" s="6" t="s">
        <v>2301</v>
      </c>
      <c r="N600" s="7" t="str">
        <f>VLOOKUP(A600, avaliacoes!A:G, 5, FALSE)</f>
        <v>Good maybe okay,Defective Product Delivered,Amazing Sound at Budget,Not for bass lover,Best one,Quality,Durability,Superb voice quality</v>
      </c>
      <c r="O600" s="7" t="str">
        <f>VLOOKUP(A600, avaliacoes!A:G,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row>
    <row r="601">
      <c r="A601" s="1" t="s">
        <v>2302</v>
      </c>
      <c r="B601" s="1" t="s">
        <v>2303</v>
      </c>
      <c r="C601" s="1" t="s">
        <v>2077</v>
      </c>
      <c r="D601" s="1" t="str">
        <f t="shared" si="2"/>
        <v>Electronics</v>
      </c>
      <c r="E601" s="1" t="str">
        <f t="shared" si="3"/>
        <v>Headphones,Earbuds&amp;Accessories</v>
      </c>
      <c r="F601" s="2">
        <v>1220.0</v>
      </c>
      <c r="G601" s="2">
        <v>3990.0</v>
      </c>
      <c r="H601" s="3">
        <f t="shared" si="4"/>
        <v>0.694235589</v>
      </c>
      <c r="I601" s="4">
        <f>IFERROR(__xludf.DUMMYFUNCTION("GOOGLEFINANCE(""CURRENCY:INRBRL"")*F601"),72.807553816)</f>
        <v>72.80755382</v>
      </c>
      <c r="J601" s="1">
        <v>4.49</v>
      </c>
      <c r="K601" s="1">
        <v>1070151.0</v>
      </c>
      <c r="L601" s="1" t="s">
        <v>2304</v>
      </c>
      <c r="M601" s="6" t="s">
        <v>2305</v>
      </c>
      <c r="N601" s="7" t="str">
        <f>VLOOKUP(A601, avaliacoes!A:G, 5, FALSE)</f>
        <v>Authentic review,Overall it's a good headset.,Not for me,Nice product,Best,Amazing product,It's a wonderful boat product,Good Product of boAt</v>
      </c>
      <c r="O601" s="7" t="str">
        <f>VLOOKUP(A601, avaliacoes!A:G, 6, FALSE)</f>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v>
      </c>
    </row>
    <row r="602">
      <c r="A602" s="1" t="s">
        <v>1405</v>
      </c>
      <c r="B602" s="1" t="s">
        <v>1406</v>
      </c>
      <c r="C602" s="1" t="s">
        <v>1356</v>
      </c>
      <c r="D602" s="1" t="str">
        <f t="shared" si="2"/>
        <v>Electronics</v>
      </c>
      <c r="E602" s="1" t="str">
        <f t="shared" si="3"/>
        <v>WearableTechnology</v>
      </c>
      <c r="F602" s="2">
        <v>1499.0</v>
      </c>
      <c r="G602" s="2">
        <v>6990.0</v>
      </c>
      <c r="H602" s="3">
        <f t="shared" si="4"/>
        <v>0.7855507868</v>
      </c>
      <c r="I602" s="4">
        <f>IFERROR(__xludf.DUMMYFUNCTION("GOOGLEFINANCE(""CURRENCY:INRBRL"")*F602"),89.45780587719999)</f>
        <v>89.45780588</v>
      </c>
      <c r="J602" s="1">
        <v>4.52</v>
      </c>
      <c r="K602" s="1">
        <v>21797.0</v>
      </c>
      <c r="L602" s="1" t="s">
        <v>1407</v>
      </c>
      <c r="M602" s="6" t="s">
        <v>2306</v>
      </c>
      <c r="N602" s="7" t="str">
        <f>VLOOKUP(A602, avaliacoes!A:G, 5, FALSE)</f>
        <v>Ideal Product,Ok,उपयोगी एवं संतोषजनक,Ok in this price range,Battery,It is a good watch,Nice watch,Average</v>
      </c>
      <c r="O602" s="7" t="str">
        <f>VLOOKUP(A602, avaliacoes!A:G,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row>
    <row r="603">
      <c r="A603" s="1" t="s">
        <v>2307</v>
      </c>
      <c r="B603" s="1" t="s">
        <v>2308</v>
      </c>
      <c r="C603" s="1" t="s">
        <v>1411</v>
      </c>
      <c r="D603" s="1" t="str">
        <f t="shared" si="2"/>
        <v>Electronics</v>
      </c>
      <c r="E603" s="1" t="str">
        <f t="shared" si="3"/>
        <v>Headphones,Earbuds&amp;Accessories</v>
      </c>
      <c r="F603" s="2">
        <v>499.0</v>
      </c>
      <c r="G603" s="2">
        <v>999.0</v>
      </c>
      <c r="H603" s="3">
        <f t="shared" si="4"/>
        <v>0.5005005005</v>
      </c>
      <c r="I603" s="4">
        <f>IFERROR(__xludf.DUMMYFUNCTION("GOOGLEFINANCE(""CURRENCY:INRBRL"")*F603"),29.7794830772)</f>
        <v>29.77948308</v>
      </c>
      <c r="J603" s="1">
        <v>4.52</v>
      </c>
      <c r="K603" s="1">
        <v>92995.0</v>
      </c>
      <c r="L603" s="1" t="s">
        <v>2309</v>
      </c>
      <c r="M603" s="6" t="s">
        <v>2310</v>
      </c>
      <c r="N603" s="7" t="str">
        <f>VLOOKUP(A603, avaliacoes!A:G, 5, FALSE)</f>
        <v>Good,Overall Good,Decent earphones for the price,Worth it,It's just not like that,Good one,Really Good one under Rs 500,On the budget best branded Earphones</v>
      </c>
      <c r="O603" s="7" t="str">
        <f>VLOOKUP(A603, avaliacoes!A:G, 6, FALSE)</f>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v>
      </c>
    </row>
    <row r="604">
      <c r="A604" s="1" t="s">
        <v>2311</v>
      </c>
      <c r="B604" s="1" t="s">
        <v>2312</v>
      </c>
      <c r="C604" s="1" t="s">
        <v>1630</v>
      </c>
      <c r="D604" s="1" t="str">
        <f t="shared" si="2"/>
        <v>Computers&amp;Accessories</v>
      </c>
      <c r="E604" s="1" t="str">
        <f t="shared" si="3"/>
        <v>Accessories&amp;Peripherals</v>
      </c>
      <c r="F604" s="2">
        <v>99.0</v>
      </c>
      <c r="G604" s="2">
        <v>999.0</v>
      </c>
      <c r="H604" s="3">
        <f t="shared" si="4"/>
        <v>0.9009009009</v>
      </c>
      <c r="I604" s="4">
        <f>IFERROR(__xludf.DUMMYFUNCTION("GOOGLEFINANCE(""CURRENCY:INRBRL"")*F604"),5.9081539572)</f>
        <v>5.908153957</v>
      </c>
      <c r="J604" s="1">
        <v>4.49</v>
      </c>
      <c r="K604" s="1">
        <v>8751.0</v>
      </c>
      <c r="L604" s="1" t="s">
        <v>2160</v>
      </c>
      <c r="M604" s="6" t="s">
        <v>2313</v>
      </c>
      <c r="N604" s="7" t="str">
        <f>VLOOKUP(A604, avaliacoes!A:G, 5, FALSE)</f>
        <v>Value for money but,functional,Good,Very easy to use,Good,Good product,Good,Cable protector</v>
      </c>
      <c r="O604" s="7" t="str">
        <f>VLOOKUP(A604, avaliacoes!A:G, 6, FALSE)</f>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v>
      </c>
    </row>
    <row r="605">
      <c r="A605" s="1" t="s">
        <v>1426</v>
      </c>
      <c r="B605" s="1" t="s">
        <v>1427</v>
      </c>
      <c r="C605" s="1" t="s">
        <v>1428</v>
      </c>
      <c r="D605" s="1" t="str">
        <f t="shared" si="2"/>
        <v>Electronics</v>
      </c>
      <c r="E605" s="1" t="str">
        <f t="shared" si="3"/>
        <v>Mobiles&amp;Accessories</v>
      </c>
      <c r="F605" s="2">
        <v>349.0</v>
      </c>
      <c r="G605" s="2">
        <v>1299.0</v>
      </c>
      <c r="H605" s="3">
        <f t="shared" si="4"/>
        <v>0.7313317937</v>
      </c>
      <c r="I605" s="4">
        <f>IFERROR(__xludf.DUMMYFUNCTION("GOOGLEFINANCE(""CURRENCY:INRBRL"")*F605"),20.827734657199997)</f>
        <v>20.82773466</v>
      </c>
      <c r="J605" s="1">
        <v>4.0</v>
      </c>
      <c r="K605" s="1">
        <v>14283.0</v>
      </c>
      <c r="L605" s="1" t="s">
        <v>1429</v>
      </c>
      <c r="M605" s="6" t="s">
        <v>2314</v>
      </c>
      <c r="N605" s="7" t="str">
        <f>VLOOKUP(A605, avaliacoes!A:G, 5, FALSE)</f>
        <v>Good,Good product,Charging well but build quality could be better,Quite nice,Good quality product,Ok,Good Purchase,Built quality could have been better</v>
      </c>
      <c r="O605" s="7" t="str">
        <f>VLOOKUP(A605, avaliacoes!A:G, 6, FALSE)</f>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v>
      </c>
    </row>
    <row r="606">
      <c r="A606" s="1" t="s">
        <v>2315</v>
      </c>
      <c r="B606" s="1" t="s">
        <v>2316</v>
      </c>
      <c r="C606" s="1" t="s">
        <v>2264</v>
      </c>
      <c r="D606" s="1" t="str">
        <f t="shared" si="2"/>
        <v>Computers&amp;Accessories</v>
      </c>
      <c r="E606" s="1" t="str">
        <f t="shared" si="3"/>
        <v>ExternalDevices&amp;DataStorage</v>
      </c>
      <c r="F606" s="2">
        <v>475.0</v>
      </c>
      <c r="G606" s="2">
        <v>1499.0</v>
      </c>
      <c r="H606" s="3">
        <f t="shared" si="4"/>
        <v>0.6831220814</v>
      </c>
      <c r="I606" s="4">
        <f>IFERROR(__xludf.DUMMYFUNCTION("GOOGLEFINANCE(""CURRENCY:INRBRL"")*F606"),28.34720333)</f>
        <v>28.34720333</v>
      </c>
      <c r="J606" s="1">
        <v>4.5</v>
      </c>
      <c r="K606" s="1">
        <v>64273.0</v>
      </c>
      <c r="L606" s="1" t="s">
        <v>2317</v>
      </c>
      <c r="M606" s="6" t="s">
        <v>2318</v>
      </c>
      <c r="N606" s="7" t="str">
        <f>VLOOKUP(A606, avaliacoes!A:G, 5, FALSE)</f>
        <v>Solid and stylish, but too tight in usb port, average performance.,Good product,Slow,It works everywhere except for car stereo,ONLY 57 GB,Good,Good,Nice pen drive</v>
      </c>
      <c r="O606" s="7" t="str">
        <f>VLOOKUP(A606, avaliacoes!A:G, 6, FALSE)</f>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v>
      </c>
    </row>
    <row r="607">
      <c r="A607" s="1" t="s">
        <v>2319</v>
      </c>
      <c r="B607" s="1" t="s">
        <v>2320</v>
      </c>
      <c r="C607" s="1" t="s">
        <v>2269</v>
      </c>
      <c r="D607" s="1" t="str">
        <f t="shared" si="2"/>
        <v>Computers&amp;Accessories</v>
      </c>
      <c r="E607" s="1" t="str">
        <f t="shared" si="3"/>
        <v>Accessories&amp;Peripherals</v>
      </c>
      <c r="F607" s="2">
        <v>269.0</v>
      </c>
      <c r="G607" s="2">
        <v>649.0</v>
      </c>
      <c r="H607" s="3">
        <f t="shared" si="4"/>
        <v>0.5855161787</v>
      </c>
      <c r="I607" s="4">
        <f>IFERROR(__xludf.DUMMYFUNCTION("GOOGLEFINANCE(""CURRENCY:INRBRL"")*F607"),16.0534688332)</f>
        <v>16.05346883</v>
      </c>
      <c r="J607" s="1">
        <v>4.5</v>
      </c>
      <c r="K607" s="1">
        <v>54315.0</v>
      </c>
      <c r="L607" s="1" t="s">
        <v>2321</v>
      </c>
      <c r="M607" s="6" t="s">
        <v>2322</v>
      </c>
      <c r="N607" s="7" t="str">
        <f>VLOOKUP(A607, avaliacoes!A:G, 5, FALSE)</f>
        <v>Decent mouse from trusted brand,Value for money,Good,Average mouse.,Good,Cute,Its a good mouse for normal usage... loved it.💕,HP X1000 Wired USB Mouse</v>
      </c>
      <c r="O607" s="7" t="str">
        <f>VLOOKUP(A607, avaliacoes!A:G, 6, FALSE)</f>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v>
      </c>
    </row>
    <row r="608">
      <c r="A608" s="1" t="s">
        <v>2323</v>
      </c>
      <c r="B608" s="1" t="s">
        <v>2324</v>
      </c>
      <c r="C608" s="1" t="s">
        <v>2269</v>
      </c>
      <c r="D608" s="1" t="str">
        <f t="shared" si="2"/>
        <v>Computers&amp;Accessories</v>
      </c>
      <c r="E608" s="1" t="str">
        <f t="shared" si="3"/>
        <v>Accessories&amp;Peripherals</v>
      </c>
      <c r="F608" s="2">
        <v>299.0</v>
      </c>
      <c r="G608" s="2">
        <v>599.0</v>
      </c>
      <c r="H608" s="3">
        <f t="shared" si="4"/>
        <v>0.5008347245</v>
      </c>
      <c r="I608" s="4">
        <f>IFERROR(__xludf.DUMMYFUNCTION("GOOGLEFINANCE(""CURRENCY:INRBRL"")*F608"),17.8438185172)</f>
        <v>17.84381852</v>
      </c>
      <c r="J608" s="1">
        <v>4.49</v>
      </c>
      <c r="K608" s="1">
        <v>1597.0</v>
      </c>
      <c r="L608" s="1" t="s">
        <v>2325</v>
      </c>
      <c r="M608" s="6" t="s">
        <v>2326</v>
      </c>
      <c r="N608" s="7" t="str">
        <f>VLOOKUP(A608, avaliacoes!A:G, 5, FALSE)</f>
        <v>Noisy clicks - otherwise fine,nice one,Portronics "An New Player in the Field".,Good Built Quality &amp; Smooth Experience,Good Pricing, Light Weight and Excellent Functionality,Effective Sleep Mode,good,Nice and comfortable</v>
      </c>
      <c r="O608" s="7" t="str">
        <f>VLOOKUP(A608, avaliacoes!A:G, 6, FALSE)</f>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v>
      </c>
    </row>
    <row r="609">
      <c r="A609" s="1" t="s">
        <v>1459</v>
      </c>
      <c r="B609" s="1" t="s">
        <v>1460</v>
      </c>
      <c r="C609" s="1" t="s">
        <v>1356</v>
      </c>
      <c r="D609" s="1" t="str">
        <f t="shared" si="2"/>
        <v>Electronics</v>
      </c>
      <c r="E609" s="1" t="str">
        <f t="shared" si="3"/>
        <v>WearableTechnology</v>
      </c>
      <c r="F609" s="2">
        <v>1599.0</v>
      </c>
      <c r="G609" s="2">
        <v>3999.0</v>
      </c>
      <c r="H609" s="3">
        <f t="shared" si="4"/>
        <v>0.6001500375</v>
      </c>
      <c r="I609" s="4">
        <f>IFERROR(__xludf.DUMMYFUNCTION("GOOGLEFINANCE(""CURRENCY:INRBRL"")*F609"),95.4256381572)</f>
        <v>95.42563816</v>
      </c>
      <c r="J609" s="1">
        <v>4.0</v>
      </c>
      <c r="K609" s="1">
        <v>30254.0</v>
      </c>
      <c r="L609" s="1" t="s">
        <v>1461</v>
      </c>
      <c r="M609" s="6" t="s">
        <v>2327</v>
      </c>
      <c r="N609" s="7" t="str">
        <f>VLOOKUP(A609, avaliacoes!A:G, 5, FALSE)</f>
        <v>Ranjitha,Good one,Best One!!!,Good and average usage,IT'S BEEN GOOD,Good,Noise,Overall good product</v>
      </c>
      <c r="O609" s="7" t="str">
        <f>VLOOKUP(A609, avaliacoes!A:G,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row>
    <row r="610">
      <c r="A610" s="1" t="s">
        <v>1463</v>
      </c>
      <c r="B610" s="1" t="s">
        <v>1464</v>
      </c>
      <c r="C610" s="1" t="s">
        <v>1356</v>
      </c>
      <c r="D610" s="1" t="str">
        <f t="shared" si="2"/>
        <v>Electronics</v>
      </c>
      <c r="E610" s="1" t="str">
        <f t="shared" si="3"/>
        <v>WearableTechnology</v>
      </c>
      <c r="F610" s="2">
        <v>1499.0</v>
      </c>
      <c r="G610" s="2">
        <v>7999.0</v>
      </c>
      <c r="H610" s="3">
        <f t="shared" si="4"/>
        <v>0.8126015752</v>
      </c>
      <c r="I610" s="4">
        <f>IFERROR(__xludf.DUMMYFUNCTION("GOOGLEFINANCE(""CURRENCY:INRBRL"")*F610"),89.45780587719999)</f>
        <v>89.45780588</v>
      </c>
      <c r="J610" s="1">
        <v>4.5</v>
      </c>
      <c r="K610" s="1">
        <v>22638.0</v>
      </c>
      <c r="L610" s="1" t="s">
        <v>1465</v>
      </c>
      <c r="M610" s="6" t="s">
        <v>2328</v>
      </c>
      <c r="N610" s="7" t="str">
        <f>VLOOKUP(A610, avaliacoes!A:G, 5, FALSE)</f>
        <v>Premium looking watch,Excellent Product,The Tracking and touch would be better,Bluetooth connectivity,Very good,The watch is good,Felt Good,Not bad</v>
      </c>
      <c r="O610" s="7" t="str">
        <f>VLOOKUP(A610, avaliacoes!A:G,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row>
    <row r="611">
      <c r="A611" s="1" t="s">
        <v>2329</v>
      </c>
      <c r="B611" s="1" t="s">
        <v>2330</v>
      </c>
      <c r="C611" s="1" t="s">
        <v>1411</v>
      </c>
      <c r="D611" s="1" t="str">
        <f t="shared" si="2"/>
        <v>Electronics</v>
      </c>
      <c r="E611" s="1" t="str">
        <f t="shared" si="3"/>
        <v>Headphones,Earbuds&amp;Accessories</v>
      </c>
      <c r="F611" s="2">
        <v>329.0</v>
      </c>
      <c r="G611" s="2">
        <v>999.0</v>
      </c>
      <c r="H611" s="3">
        <f t="shared" si="4"/>
        <v>0.6706706707</v>
      </c>
      <c r="I611" s="4">
        <f>IFERROR(__xludf.DUMMYFUNCTION("GOOGLEFINANCE(""CURRENCY:INRBRL"")*F611"),19.634168201199998)</f>
        <v>19.6341682</v>
      </c>
      <c r="J611" s="1">
        <v>4.52</v>
      </c>
      <c r="K611" s="1">
        <v>77027.0</v>
      </c>
      <c r="L611" s="1" t="s">
        <v>2331</v>
      </c>
      <c r="M611" s="6" t="s">
        <v>2332</v>
      </c>
      <c r="N611" s="7" t="str">
        <f>VLOOKUP(A611, avaliacoes!A:G, 5, FALSE)</f>
        <v>A Good wired headset in budget.,They Work Well and Are Reliable,Volume is not as expected,Good sound but too much of bass annoys,Boult Audio Bassbuds X1,Pretty good earphones, but....,Nice Earphone , boult audio X1,Ok</v>
      </c>
      <c r="O611" s="7" t="str">
        <f>VLOOKUP(A611, avaliacoes!A:G, 6, FALSE)</f>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v>
      </c>
    </row>
    <row r="612">
      <c r="A612" s="1" t="s">
        <v>2333</v>
      </c>
      <c r="B612" s="1" t="s">
        <v>2334</v>
      </c>
      <c r="C612" s="1" t="s">
        <v>2335</v>
      </c>
      <c r="D612" s="1" t="str">
        <f t="shared" si="2"/>
        <v>Computers&amp;Accessories</v>
      </c>
      <c r="E612" s="1" t="str">
        <f t="shared" si="3"/>
        <v>Accessories&amp;Peripherals</v>
      </c>
      <c r="F612" s="2">
        <v>549.0</v>
      </c>
      <c r="G612" s="2">
        <v>1799.0</v>
      </c>
      <c r="H612" s="3">
        <f t="shared" si="4"/>
        <v>0.6948304614</v>
      </c>
      <c r="I612" s="4">
        <f>IFERROR(__xludf.DUMMYFUNCTION("GOOGLEFINANCE(""CURRENCY:INRBRL"")*F612"),32.763399217199996)</f>
        <v>32.76339922</v>
      </c>
      <c r="J612" s="1">
        <v>4.5</v>
      </c>
      <c r="K612" s="1">
        <v>28829.0</v>
      </c>
      <c r="L612" s="1" t="s">
        <v>2336</v>
      </c>
      <c r="M612" s="6" t="s">
        <v>2337</v>
      </c>
      <c r="N612" s="7" t="str">
        <f>VLOOKUP(A612, avaliacoes!A:G, 5, FALSE)</f>
        <v>Sturdy key-board for office use,Smooth keyboard,Good one,Low budget but good product,Good,Good product,Good,good</v>
      </c>
      <c r="O612" s="7" t="str">
        <f>VLOOKUP(A612, avaliacoes!A:G, 6, FALSE)</f>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v>
      </c>
    </row>
    <row r="613">
      <c r="A613" s="1" t="s">
        <v>1482</v>
      </c>
      <c r="B613" s="1" t="s">
        <v>1483</v>
      </c>
      <c r="C613" s="1" t="s">
        <v>1356</v>
      </c>
      <c r="D613" s="1" t="str">
        <f t="shared" si="2"/>
        <v>Electronics</v>
      </c>
      <c r="E613" s="1" t="str">
        <f t="shared" si="3"/>
        <v>WearableTechnology</v>
      </c>
      <c r="F613" s="2">
        <v>2199.0</v>
      </c>
      <c r="G613" s="2">
        <v>9999.0</v>
      </c>
      <c r="H613" s="3">
        <f t="shared" si="4"/>
        <v>0.7800780078</v>
      </c>
      <c r="I613" s="4">
        <f>IFERROR(__xludf.DUMMYFUNCTION("GOOGLEFINANCE(""CURRENCY:INRBRL"")*F613"),131.2326318372)</f>
        <v>131.2326318</v>
      </c>
      <c r="J613" s="1">
        <v>4.5</v>
      </c>
      <c r="K613" s="1">
        <v>29478.0</v>
      </c>
      <c r="L613" s="1" t="s">
        <v>1484</v>
      </c>
      <c r="M613" s="6" t="s">
        <v>2338</v>
      </c>
      <c r="N613" s="7" t="str">
        <f>VLOOKUP(A613, avaliacoes!A:G,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613" s="7" t="str">
        <f>VLOOKUP(A613, avaliacoes!A:G,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row>
    <row r="614">
      <c r="A614" s="1" t="s">
        <v>2339</v>
      </c>
      <c r="B614" s="1" t="s">
        <v>2340</v>
      </c>
      <c r="C614" s="1" t="s">
        <v>2269</v>
      </c>
      <c r="D614" s="1" t="str">
        <f t="shared" si="2"/>
        <v>Computers&amp;Accessories</v>
      </c>
      <c r="E614" s="1" t="str">
        <f t="shared" si="3"/>
        <v>Accessories&amp;Peripherals</v>
      </c>
      <c r="F614" s="2">
        <v>299.0</v>
      </c>
      <c r="G614" s="2">
        <v>650.0</v>
      </c>
      <c r="H614" s="3">
        <f t="shared" si="4"/>
        <v>0.54</v>
      </c>
      <c r="I614" s="4">
        <f>IFERROR(__xludf.DUMMYFUNCTION("GOOGLEFINANCE(""CURRENCY:INRBRL"")*F614"),17.8438185172)</f>
        <v>17.84381852</v>
      </c>
      <c r="J614" s="1">
        <v>4.51</v>
      </c>
      <c r="K614" s="1">
        <v>33176.0</v>
      </c>
      <c r="L614" s="1" t="s">
        <v>2341</v>
      </c>
      <c r="M614" s="6" t="s">
        <v>2342</v>
      </c>
      <c r="N614" s="7" t="str">
        <f>VLOOKUP(A614, avaliacoes!A:G, 5, FALSE)</f>
        <v>Big in size as comparison to other normal sized mouse but works very well,Good for office uses,worth the buy,Best mouse at this price,Item is good.  No issues,It's really worthwhile,Good for home or office use,Rough and affordable</v>
      </c>
      <c r="O614" s="7" t="str">
        <f>VLOOKUP(A614, avaliacoes!A:G, 6, FALSE)</f>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v>
      </c>
    </row>
    <row r="615">
      <c r="A615" s="1" t="s">
        <v>2343</v>
      </c>
      <c r="B615" s="1" t="s">
        <v>2344</v>
      </c>
      <c r="C615" s="1" t="s">
        <v>2345</v>
      </c>
      <c r="D615" s="1" t="str">
        <f t="shared" si="2"/>
        <v>MusicalInstruments</v>
      </c>
      <c r="E615" s="1" t="str">
        <f t="shared" si="3"/>
        <v>Microphones</v>
      </c>
      <c r="F615" s="2">
        <v>798.0</v>
      </c>
      <c r="G615" s="2">
        <v>1999.0</v>
      </c>
      <c r="H615" s="3">
        <f t="shared" si="4"/>
        <v>0.6008004002</v>
      </c>
      <c r="I615" s="4">
        <f>IFERROR(__xludf.DUMMYFUNCTION("GOOGLEFINANCE(""CURRENCY:INRBRL"")*F615"),47.6233015944)</f>
        <v>47.62330159</v>
      </c>
      <c r="J615" s="1">
        <v>4.0</v>
      </c>
      <c r="K615" s="1">
        <v>68664.0</v>
      </c>
      <c r="L615" s="1" t="s">
        <v>2346</v>
      </c>
      <c r="M615" s="6" t="s">
        <v>2347</v>
      </c>
      <c r="N615" s="7" t="str">
        <f>VLOOKUP(A615, avaliacoes!A:G, 5, FALSE)</f>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v>
      </c>
      <c r="O615" s="7" t="str">
        <f>VLOOKUP(A615, avaliacoes!A:G, 6, FALSE)</f>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v>
      </c>
    </row>
    <row r="616">
      <c r="A616" s="1" t="s">
        <v>19</v>
      </c>
      <c r="B616" s="1" t="s">
        <v>20</v>
      </c>
      <c r="C616" s="1" t="s">
        <v>21</v>
      </c>
      <c r="D616" s="1" t="str">
        <f t="shared" si="2"/>
        <v>Computers&amp;Accessories</v>
      </c>
      <c r="E616" s="1" t="str">
        <f t="shared" si="3"/>
        <v>Accessories&amp;Peripherals</v>
      </c>
      <c r="F616" s="2">
        <v>399.0</v>
      </c>
      <c r="G616" s="2">
        <v>1099.0</v>
      </c>
      <c r="H616" s="3">
        <f t="shared" si="4"/>
        <v>0.6369426752</v>
      </c>
      <c r="I616" s="4">
        <f>IFERROR(__xludf.DUMMYFUNCTION("GOOGLEFINANCE(""CURRENCY:INRBRL"")*F616"),23.8116507972)</f>
        <v>23.8116508</v>
      </c>
      <c r="J616" s="1">
        <v>4.5</v>
      </c>
      <c r="K616" s="1">
        <v>24269.0</v>
      </c>
      <c r="L616" s="1" t="s">
        <v>22</v>
      </c>
      <c r="M616" s="6" t="s">
        <v>2348</v>
      </c>
      <c r="N616" s="7" t="str">
        <f>VLOOKUP(A616, avaliacoes!A:G, 5, FALSE)</f>
        <v>Satisfied,Charging is really fast,Value for money,Product review,Good quality,Good product,Good Product,As of now seems good</v>
      </c>
      <c r="O616" s="7" t="str">
        <f>VLOOKUP(A616,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row>
    <row r="617">
      <c r="A617" s="1" t="s">
        <v>2349</v>
      </c>
      <c r="B617" s="1" t="s">
        <v>2350</v>
      </c>
      <c r="C617" s="1" t="s">
        <v>2351</v>
      </c>
      <c r="D617" s="1" t="str">
        <f t="shared" si="2"/>
        <v>Electronics</v>
      </c>
      <c r="E617" s="1" t="str">
        <f t="shared" si="3"/>
        <v>GeneralPurposeBatteries&amp;BatteryChargers</v>
      </c>
      <c r="F617" s="2">
        <v>266.0</v>
      </c>
      <c r="G617" s="2">
        <v>315.0</v>
      </c>
      <c r="H617" s="3">
        <f t="shared" si="4"/>
        <v>0.1555555556</v>
      </c>
      <c r="I617" s="4">
        <f>IFERROR(__xludf.DUMMYFUNCTION("GOOGLEFINANCE(""CURRENCY:INRBRL"")*F617"),15.874433864799999)</f>
        <v>15.87443386</v>
      </c>
      <c r="J617" s="1">
        <v>4.51</v>
      </c>
      <c r="K617" s="1">
        <v>2803.0</v>
      </c>
      <c r="L617" s="1" t="s">
        <v>2352</v>
      </c>
      <c r="M617" s="6" t="s">
        <v>2353</v>
      </c>
      <c r="N617" s="7" t="str">
        <f>VLOOKUP(A617, avaliacoes!A:G, 5, FALSE)</f>
        <v>That's a nice one,Best services.,V good less price than that of market,As described,Value for money,Best battery cells out there,Quality yu,Good</v>
      </c>
      <c r="O617" s="7" t="str">
        <f>VLOOKUP(A617, avaliacoes!A:G, 6, FALSE)</f>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v>
      </c>
    </row>
    <row r="618">
      <c r="A618" s="1" t="s">
        <v>2354</v>
      </c>
      <c r="B618" s="1" t="s">
        <v>2355</v>
      </c>
      <c r="C618" s="1" t="s">
        <v>2356</v>
      </c>
      <c r="D618" s="1" t="str">
        <f t="shared" si="2"/>
        <v>OfficeProducts</v>
      </c>
      <c r="E618" s="1" t="str">
        <f t="shared" si="3"/>
        <v>OfficePaperProducts</v>
      </c>
      <c r="F618" s="2">
        <v>50.0</v>
      </c>
      <c r="G618" s="2">
        <v>50.0</v>
      </c>
      <c r="H618" s="3">
        <f t="shared" si="4"/>
        <v>0</v>
      </c>
      <c r="I618" s="4">
        <f>IFERROR(__xludf.DUMMYFUNCTION("GOOGLEFINANCE(""CURRENCY:INRBRL"")*F618"),2.98391614)</f>
        <v>2.98391614</v>
      </c>
      <c r="J618" s="1">
        <v>4.5</v>
      </c>
      <c r="K618" s="1">
        <v>5792.0</v>
      </c>
      <c r="L618" s="1" t="s">
        <v>2357</v>
      </c>
      <c r="M618" s="6" t="s">
        <v>2358</v>
      </c>
      <c r="N618" s="7" t="str">
        <f>VLOOKUP(A618, avaliacoes!A:G, 5, FALSE)</f>
        <v>Nice ball pen,Good product,Average,Nice Pen,It's a good product,Smooth,It's writing like flowing silk.,good produced</v>
      </c>
      <c r="O618" s="7" t="str">
        <f>VLOOKUP(A618, avaliacoes!A:G, 6, FALSE)</f>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v>
      </c>
    </row>
    <row r="619">
      <c r="A619" s="1" t="s">
        <v>2359</v>
      </c>
      <c r="B619" s="1" t="s">
        <v>2360</v>
      </c>
      <c r="C619" s="1" t="s">
        <v>2361</v>
      </c>
      <c r="D619" s="1" t="str">
        <f t="shared" si="2"/>
        <v>Home&amp;Kitchen</v>
      </c>
      <c r="E619" s="1" t="str">
        <f t="shared" si="3"/>
        <v>CraftMaterials</v>
      </c>
      <c r="F619" s="2">
        <v>130.0</v>
      </c>
      <c r="G619" s="2">
        <v>165.0</v>
      </c>
      <c r="H619" s="3">
        <f t="shared" si="4"/>
        <v>0.2121212121</v>
      </c>
      <c r="I619" s="4">
        <f>IFERROR(__xludf.DUMMYFUNCTION("GOOGLEFINANCE(""CURRENCY:INRBRL"")*F619"),7.758181963999999)</f>
        <v>7.758181964</v>
      </c>
      <c r="J619" s="1">
        <v>4.52</v>
      </c>
      <c r="K619" s="1">
        <v>14778.0</v>
      </c>
      <c r="L619" s="1" t="s">
        <v>2362</v>
      </c>
      <c r="M619" s="6" t="s">
        <v>2363</v>
      </c>
      <c r="N619" s="7" t="str">
        <f>VLOOKUP(A619, avaliacoes!A:G, 5, FALSE)</f>
        <v>Good Quality adhesive, easy to use,Good,good product,Good product,Ok on walls,Very good,Good to use,Very nice.</v>
      </c>
      <c r="O619" s="7" t="str">
        <f>VLOOKUP(A619, avaliacoes!A:G, 6, FALSE)</f>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v>
      </c>
    </row>
    <row r="620">
      <c r="A620" s="1" t="s">
        <v>2364</v>
      </c>
      <c r="B620" s="1" t="s">
        <v>2365</v>
      </c>
      <c r="C620" s="1" t="s">
        <v>1411</v>
      </c>
      <c r="D620" s="1" t="str">
        <f t="shared" si="2"/>
        <v>Electronics</v>
      </c>
      <c r="E620" s="1" t="str">
        <f t="shared" si="3"/>
        <v>Headphones,Earbuds&amp;Accessories</v>
      </c>
      <c r="F620" s="2">
        <v>449.0</v>
      </c>
      <c r="G620" s="2">
        <v>1299.0</v>
      </c>
      <c r="H620" s="3">
        <f t="shared" si="4"/>
        <v>0.6543494996</v>
      </c>
      <c r="I620" s="4">
        <f>IFERROR(__xludf.DUMMYFUNCTION("GOOGLEFINANCE(""CURRENCY:INRBRL"")*F620"),26.795566937199997)</f>
        <v>26.79556694</v>
      </c>
      <c r="J620" s="1">
        <v>4.49</v>
      </c>
      <c r="K620" s="1">
        <v>9177.0</v>
      </c>
      <c r="L620" s="1" t="s">
        <v>2366</v>
      </c>
      <c r="M620" s="6" t="s">
        <v>2367</v>
      </c>
      <c r="N620" s="7" t="str">
        <f>VLOOKUP(A620, avaliacoes!A:G, 5, FALSE)</f>
        <v>Mediocre,Best in Budget and Beast in Quality,Best quality this product,Ear phone With Jack,Nice,good,Good sound quality,Value for money!</v>
      </c>
      <c r="O620" s="7" t="str">
        <f>VLOOKUP(A620, avaliacoes!A:G, 6, FALSE)</f>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v>
      </c>
    </row>
    <row r="621">
      <c r="A621" s="1" t="s">
        <v>1516</v>
      </c>
      <c r="B621" s="1" t="s">
        <v>1517</v>
      </c>
      <c r="C621" s="1" t="s">
        <v>1356</v>
      </c>
      <c r="D621" s="1" t="str">
        <f t="shared" si="2"/>
        <v>Electronics</v>
      </c>
      <c r="E621" s="1" t="str">
        <f t="shared" si="3"/>
        <v>WearableTechnology</v>
      </c>
      <c r="F621" s="2">
        <v>3999.0</v>
      </c>
      <c r="G621" s="2">
        <v>16999.0</v>
      </c>
      <c r="H621" s="3">
        <f t="shared" si="4"/>
        <v>0.7647508677</v>
      </c>
      <c r="I621" s="4">
        <f>IFERROR(__xludf.DUMMYFUNCTION("GOOGLEFINANCE(""CURRENCY:INRBRL"")*F621"),238.65361287719998)</f>
        <v>238.6536129</v>
      </c>
      <c r="J621" s="1">
        <v>4.5</v>
      </c>
      <c r="K621" s="1">
        <v>17162.0</v>
      </c>
      <c r="L621" s="1" t="s">
        <v>1518</v>
      </c>
      <c r="M621" s="6" t="s">
        <v>2368</v>
      </c>
      <c r="N621" s="7" t="str">
        <f>VLOOKUP(A621, avaliacoes!A:G, 5, FALSE)</f>
        <v>Nice watch but some cons,Great device for the budget !! And amazing amazon service!!,Good watch in this price,Watch faces could have been better,Amoled Screen &amp; Touch, Average Wrist Band.</v>
      </c>
      <c r="O621" s="7" t="str">
        <f>VLOOKUP(A621, avaliacoes!A:G,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row>
    <row r="622">
      <c r="A622" s="1" t="s">
        <v>2369</v>
      </c>
      <c r="B622" s="1" t="s">
        <v>2370</v>
      </c>
      <c r="C622" s="1" t="s">
        <v>1411</v>
      </c>
      <c r="D622" s="1" t="str">
        <f t="shared" si="2"/>
        <v>Electronics</v>
      </c>
      <c r="E622" s="1" t="str">
        <f t="shared" si="3"/>
        <v>Headphones,Earbuds&amp;Accessories</v>
      </c>
      <c r="F622" s="2">
        <v>399.0</v>
      </c>
      <c r="G622" s="2">
        <v>1299.0</v>
      </c>
      <c r="H622" s="3">
        <f t="shared" si="4"/>
        <v>0.6928406467</v>
      </c>
      <c r="I622" s="4">
        <f>IFERROR(__xludf.DUMMYFUNCTION("GOOGLEFINANCE(""CURRENCY:INRBRL"")*F622"),23.8116507972)</f>
        <v>23.8116508</v>
      </c>
      <c r="J622" s="1">
        <v>4.5</v>
      </c>
      <c r="K622" s="1">
        <v>206.0</v>
      </c>
      <c r="L622" s="1" t="s">
        <v>2371</v>
      </c>
      <c r="M622" s="6" t="s">
        <v>2372</v>
      </c>
      <c r="N622" s="7" t="str">
        <f>VLOOKUP(A622, avaliacoes!A:G, 5, FALSE)</f>
        <v>Boats are the best.,Just awesome,it is good in this range .....,Great product in the price range,Awesome product,Nice,Perfect,Quality</v>
      </c>
      <c r="O622" s="7" t="str">
        <f>VLOOKUP(A622, avaliacoes!A:G, 6, FALSE)</f>
        <v>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v>
      </c>
    </row>
    <row r="623">
      <c r="A623" s="1" t="s">
        <v>2373</v>
      </c>
      <c r="B623" s="1" t="s">
        <v>2374</v>
      </c>
      <c r="C623" s="1" t="s">
        <v>2375</v>
      </c>
      <c r="D623" s="1" t="str">
        <f t="shared" si="2"/>
        <v>Computers&amp;Accessories</v>
      </c>
      <c r="E623" s="1" t="str">
        <f t="shared" si="3"/>
        <v>Accessories&amp;Peripherals</v>
      </c>
      <c r="F623" s="2">
        <v>1399.0</v>
      </c>
      <c r="G623" s="2">
        <v>2498.0</v>
      </c>
      <c r="H623" s="3">
        <f t="shared" si="4"/>
        <v>0.4399519616</v>
      </c>
      <c r="I623" s="4">
        <f>IFERROR(__xludf.DUMMYFUNCTION("GOOGLEFINANCE(""CURRENCY:INRBRL"")*F623"),83.48997359719999)</f>
        <v>83.4899736</v>
      </c>
      <c r="J623" s="1">
        <v>4.5</v>
      </c>
      <c r="K623" s="1">
        <v>33717.0</v>
      </c>
      <c r="L623" s="1" t="s">
        <v>2376</v>
      </c>
      <c r="M623" s="6" t="s">
        <v>2377</v>
      </c>
      <c r="N623" s="7" t="str">
        <f>VLOOKUP(A623, avaliacoes!A:G, 5, FALSE)</f>
        <v>Best for general use,Works well for basic usage,Good product in the budget,Ok product. Not so great.,Good,Good one to have,Great Product,Good.</v>
      </c>
      <c r="O623" s="7" t="str">
        <f>VLOOKUP(A623, avaliacoes!A:G, 6, FALSE)</f>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v>
      </c>
    </row>
    <row r="624">
      <c r="A624" s="1" t="s">
        <v>24</v>
      </c>
      <c r="B624" s="1" t="s">
        <v>25</v>
      </c>
      <c r="C624" s="1" t="s">
        <v>21</v>
      </c>
      <c r="D624" s="1" t="str">
        <f t="shared" si="2"/>
        <v>Computers&amp;Accessories</v>
      </c>
      <c r="E624" s="1" t="str">
        <f t="shared" si="3"/>
        <v>Accessories&amp;Peripherals</v>
      </c>
      <c r="F624" s="2">
        <v>199.0</v>
      </c>
      <c r="G624" s="2">
        <v>349.0</v>
      </c>
      <c r="H624" s="3">
        <f t="shared" si="4"/>
        <v>0.4297994269</v>
      </c>
      <c r="I624" s="4">
        <f>IFERROR(__xludf.DUMMYFUNCTION("GOOGLEFINANCE(""CURRENCY:INRBRL"")*F624"),11.8759862372)</f>
        <v>11.87598624</v>
      </c>
      <c r="J624" s="1">
        <v>4.0</v>
      </c>
      <c r="K624" s="1">
        <v>43994.0</v>
      </c>
      <c r="L624" s="1" t="s">
        <v>26</v>
      </c>
      <c r="M624" s="6" t="s">
        <v>2378</v>
      </c>
      <c r="N624" s="7" t="str">
        <f>VLOOKUP(A624, avaliacoes!A:G, 5, FALSE)</f>
        <v>A Good Braided Cable for Your Type C Device,Good quality product from ambrane,Super cable,As,Good quality,Good product,its good,Good quality for the price but one issue with my unit</v>
      </c>
      <c r="O624" s="7" t="str">
        <f>VLOOKUP(A624,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row>
    <row r="625">
      <c r="A625" s="1" t="s">
        <v>28</v>
      </c>
      <c r="B625" s="1" t="s">
        <v>29</v>
      </c>
      <c r="C625" s="1" t="s">
        <v>21</v>
      </c>
      <c r="D625" s="1" t="str">
        <f t="shared" si="2"/>
        <v>Computers&amp;Accessories</v>
      </c>
      <c r="E625" s="1" t="str">
        <f t="shared" si="3"/>
        <v>Accessories&amp;Peripherals</v>
      </c>
      <c r="F625" s="2">
        <v>199.0</v>
      </c>
      <c r="G625" s="2">
        <v>999.0</v>
      </c>
      <c r="H625" s="3">
        <f t="shared" si="4"/>
        <v>0.8008008008</v>
      </c>
      <c r="I625" s="4">
        <f>IFERROR(__xludf.DUMMYFUNCTION("GOOGLEFINANCE(""CURRENCY:INRBRL"")*F625"),11.8759862372)</f>
        <v>11.87598624</v>
      </c>
      <c r="J625" s="1">
        <v>4.52</v>
      </c>
      <c r="K625" s="1">
        <v>7928.0</v>
      </c>
      <c r="L625" s="1" t="s">
        <v>30</v>
      </c>
      <c r="M625" s="6" t="s">
        <v>2379</v>
      </c>
      <c r="N625" s="7" t="str">
        <f>VLOOKUP(A625, avaliacoes!A:G, 5, FALSE)</f>
        <v>Good speed for earlier versions,Good Product,Working good,Good for the price,Good,Worth for money,Working nice,it's a really nice product</v>
      </c>
      <c r="O625" s="7" t="str">
        <f>VLOOKUP(A625, avaliacoes!A:G, 6, FALSE)</f>
        <v>Not quite durable and sturdy,https://m.media-amazon.com/images/W/WEBP_402378-T1/images/I/71rIggrbUCL._SY88.jpg,Working good,https://m.media-amazon.com/images/W/WEBP_402378-T1/images/I/61bKp9YO6wL._SY88.jpg,Product,Very nice product,Working well,It's a really nice product</v>
      </c>
    </row>
    <row r="626">
      <c r="A626" s="1" t="s">
        <v>1520</v>
      </c>
      <c r="B626" s="1" t="s">
        <v>1521</v>
      </c>
      <c r="C626" s="1" t="s">
        <v>1356</v>
      </c>
      <c r="D626" s="1" t="str">
        <f t="shared" si="2"/>
        <v>Electronics</v>
      </c>
      <c r="E626" s="1" t="str">
        <f t="shared" si="3"/>
        <v>WearableTechnology</v>
      </c>
      <c r="F626" s="2">
        <v>2998.0</v>
      </c>
      <c r="G626" s="2">
        <v>5999.0</v>
      </c>
      <c r="H626" s="3">
        <f t="shared" si="4"/>
        <v>0.5002500417</v>
      </c>
      <c r="I626" s="4">
        <f>IFERROR(__xludf.DUMMYFUNCTION("GOOGLEFINANCE(""CURRENCY:INRBRL"")*F626"),178.91561175439998)</f>
        <v>178.9156118</v>
      </c>
      <c r="J626" s="1">
        <v>4.49</v>
      </c>
      <c r="K626" s="1">
        <v>5179.0</v>
      </c>
      <c r="L626" s="1" t="s">
        <v>1522</v>
      </c>
      <c r="M626" s="6" t="s">
        <v>2380</v>
      </c>
      <c r="N626" s="7" t="str">
        <f>VLOOKUP(A626, avaliacoes!A:G, 5, FALSE)</f>
        <v>Some improvement required,Not best for tracking sleep, calories burnt of heart rate.,Noise,Noise watch is good,NOISE,Noises,Bluetooth calling,Noise</v>
      </c>
      <c r="O626" s="7" t="str">
        <f>VLOOKUP(A626, avaliacoes!A:G, 6, FALSE)</f>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v>
      </c>
    </row>
    <row r="627">
      <c r="A627" s="1" t="s">
        <v>2381</v>
      </c>
      <c r="B627" s="1" t="s">
        <v>2382</v>
      </c>
      <c r="C627" s="1" t="s">
        <v>2383</v>
      </c>
      <c r="D627" s="1" t="str">
        <f t="shared" si="2"/>
        <v>Computers&amp;Accessories</v>
      </c>
      <c r="E627" s="1" t="str">
        <f t="shared" si="3"/>
        <v>ExternalDevices&amp;DataStorage</v>
      </c>
      <c r="F627" s="2">
        <v>4098.0</v>
      </c>
      <c r="G627" s="2">
        <v>4999.0</v>
      </c>
      <c r="H627" s="3">
        <f t="shared" si="4"/>
        <v>0.1802360472</v>
      </c>
      <c r="I627" s="4">
        <f>IFERROR(__xludf.DUMMYFUNCTION("GOOGLEFINANCE(""CURRENCY:INRBRL"")*F627"),244.56176683439998)</f>
        <v>244.5617668</v>
      </c>
      <c r="J627" s="1">
        <v>4.51</v>
      </c>
      <c r="K627" s="1">
        <v>5081.0</v>
      </c>
      <c r="L627" s="1" t="s">
        <v>2384</v>
      </c>
      <c r="M627" s="6" t="s">
        <v>2385</v>
      </c>
      <c r="N627" s="7" t="str">
        <f>VLOOKUP(A627, avaliacoes!A:G, 5, FALSE)</f>
        <v>Good,gud,Hard disk,Good product,Serve the purpose,Seagate portable 1TB External Hard disc,Good,Good use</v>
      </c>
      <c r="O627" s="7" t="str">
        <f>VLOOKUP(A627, avaliacoes!A:G, 6, FALSE)</f>
        <v>Good one.,gud,Hard disk is good but data cable quality poor,Finalised this product after a lot of research. It works well. Go for it.,Serve the purpose,Good one,Nice product,Still at work.</v>
      </c>
    </row>
    <row r="628">
      <c r="A628" s="1" t="s">
        <v>2386</v>
      </c>
      <c r="B628" s="1" t="s">
        <v>2387</v>
      </c>
      <c r="C628" s="1" t="s">
        <v>2388</v>
      </c>
      <c r="D628" s="1" t="str">
        <f t="shared" si="2"/>
        <v>Electronics</v>
      </c>
      <c r="E628" s="1" t="str">
        <f t="shared" si="3"/>
        <v>Cameras&amp;Photography</v>
      </c>
      <c r="F628" s="2">
        <v>499.0</v>
      </c>
      <c r="G628" s="2">
        <v>1999.0</v>
      </c>
      <c r="H628" s="3">
        <f t="shared" si="4"/>
        <v>0.7503751876</v>
      </c>
      <c r="I628" s="4">
        <f>IFERROR(__xludf.DUMMYFUNCTION("GOOGLEFINANCE(""CURRENCY:INRBRL"")*F628"),29.7794830772)</f>
        <v>29.77948308</v>
      </c>
      <c r="J628" s="1">
        <v>4.51</v>
      </c>
      <c r="K628" s="1">
        <v>3369.0</v>
      </c>
      <c r="L628" s="1" t="s">
        <v>2389</v>
      </c>
      <c r="M628" s="6" t="s">
        <v>2390</v>
      </c>
      <c r="N628" s="7" t="str">
        <f>VLOOKUP(A628, avaliacoes!A:G, 5, FALSE)</f>
        <v>Value for money, good wuality,Reliable and easy to use 👌,Good,AVARAGE PRODUCT,VGA quality!!,No mic is available in the product,Basic functions ok,Good when used in day light</v>
      </c>
      <c r="O628" s="7" t="str">
        <f>VLOOKUP(A628, avaliacoes!A:G, 6, FALSE)</f>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v>
      </c>
    </row>
    <row r="629">
      <c r="A629" s="1" t="s">
        <v>2391</v>
      </c>
      <c r="B629" s="1" t="s">
        <v>2392</v>
      </c>
      <c r="C629" s="1" t="s">
        <v>2269</v>
      </c>
      <c r="D629" s="1" t="str">
        <f t="shared" si="2"/>
        <v>Computers&amp;Accessories</v>
      </c>
      <c r="E629" s="1" t="str">
        <f t="shared" si="3"/>
        <v>Accessories&amp;Peripherals</v>
      </c>
      <c r="F629" s="2">
        <v>299.0</v>
      </c>
      <c r="G629" s="2">
        <v>449.0</v>
      </c>
      <c r="H629" s="3">
        <f t="shared" si="4"/>
        <v>0.3340757238</v>
      </c>
      <c r="I629" s="4">
        <f>IFERROR(__xludf.DUMMYFUNCTION("GOOGLEFINANCE(""CURRENCY:INRBRL"")*F629"),17.8438185172)</f>
        <v>17.84381852</v>
      </c>
      <c r="J629" s="1">
        <v>4.5</v>
      </c>
      <c r="K629" s="1">
        <v>11827.0</v>
      </c>
      <c r="L629" s="1" t="s">
        <v>2393</v>
      </c>
      <c r="M629" s="6" t="s">
        <v>2394</v>
      </c>
      <c r="N629" s="7" t="str">
        <f>VLOOKUP(A629, avaliacoes!A:G, 5, FALSE)</f>
        <v>Useful for simple use,Great product,Good,Good but not satisfying 🙂,Good product,Good product at this price.,Not for gaming,Good product.</v>
      </c>
      <c r="O629" s="7" t="str">
        <f>VLOOKUP(A629, avaliacoes!A:G, 6, FALSE)</f>
        <v>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v>
      </c>
    </row>
    <row r="630">
      <c r="A630" s="1" t="s">
        <v>32</v>
      </c>
      <c r="B630" s="1" t="s">
        <v>33</v>
      </c>
      <c r="C630" s="1" t="s">
        <v>21</v>
      </c>
      <c r="D630" s="1" t="str">
        <f t="shared" si="2"/>
        <v>Computers&amp;Accessories</v>
      </c>
      <c r="E630" s="1" t="str">
        <f t="shared" si="3"/>
        <v>Accessories&amp;Peripherals</v>
      </c>
      <c r="F630" s="2">
        <v>329.0</v>
      </c>
      <c r="G630" s="2">
        <v>699.0</v>
      </c>
      <c r="H630" s="3">
        <f t="shared" si="4"/>
        <v>0.5293276109</v>
      </c>
      <c r="I630" s="4">
        <f>IFERROR(__xludf.DUMMYFUNCTION("GOOGLEFINANCE(""CURRENCY:INRBRL"")*F630"),19.634168201199998)</f>
        <v>19.6341682</v>
      </c>
      <c r="J630" s="1">
        <v>4.5</v>
      </c>
      <c r="K630" s="1">
        <v>94364.0</v>
      </c>
      <c r="L630" s="1" t="s">
        <v>34</v>
      </c>
      <c r="M630" s="6" t="s">
        <v>2395</v>
      </c>
      <c r="N630" s="7" t="str">
        <f>VLOOKUP(A630, avaliacoes!A:G, 5, FALSE)</f>
        <v>Good product,Good one,Nice,Really nice product,Very first time change,Good,Fine product but could be better,Very nice it's charging like jet</v>
      </c>
      <c r="O630" s="7" t="str">
        <f>VLOOKUP(A630,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row>
    <row r="631">
      <c r="A631" s="1" t="s">
        <v>2396</v>
      </c>
      <c r="B631" s="1" t="s">
        <v>2397</v>
      </c>
      <c r="C631" s="1" t="s">
        <v>2375</v>
      </c>
      <c r="D631" s="1" t="str">
        <f t="shared" si="2"/>
        <v>Computers&amp;Accessories</v>
      </c>
      <c r="E631" s="1" t="str">
        <f t="shared" si="3"/>
        <v>Accessories&amp;Peripherals</v>
      </c>
      <c r="F631" s="2">
        <v>699.0</v>
      </c>
      <c r="G631" s="2">
        <v>999.0</v>
      </c>
      <c r="H631" s="3">
        <f t="shared" si="4"/>
        <v>0.3003003003</v>
      </c>
      <c r="I631" s="4">
        <f>IFERROR(__xludf.DUMMYFUNCTION("GOOGLEFINANCE(""CURRENCY:INRBRL"")*F631"),41.7151476372)</f>
        <v>41.71514764</v>
      </c>
      <c r="J631" s="1">
        <v>4.5</v>
      </c>
      <c r="K631" s="1">
        <v>15295.0</v>
      </c>
      <c r="L631" s="1" t="s">
        <v>2398</v>
      </c>
      <c r="M631" s="6" t="s">
        <v>2399</v>
      </c>
      <c r="N631" s="7" t="str">
        <f>VLOOKUP(A631, avaliacoes!A:G, 5, FALSE)</f>
        <v>Worth Buying !,Good one for the offered price,Good one in that budget,Good one.,best at that price.,good,Ok,Very good product</v>
      </c>
      <c r="O631" s="7" t="str">
        <f>VLOOKUP(A631, avaliacoes!A:G, 6, FALSE)</f>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v>
      </c>
    </row>
    <row r="632">
      <c r="A632" s="1" t="s">
        <v>2400</v>
      </c>
      <c r="B632" s="1" t="s">
        <v>2401</v>
      </c>
      <c r="C632" s="1" t="s">
        <v>2402</v>
      </c>
      <c r="D632" s="1" t="str">
        <f t="shared" si="2"/>
        <v>Electronics</v>
      </c>
      <c r="E632" s="1" t="str">
        <f t="shared" si="3"/>
        <v>Cameras&amp;Photography</v>
      </c>
      <c r="F632" s="2">
        <v>799.0</v>
      </c>
      <c r="G632" s="2">
        <v>3999.0</v>
      </c>
      <c r="H632" s="3">
        <f t="shared" si="4"/>
        <v>0.80020005</v>
      </c>
      <c r="I632" s="4">
        <f>IFERROR(__xludf.DUMMYFUNCTION("GOOGLEFINANCE(""CURRENCY:INRBRL"")*F632"),47.682979917199994)</f>
        <v>47.68297992</v>
      </c>
      <c r="J632" s="1">
        <v>4.5</v>
      </c>
      <c r="K632" s="1">
        <v>27139.0</v>
      </c>
      <c r="L632" s="1" t="s">
        <v>2403</v>
      </c>
      <c r="M632" s="6" t="s">
        <v>2404</v>
      </c>
      <c r="N632" s="7" t="str">
        <f>VLOOKUP(A632, avaliacoes!A:G, 5, FALSE)</f>
        <v>Very Good for Beginners,Light weight &amp; sturdy,Product is good and light weight.,Excellent,Easy to use and light weight to carry,Superb tripod, I'm happy🙂,good product,Ok Good</v>
      </c>
      <c r="O632" s="7" t="str">
        <f>VLOOKUP(A632, avaliacoes!A:G, 6, FALSE)</f>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v>
      </c>
    </row>
    <row r="633">
      <c r="A633" s="1" t="s">
        <v>2405</v>
      </c>
      <c r="B633" s="1" t="s">
        <v>2406</v>
      </c>
      <c r="C633" s="1" t="s">
        <v>1411</v>
      </c>
      <c r="D633" s="1" t="str">
        <f t="shared" si="2"/>
        <v>Electronics</v>
      </c>
      <c r="E633" s="1" t="str">
        <f t="shared" si="3"/>
        <v>Headphones,Earbuds&amp;Accessories</v>
      </c>
      <c r="F633" s="2">
        <v>1399.0</v>
      </c>
      <c r="G633" s="2">
        <v>5499.0</v>
      </c>
      <c r="H633" s="3">
        <f t="shared" si="4"/>
        <v>0.7455901073</v>
      </c>
      <c r="I633" s="4">
        <f>IFERROR(__xludf.DUMMYFUNCTION("GOOGLEFINANCE(""CURRENCY:INRBRL"")*F633"),83.48997359719999)</f>
        <v>83.4899736</v>
      </c>
      <c r="J633" s="1">
        <v>4.52</v>
      </c>
      <c r="K633" s="1">
        <v>9504.0</v>
      </c>
      <c r="L633" s="1" t="s">
        <v>2407</v>
      </c>
      <c r="M633" s="6" t="s">
        <v>2408</v>
      </c>
      <c r="N633" s="7" t="str">
        <f>VLOOKUP(A633, avaliacoes!A:G, 5, FALSE)</f>
        <v>Best to use wid like any phone.....it has great range,Good in this budget,Good,Very good for music lovers,Nice product,Boult audio airbass z20 review,Good product impressive,Worth of buying</v>
      </c>
      <c r="O633" s="7" t="str">
        <f>VLOOKUP(A633, avaliacoes!A:G, 6, FALSE)</f>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v>
      </c>
    </row>
    <row r="634">
      <c r="A634" s="1" t="s">
        <v>36</v>
      </c>
      <c r="B634" s="1" t="s">
        <v>37</v>
      </c>
      <c r="C634" s="1" t="s">
        <v>21</v>
      </c>
      <c r="D634" s="1" t="str">
        <f t="shared" si="2"/>
        <v>Computers&amp;Accessories</v>
      </c>
      <c r="E634" s="1" t="str">
        <f t="shared" si="3"/>
        <v>Accessories&amp;Peripherals</v>
      </c>
      <c r="F634" s="2">
        <v>154.0</v>
      </c>
      <c r="G634" s="2">
        <v>399.0</v>
      </c>
      <c r="H634" s="3">
        <f t="shared" si="4"/>
        <v>0.6140350877</v>
      </c>
      <c r="I634" s="4">
        <f>IFERROR(__xludf.DUMMYFUNCTION("GOOGLEFINANCE(""CURRENCY:INRBRL"")*F634"),9.1904617112)</f>
        <v>9.190461711</v>
      </c>
      <c r="J634" s="1">
        <v>4.5</v>
      </c>
      <c r="K634" s="1">
        <v>16905.0</v>
      </c>
      <c r="L634" s="1" t="s">
        <v>38</v>
      </c>
      <c r="M634" s="6" t="s">
        <v>2409</v>
      </c>
      <c r="N634" s="7" t="str">
        <f>VLOOKUP(A634, avaliacoes!A:G, 5, FALSE)</f>
        <v>As good as original,Decent,Good one for secondary use,Best quality,GOOD,Amazing product at a mind blowing price!,Nice Quality,Good product</v>
      </c>
      <c r="O634" s="7" t="str">
        <f>VLOOKUP(A634, avaliacoes!A:G,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row>
    <row r="635">
      <c r="A635" s="1" t="s">
        <v>2410</v>
      </c>
      <c r="B635" s="1" t="s">
        <v>2411</v>
      </c>
      <c r="C635" s="1" t="s">
        <v>2264</v>
      </c>
      <c r="D635" s="1" t="str">
        <f t="shared" si="2"/>
        <v>Computers&amp;Accessories</v>
      </c>
      <c r="E635" s="1" t="str">
        <f t="shared" si="3"/>
        <v>ExternalDevices&amp;DataStorage</v>
      </c>
      <c r="F635" s="2">
        <v>519.0</v>
      </c>
      <c r="G635" s="2">
        <v>1359.0</v>
      </c>
      <c r="H635" s="3">
        <f t="shared" si="4"/>
        <v>0.6181015453</v>
      </c>
      <c r="I635" s="4">
        <f>IFERROR(__xludf.DUMMYFUNCTION("GOOGLEFINANCE(""CURRENCY:INRBRL"")*F635"),30.973049533199998)</f>
        <v>30.97304953</v>
      </c>
      <c r="J635" s="1">
        <v>4.5</v>
      </c>
      <c r="K635" s="1">
        <v>30058.0</v>
      </c>
      <c r="L635" s="1" t="s">
        <v>2412</v>
      </c>
      <c r="M635" s="6" t="s">
        <v>2413</v>
      </c>
      <c r="N635" s="7" t="str">
        <f>VLOOKUP(A635, avaliacoes!A:G, 5, FALSE)</f>
        <v>Great pendrive,Value for money,Good,Kaafi slow hai, heating issue bhi hai,Good and fast drive,It is best pendrive at this prize.,Satisfactory with a bit heating issue.,Average</v>
      </c>
      <c r="O635" s="7" t="str">
        <f>VLOOKUP(A635, avaliacoes!A:G, 6, FALSE)</f>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v>
      </c>
    </row>
    <row r="636">
      <c r="A636" s="1" t="s">
        <v>1581</v>
      </c>
      <c r="B636" s="1" t="s">
        <v>1582</v>
      </c>
      <c r="C636" s="1" t="s">
        <v>1356</v>
      </c>
      <c r="D636" s="1" t="str">
        <f t="shared" si="2"/>
        <v>Electronics</v>
      </c>
      <c r="E636" s="1" t="str">
        <f t="shared" si="3"/>
        <v>WearableTechnology</v>
      </c>
      <c r="F636" s="2">
        <v>2299.0</v>
      </c>
      <c r="G636" s="2">
        <v>7990.0</v>
      </c>
      <c r="H636" s="3">
        <f t="shared" si="4"/>
        <v>0.7122653317</v>
      </c>
      <c r="I636" s="4">
        <f>IFERROR(__xludf.DUMMYFUNCTION("GOOGLEFINANCE(""CURRENCY:INRBRL"")*F636"),137.2004641172)</f>
        <v>137.2004641</v>
      </c>
      <c r="J636" s="1">
        <v>4.5</v>
      </c>
      <c r="K636" s="1">
        <v>69619.0</v>
      </c>
      <c r="L636" s="1" t="s">
        <v>1583</v>
      </c>
      <c r="M636" s="6" t="s">
        <v>2414</v>
      </c>
      <c r="N636" s="7" t="str">
        <f>VLOOKUP(A636, avaliacoes!A:G, 5, FALSE)</f>
        <v>Best Budget watch,MERA WAQT BADAL KE RAKH DIYA!!,Nice product and user friendly compare to other smart watch,Nice watch...,Vikas,Nice,Not worth it,Grt</v>
      </c>
      <c r="O636" s="7" t="str">
        <f>VLOOKUP(A636, avaliacoes!A:G, 6, FALSE)</f>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v>
      </c>
    </row>
    <row r="637">
      <c r="A637" s="1" t="s">
        <v>1585</v>
      </c>
      <c r="B637" s="1" t="s">
        <v>1586</v>
      </c>
      <c r="C637" s="1" t="s">
        <v>1587</v>
      </c>
      <c r="D637" s="1" t="str">
        <f t="shared" si="2"/>
        <v>Electronics</v>
      </c>
      <c r="E637" s="1" t="str">
        <f t="shared" si="3"/>
        <v>Mobiles&amp;Accessories</v>
      </c>
      <c r="F637" s="2">
        <v>399.0</v>
      </c>
      <c r="G637" s="2">
        <v>1999.0</v>
      </c>
      <c r="H637" s="3">
        <f t="shared" si="4"/>
        <v>0.8004002001</v>
      </c>
      <c r="I637" s="4">
        <f>IFERROR(__xludf.DUMMYFUNCTION("GOOGLEFINANCE(""CURRENCY:INRBRL"")*F637"),23.8116507972)</f>
        <v>23.8116508</v>
      </c>
      <c r="J637" s="1">
        <v>4.0</v>
      </c>
      <c r="K637" s="1">
        <v>3382.0</v>
      </c>
      <c r="L637" s="1" t="s">
        <v>1588</v>
      </c>
      <c r="M637" s="6" t="s">
        <v>2415</v>
      </c>
      <c r="N637" s="7" t="str">
        <f>VLOOKUP(A637, avaliacoes!A:G, 5, FALSE)</f>
        <v>Value for Money,After 1 month usage review,Good product,Product is good and light weight.,Good product,Nice product.Bluetooth option Is good,Can go for it, not much stable but a decent product,Seems to be a good product by first use</v>
      </c>
      <c r="O637" s="7" t="str">
        <f>VLOOKUP(A637, avaliacoes!A:G, 6, FALSE)</f>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v>
      </c>
    </row>
    <row r="638">
      <c r="A638" s="1" t="s">
        <v>2416</v>
      </c>
      <c r="B638" s="1" t="s">
        <v>2417</v>
      </c>
      <c r="C638" s="1" t="s">
        <v>1411</v>
      </c>
      <c r="D638" s="1" t="str">
        <f t="shared" si="2"/>
        <v>Electronics</v>
      </c>
      <c r="E638" s="1" t="str">
        <f t="shared" si="3"/>
        <v>Headphones,Earbuds&amp;Accessories</v>
      </c>
      <c r="F638" s="2">
        <v>1499.0</v>
      </c>
      <c r="G638" s="2">
        <v>3999.0</v>
      </c>
      <c r="H638" s="3">
        <f t="shared" si="4"/>
        <v>0.6251562891</v>
      </c>
      <c r="I638" s="4">
        <f>IFERROR(__xludf.DUMMYFUNCTION("GOOGLEFINANCE(""CURRENCY:INRBRL"")*F638"),89.45780587719999)</f>
        <v>89.45780588</v>
      </c>
      <c r="J638" s="1">
        <v>4.49</v>
      </c>
      <c r="K638" s="1">
        <v>1090864.0</v>
      </c>
      <c r="L638" s="1" t="s">
        <v>2418</v>
      </c>
      <c r="M638" s="6" t="s">
        <v>2419</v>
      </c>
      <c r="N638" s="7" t="str">
        <f>VLOOKUP(A638, avaliacoes!A:G, 5, FALSE)</f>
        <v>First day impressions: A BEAST!,A decent all rounder.,All good but multiple pairing is awful,Good Product by BoAt,Good Product (but Not well-finished) at a Fair Price of 1599</v>
      </c>
      <c r="O638" s="7" t="str">
        <f>VLOOKUP(A638, avaliacoes!A:G, 6, FALSE)</f>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v>
      </c>
    </row>
    <row r="639">
      <c r="A639" s="1" t="s">
        <v>2420</v>
      </c>
      <c r="B639" s="1" t="s">
        <v>2421</v>
      </c>
      <c r="C639" s="1" t="s">
        <v>2422</v>
      </c>
      <c r="D639" s="1" t="str">
        <f t="shared" si="2"/>
        <v>OfficeProducts</v>
      </c>
      <c r="E639" s="1" t="str">
        <f t="shared" si="3"/>
        <v>OfficeElectronics</v>
      </c>
      <c r="F639" s="2">
        <v>1295.0</v>
      </c>
      <c r="G639" s="2">
        <v>1295.0</v>
      </c>
      <c r="H639" s="3">
        <f t="shared" si="4"/>
        <v>0</v>
      </c>
      <c r="I639" s="4">
        <f>IFERROR(__xludf.DUMMYFUNCTION("GOOGLEFINANCE(""CURRENCY:INRBRL"")*F639"),77.283428026)</f>
        <v>77.28342803</v>
      </c>
      <c r="J639" s="1">
        <v>4.51</v>
      </c>
      <c r="K639" s="1">
        <v>576.0</v>
      </c>
      <c r="L639" s="1" t="s">
        <v>2423</v>
      </c>
      <c r="M639" s="6" t="s">
        <v>2424</v>
      </c>
      <c r="N639" s="7" t="str">
        <f>VLOOKUP(A639, avaliacoes!A:G, 5, FALSE)</f>
        <v>Nice,Good and light calculator,Cheap buttons,Good calculator,Good product thanks Amazon,Super dealing,Function,Ok</v>
      </c>
      <c r="O639" s="7" t="str">
        <f>VLOOKUP(A639, avaliacoes!A:G, 6, FALSE)</f>
        <v>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v>
      </c>
    </row>
    <row r="640">
      <c r="A640" s="1" t="s">
        <v>2425</v>
      </c>
      <c r="B640" s="1" t="s">
        <v>2426</v>
      </c>
      <c r="C640" s="1" t="s">
        <v>2427</v>
      </c>
      <c r="D640" s="1" t="str">
        <f t="shared" si="2"/>
        <v>Computers&amp;Accessories</v>
      </c>
      <c r="E640" s="1" t="str">
        <f t="shared" si="3"/>
        <v>NetworkingDevices</v>
      </c>
      <c r="F640" s="2">
        <v>1889.0</v>
      </c>
      <c r="G640" s="2">
        <v>5499.0</v>
      </c>
      <c r="H640" s="3">
        <f t="shared" si="4"/>
        <v>0.6564829969</v>
      </c>
      <c r="I640" s="4">
        <f>IFERROR(__xludf.DUMMYFUNCTION("GOOGLEFINANCE(""CURRENCY:INRBRL"")*F640"),112.7323517692)</f>
        <v>112.7323518</v>
      </c>
      <c r="J640" s="1">
        <v>4.5</v>
      </c>
      <c r="K640" s="1">
        <v>49551.0</v>
      </c>
      <c r="L640" s="1" t="s">
        <v>2428</v>
      </c>
      <c r="M640" s="6" t="s">
        <v>2429</v>
      </c>
      <c r="N640" s="7" t="str">
        <f>VLOOKUP(A640, avaliacoes!A:G, 5, FALSE)</f>
        <v>Works as advertised,Good product,good,The Product works as described and is super useful,Not good range,Goog item,Does increases range and speed of Internet,ONE TIME INVESTMENT</v>
      </c>
      <c r="O640" s="7" t="str">
        <f>VLOOKUP(A640, avaliacoes!A:G, 6, FALSE)</f>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v>
      </c>
    </row>
    <row r="641">
      <c r="A641" s="1" t="s">
        <v>2430</v>
      </c>
      <c r="B641" s="1" t="s">
        <v>2431</v>
      </c>
      <c r="C641" s="1" t="s">
        <v>1411</v>
      </c>
      <c r="D641" s="1" t="str">
        <f t="shared" si="2"/>
        <v>Electronics</v>
      </c>
      <c r="E641" s="1" t="str">
        <f t="shared" si="3"/>
        <v>Headphones,Earbuds&amp;Accessories</v>
      </c>
      <c r="F641" s="2">
        <v>455.0</v>
      </c>
      <c r="G641" s="2">
        <v>1490.0</v>
      </c>
      <c r="H641" s="3">
        <f t="shared" si="4"/>
        <v>0.6946308725</v>
      </c>
      <c r="I641" s="4">
        <f>IFERROR(__xludf.DUMMYFUNCTION("GOOGLEFINANCE(""CURRENCY:INRBRL"")*F641"),27.153636873999996)</f>
        <v>27.15363687</v>
      </c>
      <c r="J641" s="1">
        <v>4.49</v>
      </c>
      <c r="K641" s="1">
        <v>161677.0</v>
      </c>
      <c r="L641" s="1" t="s">
        <v>2432</v>
      </c>
      <c r="M641" s="6" t="s">
        <v>2433</v>
      </c>
      <c r="N641" s="7" t="str">
        <f>VLOOKUP(A641, avaliacoes!A:G, 5, FALSE)</f>
        <v>Good Sound,Not bad,Some what satisfied with the boat 242--- 4.5/5,Outstanding fantastic,Good purchase,Nice product,Good quality,Best gaming earphone</v>
      </c>
      <c r="O641" s="7" t="str">
        <f>VLOOKUP(A641, avaliacoes!A:G, 6, FALSE)</f>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v>
      </c>
    </row>
    <row r="642">
      <c r="A642" s="1" t="s">
        <v>2434</v>
      </c>
      <c r="B642" s="1" t="s">
        <v>2435</v>
      </c>
      <c r="C642" s="1" t="s">
        <v>2436</v>
      </c>
      <c r="D642" s="1" t="str">
        <f t="shared" si="2"/>
        <v>Electronics</v>
      </c>
      <c r="E642" s="1" t="str">
        <f t="shared" si="3"/>
        <v>Cameras&amp;Photography</v>
      </c>
      <c r="F642" s="2">
        <v>399.0</v>
      </c>
      <c r="G642" s="2">
        <v>995.0</v>
      </c>
      <c r="H642" s="3">
        <f t="shared" si="4"/>
        <v>0.5989949749</v>
      </c>
      <c r="I642" s="4">
        <f>IFERROR(__xludf.DUMMYFUNCTION("GOOGLEFINANCE(""CURRENCY:INRBRL"")*F642"),23.8116507972)</f>
        <v>23.8116508</v>
      </c>
      <c r="J642" s="1">
        <v>4.52</v>
      </c>
      <c r="K642" s="1">
        <v>21372.0</v>
      </c>
      <c r="L642" s="1" t="s">
        <v>2437</v>
      </c>
      <c r="M642" s="6" t="s">
        <v>2438</v>
      </c>
      <c r="N642" s="7" t="str">
        <f>VLOOKUP(A642, avaliacoes!A:G, 5, FALSE)</f>
        <v>Fantastic Cute Tripod, **Detailed Review**,Worth it purchase...,Good,Good But Could Be More Better.,Camera / phone holder is not stable  🛑 NOT VALUE FOR 💸💰,Good tripod for mobiles, cheap and beginner friendly.,Very good,Satisfactory</v>
      </c>
      <c r="O642" s="7" t="str">
        <f>VLOOKUP(A642, avaliacoes!A:G, 6, FALSE)</f>
        <v>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v>
      </c>
    </row>
    <row r="643">
      <c r="A643" s="1" t="s">
        <v>1590</v>
      </c>
      <c r="B643" s="1" t="s">
        <v>1591</v>
      </c>
      <c r="C643" s="1" t="s">
        <v>1393</v>
      </c>
      <c r="D643" s="1" t="str">
        <f t="shared" si="2"/>
        <v>Electronics</v>
      </c>
      <c r="E643" s="1" t="str">
        <f t="shared" si="3"/>
        <v>Accessories</v>
      </c>
      <c r="F643" s="2">
        <v>1059.0</v>
      </c>
      <c r="G643" s="2">
        <v>3999.0</v>
      </c>
      <c r="H643" s="3">
        <f t="shared" si="4"/>
        <v>0.7351837959</v>
      </c>
      <c r="I643" s="4">
        <f>IFERROR(__xludf.DUMMYFUNCTION("GOOGLEFINANCE(""CURRENCY:INRBRL"")*F643"),63.1993438452)</f>
        <v>63.19934385</v>
      </c>
      <c r="J643" s="1">
        <v>4.5</v>
      </c>
      <c r="K643" s="1">
        <v>140035.0</v>
      </c>
      <c r="L643" s="1" t="s">
        <v>1592</v>
      </c>
      <c r="M643" s="6" t="s">
        <v>2439</v>
      </c>
      <c r="N643" s="7" t="str">
        <f>VLOOKUP(A643, avaliacoes!A:G, 5, FALSE)</f>
        <v>Good deal,Looking is fake product... Storage capacity 58gb.. Menstion64gb.,A nice gadget.,Nice and good,Trusted brand,with adapter!,I liked it's performance and quality.,Good quality,Worth it</v>
      </c>
      <c r="O643" s="7" t="str">
        <f>VLOOKUP(A643, avaliacoes!A:G,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row>
    <row r="644">
      <c r="A644" s="1" t="s">
        <v>40</v>
      </c>
      <c r="B644" s="1" t="s">
        <v>41</v>
      </c>
      <c r="C644" s="1" t="s">
        <v>21</v>
      </c>
      <c r="D644" s="1" t="str">
        <f t="shared" si="2"/>
        <v>Computers&amp;Accessories</v>
      </c>
      <c r="E644" s="1" t="str">
        <f t="shared" si="3"/>
        <v>Accessories&amp;Peripherals</v>
      </c>
      <c r="F644" s="2">
        <v>149.0</v>
      </c>
      <c r="G644" s="2">
        <v>999.0</v>
      </c>
      <c r="H644" s="3">
        <f t="shared" si="4"/>
        <v>0.8508508509</v>
      </c>
      <c r="I644" s="4">
        <f>IFERROR(__xludf.DUMMYFUNCTION("GOOGLEFINANCE(""CURRENCY:INRBRL"")*F644"),8.8920700972)</f>
        <v>8.892070097</v>
      </c>
      <c r="J644" s="1">
        <v>4.52</v>
      </c>
      <c r="K644" s="1">
        <v>2487.0</v>
      </c>
      <c r="L644" s="1" t="s">
        <v>42</v>
      </c>
      <c r="M644" s="6" t="s">
        <v>2440</v>
      </c>
      <c r="N644" s="7" t="str">
        <f>VLOOKUP(A644, avaliacoes!A:G, 5, FALSE)</f>
        <v>It's pretty good,Average quality,very good and useful usb cable,Good USB cable. My experience was very good it is long lasting,Good,Nice product and useful,-,Sturdy but does not support 33w charging</v>
      </c>
      <c r="O644" s="7" t="str">
        <f>VLOOKUP(A644, avaliacoes!A:G, 6, FALSE)</f>
        <v>It's a good product.,Like,Very good item strong and useful USB cableValue for moneyThanks to amazon and producer,https://m.media-amazon.com/images/I/51112ZRE-1L._SY88.jpg,Good,Nice product and useful product,-,Sturdy but does not support 33w charging</v>
      </c>
    </row>
    <row r="645">
      <c r="A645" s="1" t="s">
        <v>2441</v>
      </c>
      <c r="B645" s="1" t="s">
        <v>2442</v>
      </c>
      <c r="C645" s="1" t="s">
        <v>2443</v>
      </c>
      <c r="D645" s="1" t="str">
        <f t="shared" si="2"/>
        <v>Computers&amp;Accessories</v>
      </c>
      <c r="E645" s="1" t="str">
        <f t="shared" si="3"/>
        <v>Printers,Inks&amp;Accessories</v>
      </c>
      <c r="F645" s="2">
        <v>717.0</v>
      </c>
      <c r="G645" s="2">
        <v>761.0</v>
      </c>
      <c r="H645" s="3">
        <f t="shared" si="4"/>
        <v>0.05781865966</v>
      </c>
      <c r="I645" s="4">
        <f>IFERROR(__xludf.DUMMYFUNCTION("GOOGLEFINANCE(""CURRENCY:INRBRL"")*F645"),42.7893574476)</f>
        <v>42.78935745</v>
      </c>
      <c r="J645" s="1">
        <v>4.0</v>
      </c>
      <c r="K645" s="1">
        <v>7199.0</v>
      </c>
      <c r="L645" s="1" t="s">
        <v>2444</v>
      </c>
      <c r="M645" s="6" t="s">
        <v>2445</v>
      </c>
      <c r="N645" s="7" t="str">
        <f>VLOOKUP(A645, avaliacoes!A:G, 5, FALSE)</f>
        <v>Best.,Price is high,Trusted and genuine HP ink cartridge.,SENT A PACKET WITH THE SEAL ALREADY OPENED.AND THE CARTRIDGE FOUND TO BE DUPLICATE/FAULTY/USED ONE.,Compatibility,Product is good  but price is to high,Good,Okay</v>
      </c>
      <c r="O645" s="7" t="str">
        <f>VLOOKUP(A645, avaliacoes!A:G, 6, FALSE)</f>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v>
      </c>
    </row>
    <row r="646">
      <c r="A646" s="1" t="s">
        <v>1628</v>
      </c>
      <c r="B646" s="1" t="s">
        <v>1629</v>
      </c>
      <c r="C646" s="1" t="s">
        <v>1630</v>
      </c>
      <c r="D646" s="1" t="str">
        <f t="shared" si="2"/>
        <v>Computers&amp;Accessories</v>
      </c>
      <c r="E646" s="1" t="str">
        <f t="shared" si="3"/>
        <v>Accessories&amp;Peripherals</v>
      </c>
      <c r="F646" s="2">
        <v>99.0</v>
      </c>
      <c r="G646" s="2">
        <v>999.0</v>
      </c>
      <c r="H646" s="3">
        <f t="shared" si="4"/>
        <v>0.9009009009</v>
      </c>
      <c r="I646" s="4">
        <f>IFERROR(__xludf.DUMMYFUNCTION("GOOGLEFINANCE(""CURRENCY:INRBRL"")*F646"),5.9081539572)</f>
        <v>5.908153957</v>
      </c>
      <c r="J646" s="1">
        <v>4.0</v>
      </c>
      <c r="K646" s="1">
        <v>1396.0</v>
      </c>
      <c r="L646" s="1" t="s">
        <v>1631</v>
      </c>
      <c r="M646" s="6" t="s">
        <v>2446</v>
      </c>
      <c r="N646" s="7" t="str">
        <f>VLOOKUP(A646, avaliacoes!A:G, 5, FALSE)</f>
        <v>Nice and soft product,IN PICTURE SHOWS AS 16 NOS BUT IN COVER ONLY 8 NOS,Usefull! Bought 3 packs in Rs 99 each containing 4 pieces,Quality Product at affordable price,It helps to hold the joints. But not from the USB level,Very third grade quality,Only two packs came,Cool Product</v>
      </c>
      <c r="O646" s="7" t="str">
        <f>VLOOKUP(A646, avaliacoes!A:G, 6, FALSE)</f>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v>
      </c>
    </row>
    <row r="647">
      <c r="A647" s="1" t="s">
        <v>2447</v>
      </c>
      <c r="B647" s="1" t="s">
        <v>2448</v>
      </c>
      <c r="C647" s="1" t="s">
        <v>2449</v>
      </c>
      <c r="D647" s="1" t="str">
        <f t="shared" si="2"/>
        <v>Computers&amp;Accessories</v>
      </c>
      <c r="E647" s="1" t="str">
        <f t="shared" si="3"/>
        <v>Accessories&amp;Peripherals</v>
      </c>
      <c r="F647" s="2">
        <v>39.0</v>
      </c>
      <c r="G647" s="2">
        <v>299.0</v>
      </c>
      <c r="H647" s="3">
        <f t="shared" si="4"/>
        <v>0.8695652174</v>
      </c>
      <c r="I647" s="4">
        <f>IFERROR(__xludf.DUMMYFUNCTION("GOOGLEFINANCE(""CURRENCY:INRBRL"")*F647"),2.3274545892)</f>
        <v>2.327454589</v>
      </c>
      <c r="J647" s="1">
        <v>4.5</v>
      </c>
      <c r="K647" s="1">
        <v>15233.0</v>
      </c>
      <c r="L647" s="1" t="s">
        <v>2450</v>
      </c>
      <c r="M647" s="6" t="s">
        <v>2451</v>
      </c>
      <c r="N647" s="7" t="str">
        <f>VLOOKUP(A647, avaliacoes!A:G, 5, FALSE)</f>
        <v>Good,Affordable and best,Check the size !,value for money,Reached too late,Not good for keyboard. Not transparent,Not bad but,Big size</v>
      </c>
      <c r="O647" s="7" t="str">
        <f>VLOOKUP(A647, avaliacoes!A:G, 6, FALSE)</f>
        <v>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v>
      </c>
    </row>
    <row r="648">
      <c r="A648" s="1" t="s">
        <v>2452</v>
      </c>
      <c r="B648" s="1" t="s">
        <v>2453</v>
      </c>
      <c r="C648" s="1" t="s">
        <v>2264</v>
      </c>
      <c r="D648" s="1" t="str">
        <f t="shared" si="2"/>
        <v>Computers&amp;Accessories</v>
      </c>
      <c r="E648" s="1" t="str">
        <f t="shared" si="3"/>
        <v>ExternalDevices&amp;DataStorage</v>
      </c>
      <c r="F648" s="2">
        <v>889.0</v>
      </c>
      <c r="G648" s="2">
        <v>2499.0</v>
      </c>
      <c r="H648" s="3">
        <f t="shared" si="4"/>
        <v>0.6442577031</v>
      </c>
      <c r="I648" s="4">
        <f>IFERROR(__xludf.DUMMYFUNCTION("GOOGLEFINANCE(""CURRENCY:INRBRL"")*F648"),53.0540289692)</f>
        <v>53.05402897</v>
      </c>
      <c r="J648" s="1">
        <v>4.5</v>
      </c>
      <c r="K648" s="1">
        <v>55747.0</v>
      </c>
      <c r="L648" s="1" t="s">
        <v>2454</v>
      </c>
      <c r="M648" s="6" t="s">
        <v>2455</v>
      </c>
      <c r="N648" s="7" t="str">
        <f>VLOOKUP(A648, avaliacoes!A:G, 5, FALSE)</f>
        <v>Speed is not as expected.,SanDisk Ultra 128 GB USB 3.0 Pen Drive,Good,Good,Nice product,Good but....,Nice but slow,some glich happening otherwise good</v>
      </c>
      <c r="O648" s="7" t="str">
        <f>VLOOKUP(A648, avaliacoes!A:G, 6, FALSE)</f>
        <v>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v>
      </c>
    </row>
    <row r="649">
      <c r="A649" s="1" t="s">
        <v>2456</v>
      </c>
      <c r="B649" s="1" t="s">
        <v>2457</v>
      </c>
      <c r="C649" s="1" t="s">
        <v>1411</v>
      </c>
      <c r="D649" s="1" t="str">
        <f t="shared" si="2"/>
        <v>Electronics</v>
      </c>
      <c r="E649" s="1" t="str">
        <f t="shared" si="3"/>
        <v>Headphones,Earbuds&amp;Accessories</v>
      </c>
      <c r="F649" s="2">
        <v>1199.0</v>
      </c>
      <c r="G649" s="2">
        <v>4999.0</v>
      </c>
      <c r="H649" s="3">
        <f t="shared" si="4"/>
        <v>0.7601520304</v>
      </c>
      <c r="I649" s="4">
        <f>IFERROR(__xludf.DUMMYFUNCTION("GOOGLEFINANCE(""CURRENCY:INRBRL"")*F649"),71.5543090372)</f>
        <v>71.55430904</v>
      </c>
      <c r="J649" s="1">
        <v>4.51</v>
      </c>
      <c r="K649" s="1">
        <v>14961.0</v>
      </c>
      <c r="L649" s="1" t="s">
        <v>2458</v>
      </c>
      <c r="M649" s="6" t="s">
        <v>2459</v>
      </c>
      <c r="N649" s="7" t="str">
        <f>VLOOKUP(A649, avaliacoes!A:G, 5, FALSE)</f>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v>
      </c>
      <c r="O649" s="7" t="str">
        <f>VLOOKUP(A649, avaliacoes!A:G, 6, FALSE)</f>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v>
      </c>
    </row>
    <row r="650">
      <c r="A650" s="1" t="s">
        <v>2460</v>
      </c>
      <c r="B650" s="1" t="s">
        <v>2461</v>
      </c>
      <c r="C650" s="1" t="s">
        <v>2269</v>
      </c>
      <c r="D650" s="1" t="str">
        <f t="shared" si="2"/>
        <v>Computers&amp;Accessories</v>
      </c>
      <c r="E650" s="1" t="str">
        <f t="shared" si="3"/>
        <v>Accessories&amp;Peripherals</v>
      </c>
      <c r="F650" s="2">
        <v>569.0</v>
      </c>
      <c r="G650" s="2">
        <v>1299.0</v>
      </c>
      <c r="H650" s="3">
        <f t="shared" si="4"/>
        <v>0.5619707467</v>
      </c>
      <c r="I650" s="4">
        <f>IFERROR(__xludf.DUMMYFUNCTION("GOOGLEFINANCE(""CURRENCY:INRBRL"")*F650"),33.956965673199996)</f>
        <v>33.95696567</v>
      </c>
      <c r="J650" s="1">
        <v>4.5</v>
      </c>
      <c r="K650" s="1">
        <v>9275.0</v>
      </c>
      <c r="L650" s="1" t="s">
        <v>2462</v>
      </c>
      <c r="M650" s="6" t="s">
        <v>2463</v>
      </c>
      <c r="N650" s="7" t="str">
        <f>VLOOKUP(A650, avaliacoes!A:G, 5, FALSE)</f>
        <v>It's is working is super,one of the most good product,A good prduct.,Scroller,Fully satisfaction thank you so much,Usage is easy,Good product,Overall the mouse is good.</v>
      </c>
      <c r="O650" s="7" t="str">
        <f>VLOOKUP(A650, avaliacoes!A:G, 6, FALSE)</f>
        <v>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v>
      </c>
    </row>
    <row r="651">
      <c r="A651" s="1" t="s">
        <v>2464</v>
      </c>
      <c r="B651" s="1" t="s">
        <v>2465</v>
      </c>
      <c r="C651" s="1" t="s">
        <v>1411</v>
      </c>
      <c r="D651" s="1" t="str">
        <f t="shared" si="2"/>
        <v>Electronics</v>
      </c>
      <c r="E651" s="1" t="str">
        <f t="shared" si="3"/>
        <v>Headphones,Earbuds&amp;Accessories</v>
      </c>
      <c r="F651" s="2">
        <v>1499.0</v>
      </c>
      <c r="G651" s="2">
        <v>8999.0</v>
      </c>
      <c r="H651" s="3">
        <f t="shared" si="4"/>
        <v>0.8334259362</v>
      </c>
      <c r="I651" s="4">
        <f>IFERROR(__xludf.DUMMYFUNCTION("GOOGLEFINANCE(""CURRENCY:INRBRL"")*F651"),89.45780587719999)</f>
        <v>89.45780588</v>
      </c>
      <c r="J651" s="1">
        <v>4.51</v>
      </c>
      <c r="K651" s="1">
        <v>28324.0</v>
      </c>
      <c r="L651" s="1" t="s">
        <v>2466</v>
      </c>
      <c r="M651" s="6" t="s">
        <v>2467</v>
      </c>
      <c r="N651" s="7" t="str">
        <f>VLOOKUP(A651, avaliacoes!A:G, 5, FALSE)</f>
        <v>Really good for the price [6/8 months update], but with a late appearing issue,After 2 months,Right bud is not performing well,Good value for money!,Working as expected,Best at price,Good built quality, functions need improvement,Product is good but battery not as expected</v>
      </c>
      <c r="O651" s="7" t="str">
        <f>VLOOKUP(A651, avaliacoes!A:G, 6, FALSE)</f>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v>
      </c>
    </row>
    <row r="652">
      <c r="A652" s="1" t="s">
        <v>2468</v>
      </c>
      <c r="B652" s="1" t="s">
        <v>2469</v>
      </c>
      <c r="C652" s="1" t="s">
        <v>2351</v>
      </c>
      <c r="D652" s="1" t="str">
        <f t="shared" si="2"/>
        <v>Electronics</v>
      </c>
      <c r="E652" s="1" t="str">
        <f t="shared" si="3"/>
        <v>GeneralPurposeBatteries&amp;BatteryChargers</v>
      </c>
      <c r="F652" s="2">
        <v>149.0</v>
      </c>
      <c r="G652" s="2">
        <v>180.0</v>
      </c>
      <c r="H652" s="3">
        <f t="shared" si="4"/>
        <v>0.1722222222</v>
      </c>
      <c r="I652" s="4">
        <f>IFERROR(__xludf.DUMMYFUNCTION("GOOGLEFINANCE(""CURRENCY:INRBRL"")*F652"),8.8920700972)</f>
        <v>8.892070097</v>
      </c>
      <c r="J652" s="1">
        <v>4.5</v>
      </c>
      <c r="K652" s="1">
        <v>644.0</v>
      </c>
      <c r="L652" s="1" t="s">
        <v>2470</v>
      </c>
      <c r="M652" s="6" t="s">
        <v>2471</v>
      </c>
      <c r="N652" s="7" t="str">
        <f>VLOOKUP(A652, avaliacoes!A:G, 5, FALSE)</f>
        <v>Value for Money,As usual,Good,Best deal,Very reasonable,Great n cheap,Awesome,Not for camera</v>
      </c>
      <c r="O652" s="7" t="str">
        <f>VLOOKUP(A652, avaliacoes!A:G, 6, FALSE)</f>
        <v>Use Remote Car... Wall Watches... and Other...,Batteries are as usual nice,Good,Mrp 180Got it for 112/-Best deal,Good,Got it on high discounts n works really well compared to other batteries.,Value for money,Dislike</v>
      </c>
    </row>
    <row r="653">
      <c r="A653" s="1" t="s">
        <v>2472</v>
      </c>
      <c r="B653" s="1" t="s">
        <v>2473</v>
      </c>
      <c r="C653" s="1" t="s">
        <v>2474</v>
      </c>
      <c r="D653" s="1" t="str">
        <f t="shared" si="2"/>
        <v>Computers&amp;Accessories</v>
      </c>
      <c r="E653" s="1" t="str">
        <f t="shared" si="3"/>
        <v>Accessories&amp;Peripherals</v>
      </c>
      <c r="F653" s="2">
        <v>399.0</v>
      </c>
      <c r="G653" s="2">
        <v>549.0</v>
      </c>
      <c r="H653" s="3">
        <f t="shared" si="4"/>
        <v>0.2732240437</v>
      </c>
      <c r="I653" s="4">
        <f>IFERROR(__xludf.DUMMYFUNCTION("GOOGLEFINANCE(""CURRENCY:INRBRL"")*F653"),23.8116507972)</f>
        <v>23.8116508</v>
      </c>
      <c r="J653" s="1">
        <v>4.5</v>
      </c>
      <c r="K653" s="1">
        <v>18139.0</v>
      </c>
      <c r="L653" s="1" t="s">
        <v>2475</v>
      </c>
      <c r="M653" s="6" t="s">
        <v>2476</v>
      </c>
      <c r="N653" s="7" t="str">
        <f>VLOOKUP(A653, avaliacoes!A:G, 5, FALSE)</f>
        <v>Nad performance and no customer support. This model is not registered on zeb official web site,Good,Nice ✅,very good product in this price range. Look is beautiful, it's like a small pet.,A Good mouse to have while Playing Doom Eternal.,Over all good mouse for this price,Good,A good mouse</v>
      </c>
      <c r="O653" s="7" t="str">
        <f>VLOOKUP(A653, avaliacoes!A:G, 6, FALSE)</f>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v>
      </c>
    </row>
    <row r="654">
      <c r="A654" s="1" t="s">
        <v>2477</v>
      </c>
      <c r="B654" s="1" t="s">
        <v>2478</v>
      </c>
      <c r="C654" s="1" t="s">
        <v>2479</v>
      </c>
      <c r="D654" s="1" t="str">
        <f t="shared" si="2"/>
        <v>Home&amp;Kitchen</v>
      </c>
      <c r="E654" s="1" t="str">
        <f t="shared" si="3"/>
        <v>CraftMaterials</v>
      </c>
      <c r="F654" s="2">
        <v>191.0</v>
      </c>
      <c r="G654" s="2">
        <v>225.0</v>
      </c>
      <c r="H654" s="3">
        <f t="shared" si="4"/>
        <v>0.1511111111</v>
      </c>
      <c r="I654" s="4">
        <f>IFERROR(__xludf.DUMMYFUNCTION("GOOGLEFINANCE(""CURRENCY:INRBRL"")*F654"),11.3985596548)</f>
        <v>11.39855965</v>
      </c>
      <c r="J654" s="1">
        <v>4.5</v>
      </c>
      <c r="K654" s="1">
        <v>7203.0</v>
      </c>
      <c r="L654" s="1" t="s">
        <v>2480</v>
      </c>
      <c r="M654" s="6" t="s">
        <v>2481</v>
      </c>
      <c r="N654" s="7" t="str">
        <f>VLOOKUP(A654, avaliacoes!A:G, 5, FALSE)</f>
        <v>It's worth it,Very very nice product at this price.,Very good product,Good,Affordable,shouldnt keep it open for more than 15 minutes,Nice 👍 product...,Good quality</v>
      </c>
      <c r="O654" s="7" t="str">
        <f>VLOOKUP(A654, avaliacoes!A:G, 6, FALSE)</f>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v>
      </c>
    </row>
    <row r="655">
      <c r="A655" s="1" t="s">
        <v>2482</v>
      </c>
      <c r="B655" s="1" t="s">
        <v>2483</v>
      </c>
      <c r="C655" s="1" t="s">
        <v>2484</v>
      </c>
      <c r="D655" s="1" t="str">
        <f t="shared" si="2"/>
        <v>Computers&amp;Accessories</v>
      </c>
      <c r="E655" s="1" t="str">
        <f t="shared" si="3"/>
        <v>Accessories&amp;Peripherals</v>
      </c>
      <c r="F655" s="2">
        <v>129.0</v>
      </c>
      <c r="G655" s="2">
        <v>999.0</v>
      </c>
      <c r="H655" s="3">
        <f t="shared" si="4"/>
        <v>0.8708708709</v>
      </c>
      <c r="I655" s="4">
        <f>IFERROR(__xludf.DUMMYFUNCTION("GOOGLEFINANCE(""CURRENCY:INRBRL"")*F655"),7.698503641199999)</f>
        <v>7.698503641</v>
      </c>
      <c r="J655" s="1">
        <v>4.5</v>
      </c>
      <c r="K655" s="1">
        <v>491.0</v>
      </c>
      <c r="L655" s="1" t="s">
        <v>2485</v>
      </c>
      <c r="M655" s="6" t="s">
        <v>2486</v>
      </c>
      <c r="N655" s="7" t="str">
        <f>VLOOKUP(A655, avaliacoes!A:G, 5, FALSE)</f>
        <v>Decent quality,Good for the price,Value buy,It's good value,Ok ok quality,It have enough thickness. Good quality,Easy and smooth,Fine</v>
      </c>
      <c r="O655" s="7" t="str">
        <f>VLOOKUP(A655, avaliacoes!A:G, 6, FALSE)</f>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v>
      </c>
    </row>
    <row r="656">
      <c r="A656" s="1" t="s">
        <v>2487</v>
      </c>
      <c r="B656" s="1" t="s">
        <v>2488</v>
      </c>
      <c r="C656" s="1" t="s">
        <v>2489</v>
      </c>
      <c r="D656" s="1" t="str">
        <f t="shared" si="2"/>
        <v>Computers&amp;Accessories</v>
      </c>
      <c r="E656" s="1" t="str">
        <f t="shared" si="3"/>
        <v>Accessories&amp;Peripherals</v>
      </c>
      <c r="F656" s="2">
        <v>199.0</v>
      </c>
      <c r="G656" s="2">
        <v>599.0</v>
      </c>
      <c r="H656" s="3">
        <f t="shared" si="4"/>
        <v>0.6677796327</v>
      </c>
      <c r="I656" s="4">
        <f>IFERROR(__xludf.DUMMYFUNCTION("GOOGLEFINANCE(""CURRENCY:INRBRL"")*F656"),11.8759862372)</f>
        <v>11.87598624</v>
      </c>
      <c r="J656" s="1">
        <v>4.51</v>
      </c>
      <c r="K656" s="1">
        <v>13568.0</v>
      </c>
      <c r="L656" s="1" t="s">
        <v>2490</v>
      </c>
      <c r="M656" s="6" t="s">
        <v>2491</v>
      </c>
      <c r="N656" s="7" t="str">
        <f>VLOOKUP(A656, avaliacoes!A:G, 5, FALSE)</f>
        <v>Good.No Problem,Good Product,value for money purchase,Nice product,good product,Good,Ok ok product.,Go for it</v>
      </c>
      <c r="O656" s="7" t="str">
        <f>VLOOKUP(A656, avaliacoes!A:G, 6, FALSE)</f>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v>
      </c>
    </row>
    <row r="657">
      <c r="A657" s="1" t="s">
        <v>2492</v>
      </c>
      <c r="B657" s="1" t="s">
        <v>2493</v>
      </c>
      <c r="C657" s="1" t="s">
        <v>1411</v>
      </c>
      <c r="D657" s="1" t="str">
        <f t="shared" si="2"/>
        <v>Electronics</v>
      </c>
      <c r="E657" s="1" t="str">
        <f t="shared" si="3"/>
        <v>Headphones,Earbuds&amp;Accessories</v>
      </c>
      <c r="F657" s="2">
        <v>999.0</v>
      </c>
      <c r="G657" s="2">
        <v>4499.0</v>
      </c>
      <c r="H657" s="3">
        <f t="shared" si="4"/>
        <v>0.7779506557</v>
      </c>
      <c r="I657" s="4">
        <f>IFERROR(__xludf.DUMMYFUNCTION("GOOGLEFINANCE(""CURRENCY:INRBRL"")*F657"),59.61864447719999)</f>
        <v>59.61864448</v>
      </c>
      <c r="J657" s="1">
        <v>4.51</v>
      </c>
      <c r="K657" s="1">
        <v>339.0</v>
      </c>
      <c r="L657" s="1" t="s">
        <v>2494</v>
      </c>
      <c r="M657" s="6" t="s">
        <v>2495</v>
      </c>
      <c r="N657" s="7" t="str">
        <f>VLOOKUP(A657, avaliacoes!A:G, 5, FALSE)</f>
        <v>Noise cancellation is just a hype,Okay,Sound,good quality of sound and battery backup is also good.,Ok,Good product on this prize range,Boult Audio,Ok</v>
      </c>
      <c r="O657" s="7" t="str">
        <f>VLOOKUP(A657, avaliacoes!A:G, 6, FALSE)</f>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v>
      </c>
    </row>
    <row r="658">
      <c r="A658" s="1" t="s">
        <v>2496</v>
      </c>
      <c r="B658" s="1" t="s">
        <v>2497</v>
      </c>
      <c r="C658" s="1" t="s">
        <v>1411</v>
      </c>
      <c r="D658" s="1" t="str">
        <f t="shared" si="2"/>
        <v>Electronics</v>
      </c>
      <c r="E658" s="1" t="str">
        <f t="shared" si="3"/>
        <v>Headphones,Earbuds&amp;Accessories</v>
      </c>
      <c r="F658" s="2">
        <v>899.0</v>
      </c>
      <c r="G658" s="2">
        <v>4499.0</v>
      </c>
      <c r="H658" s="3">
        <f t="shared" si="4"/>
        <v>0.8001778173</v>
      </c>
      <c r="I658" s="4">
        <f>IFERROR(__xludf.DUMMYFUNCTION("GOOGLEFINANCE(""CURRENCY:INRBRL"")*F658"),53.6508121972)</f>
        <v>53.6508122</v>
      </c>
      <c r="J658" s="1">
        <v>4.51</v>
      </c>
      <c r="K658" s="1">
        <v>1031952.0</v>
      </c>
      <c r="L658" s="1" t="s">
        <v>2498</v>
      </c>
      <c r="M658" s="6" t="s">
        <v>2499</v>
      </c>
      <c r="N658" s="7" t="str">
        <f>VLOOKUP(A658, avaliacoes!A:G, 5, FALSE)</f>
        <v>Superb headphone one of the best,!!!Amazing product!!!,Quality is so so good,No battery🔋 backup and no flexible to use,Very good,A good low budget earphone,Obsem product but sound quality is not best,IT IS GOOD PRODUCT</v>
      </c>
      <c r="O658" s="7" t="str">
        <f>VLOOKUP(A658, avaliacoes!A:G, 6, FALSE)</f>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v>
      </c>
    </row>
    <row r="659">
      <c r="A659" s="1" t="s">
        <v>1665</v>
      </c>
      <c r="B659" s="1" t="s">
        <v>1666</v>
      </c>
      <c r="C659" s="1" t="s">
        <v>1369</v>
      </c>
      <c r="D659" s="1" t="str">
        <f t="shared" si="2"/>
        <v>Electronics</v>
      </c>
      <c r="E659" s="1" t="str">
        <f t="shared" si="3"/>
        <v>Mobiles&amp;Accessories</v>
      </c>
      <c r="F659" s="2">
        <v>1799.0</v>
      </c>
      <c r="G659" s="2">
        <v>2499.0</v>
      </c>
      <c r="H659" s="3">
        <f t="shared" si="4"/>
        <v>0.2801120448</v>
      </c>
      <c r="I659" s="4">
        <f>IFERROR(__xludf.DUMMYFUNCTION("GOOGLEFINANCE(""CURRENCY:INRBRL"")*F659"),107.36130271719999)</f>
        <v>107.3613027</v>
      </c>
      <c r="J659" s="1">
        <v>4.49</v>
      </c>
      <c r="K659" s="1">
        <v>18678.0</v>
      </c>
      <c r="L659" s="1" t="s">
        <v>1667</v>
      </c>
      <c r="M659" s="6" t="s">
        <v>2500</v>
      </c>
      <c r="N659" s="7" t="str">
        <f>VLOOKUP(A659, avaliacoes!A:G, 5, FALSE)</f>
        <v>Decent Product at about right price.,Seems good.,Good Quality &amp; Durable Powerbank in 1k range | Review,This is the second power bank from Ambrane India, i am happy,It’s heavy but good,Good product,Good power bank,The power is bulkier</v>
      </c>
      <c r="O659" s="7" t="str">
        <f>VLOOKUP(A659, avaliacoes!A:G, 6, FALSE)</f>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v>
      </c>
    </row>
    <row r="660">
      <c r="A660" s="1" t="s">
        <v>44</v>
      </c>
      <c r="B660" s="1" t="s">
        <v>45</v>
      </c>
      <c r="C660" s="1" t="s">
        <v>21</v>
      </c>
      <c r="D660" s="1" t="str">
        <f t="shared" si="2"/>
        <v>Computers&amp;Accessories</v>
      </c>
      <c r="E660" s="1" t="str">
        <f t="shared" si="3"/>
        <v>Accessories&amp;Peripherals</v>
      </c>
      <c r="F660" s="2">
        <v>176.68</v>
      </c>
      <c r="G660" s="2">
        <v>499.0</v>
      </c>
      <c r="H660" s="3">
        <f t="shared" si="4"/>
        <v>0.6459318637</v>
      </c>
      <c r="I660" s="4">
        <f>IFERROR(__xludf.DUMMYFUNCTION("GOOGLEFINANCE(""CURRENCY:INRBRL"")*F660"),10.543966072304)</f>
        <v>10.54396607</v>
      </c>
      <c r="J660" s="1">
        <v>4.49</v>
      </c>
      <c r="K660" s="1">
        <v>15189.0</v>
      </c>
      <c r="L660" s="1" t="s">
        <v>46</v>
      </c>
      <c r="M660" s="6" t="s">
        <v>2501</v>
      </c>
      <c r="N660" s="7" t="str">
        <f>VLOOKUP(A660, avaliacoes!A:G, 5, FALSE)</f>
        <v>Long durable.,good,Does not charge Lenovo m8 tab,Best charging cable,good,Boat,Product was good,1.5 m का केबल मेरे लिए बहुत ही लाभदायक है ।</v>
      </c>
      <c r="O660" s="7" t="str">
        <f>VLOOKUP(A660, avaliacoes!A:G,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row>
    <row r="661">
      <c r="A661" s="1" t="s">
        <v>2502</v>
      </c>
      <c r="B661" s="1" t="s">
        <v>2503</v>
      </c>
      <c r="C661" s="1" t="s">
        <v>2422</v>
      </c>
      <c r="D661" s="1" t="str">
        <f t="shared" si="2"/>
        <v>OfficeProducts</v>
      </c>
      <c r="E661" s="1" t="str">
        <f t="shared" si="3"/>
        <v>OfficeElectronics</v>
      </c>
      <c r="F661" s="2">
        <v>522.0</v>
      </c>
      <c r="G661" s="2">
        <v>550.0</v>
      </c>
      <c r="H661" s="3">
        <f t="shared" si="4"/>
        <v>0.05090909091</v>
      </c>
      <c r="I661" s="4">
        <f>IFERROR(__xludf.DUMMYFUNCTION("GOOGLEFINANCE(""CURRENCY:INRBRL"")*F661"),31.152084501599997)</f>
        <v>31.1520845</v>
      </c>
      <c r="J661" s="1">
        <v>4.5</v>
      </c>
      <c r="K661" s="1">
        <v>12179.0</v>
      </c>
      <c r="L661" s="1" t="s">
        <v>2504</v>
      </c>
      <c r="M661" s="6" t="s">
        <v>2505</v>
      </c>
      <c r="N661" s="7" t="str">
        <f>VLOOKUP(A661, avaliacoes!A:G, 5, FALSE)</f>
        <v>Not bad,Good for engineers.,Good,its great !,Good,200,Good,Superb quality</v>
      </c>
      <c r="O661" s="7" t="str">
        <f>VLOOKUP(A661, avaliacoes!A:G, 6, FALSE)</f>
        <v>Good,I use this to solve my numericals and its good.,Excellent tool for kids in learning,A quality product,Good product,Product is amazing and less weight good use of it and u can go for it,Good,https://m.media-amazon.com/images/I/61uctVLMIjL._SY88.jpg</v>
      </c>
    </row>
    <row r="662">
      <c r="A662" s="1" t="s">
        <v>2506</v>
      </c>
      <c r="B662" s="1" t="s">
        <v>2507</v>
      </c>
      <c r="C662" s="1" t="s">
        <v>2508</v>
      </c>
      <c r="D662" s="1" t="str">
        <f t="shared" si="2"/>
        <v>Electronics</v>
      </c>
      <c r="E662" s="1" t="str">
        <f t="shared" si="3"/>
        <v>Cameras&amp;Photography</v>
      </c>
      <c r="F662" s="2">
        <v>799.0</v>
      </c>
      <c r="G662" s="2">
        <v>1999.0</v>
      </c>
      <c r="H662" s="3">
        <f t="shared" si="4"/>
        <v>0.6003001501</v>
      </c>
      <c r="I662" s="4">
        <f>IFERROR(__xludf.DUMMYFUNCTION("GOOGLEFINANCE(""CURRENCY:INRBRL"")*F662"),47.682979917199994)</f>
        <v>47.68297992</v>
      </c>
      <c r="J662" s="1">
        <v>4.51</v>
      </c>
      <c r="K662" s="1">
        <v>12958.0</v>
      </c>
      <c r="L662" s="1" t="s">
        <v>2509</v>
      </c>
      <c r="M662" s="6" t="s">
        <v>2510</v>
      </c>
      <c r="N662" s="7" t="str">
        <f>VLOOKUP(A662, avaliacoes!A:G, 5, FALSE)</f>
        <v>Average:/ Works but light is not that attractive.,Photo graphy,Easy to use,Easy to handle,Easily portable,good,Quality and portability,Best Budget Ring Light</v>
      </c>
      <c r="O662" s="7" t="str">
        <f>VLOOKUP(A662, avaliacoes!A:G, 6, FALSE)</f>
        <v>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v>
      </c>
    </row>
    <row r="663">
      <c r="A663" s="1" t="s">
        <v>2511</v>
      </c>
      <c r="B663" s="1" t="s">
        <v>2512</v>
      </c>
      <c r="C663" s="1" t="s">
        <v>2269</v>
      </c>
      <c r="D663" s="1" t="str">
        <f t="shared" si="2"/>
        <v>Computers&amp;Accessories</v>
      </c>
      <c r="E663" s="1" t="str">
        <f t="shared" si="3"/>
        <v>Accessories&amp;Peripherals</v>
      </c>
      <c r="F663" s="2">
        <v>681.0</v>
      </c>
      <c r="G663" s="2">
        <v>1199.0</v>
      </c>
      <c r="H663" s="3">
        <f t="shared" si="4"/>
        <v>0.4320266889</v>
      </c>
      <c r="I663" s="4">
        <f>IFERROR(__xludf.DUMMYFUNCTION("GOOGLEFINANCE(""CURRENCY:INRBRL"")*F663"),40.6409378268)</f>
        <v>40.64093783</v>
      </c>
      <c r="J663" s="1">
        <v>4.5</v>
      </c>
      <c r="K663" s="1">
        <v>8258.0</v>
      </c>
      <c r="L663" s="1" t="s">
        <v>2513</v>
      </c>
      <c r="M663" s="6" t="s">
        <v>2514</v>
      </c>
      <c r="N663" s="7" t="str">
        <f>VLOOKUP(A663, avaliacoes!A:G, 5, FALSE)</f>
        <v>Wow,Good,Nice product with some issues with the battery port,Worthy,Good product,Ok but large size,Value for money,3 years warrenty vs 1 year</v>
      </c>
      <c r="O663" s="7" t="str">
        <f>VLOOKUP(A663, avaliacoes!A:G, 6, FALSE)</f>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v>
      </c>
    </row>
    <row r="664">
      <c r="A664" s="1" t="s">
        <v>2515</v>
      </c>
      <c r="B664" s="1" t="s">
        <v>2516</v>
      </c>
      <c r="C664" s="1" t="s">
        <v>2517</v>
      </c>
      <c r="D664" s="1" t="str">
        <f t="shared" si="2"/>
        <v>Computers&amp;Accessories</v>
      </c>
      <c r="E664" s="1" t="str">
        <f t="shared" si="3"/>
        <v>NetworkingDevices</v>
      </c>
      <c r="F664" s="2">
        <v>1199.0</v>
      </c>
      <c r="G664" s="2">
        <v>3490.0</v>
      </c>
      <c r="H664" s="3">
        <f t="shared" si="4"/>
        <v>0.6564469914</v>
      </c>
      <c r="I664" s="4">
        <f>IFERROR(__xludf.DUMMYFUNCTION("GOOGLEFINANCE(""CURRENCY:INRBRL"")*F664"),71.5543090372)</f>
        <v>71.55430904</v>
      </c>
      <c r="J664" s="1">
        <v>4.49</v>
      </c>
      <c r="K664" s="1">
        <v>11716.0</v>
      </c>
      <c r="L664" s="1" t="s">
        <v>2518</v>
      </c>
      <c r="M664" s="6" t="s">
        <v>2519</v>
      </c>
      <c r="N664" s="7" t="str">
        <f>VLOOKUP(A664, avaliacoes!A:G, 5, FALSE)</f>
        <v>Very useful product - but hardware is not so sturdy,Great Customer Support,Overall a good Indian product.,Really good to help internet running during power cuts,Good product and effective customer support,Value for money,Does Not support 4 hours as per the description,No backup at all</v>
      </c>
      <c r="O664" s="7" t="str">
        <f>VLOOKUP(A664, avaliacoes!A:G, 6, FALSE)</f>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v>
      </c>
    </row>
    <row r="665">
      <c r="A665" s="1" t="s">
        <v>2520</v>
      </c>
      <c r="B665" s="1" t="s">
        <v>2521</v>
      </c>
      <c r="C665" s="1" t="s">
        <v>2522</v>
      </c>
      <c r="D665" s="1" t="str">
        <f t="shared" si="2"/>
        <v>Computers&amp;Accessories</v>
      </c>
      <c r="E665" s="1" t="str">
        <f t="shared" si="3"/>
        <v>NetworkingDevices</v>
      </c>
      <c r="F665" s="2">
        <v>2499.0</v>
      </c>
      <c r="G665" s="2">
        <v>4999.0</v>
      </c>
      <c r="H665" s="3">
        <f t="shared" si="4"/>
        <v>0.50010002</v>
      </c>
      <c r="I665" s="4">
        <f>IFERROR(__xludf.DUMMYFUNCTION("GOOGLEFINANCE(""CURRENCY:INRBRL"")*F665"),149.1361286772)</f>
        <v>149.1361287</v>
      </c>
      <c r="J665" s="1">
        <v>4.5</v>
      </c>
      <c r="K665" s="1">
        <v>35024.0</v>
      </c>
      <c r="L665" s="1" t="s">
        <v>2523</v>
      </c>
      <c r="M665" s="6" t="s">
        <v>2524</v>
      </c>
      <c r="N665" s="7" t="str">
        <f>VLOOKUP(A665, avaliacoes!A:G, 5, FALSE)</f>
        <v>Excellent offering from TP-Link,Signal disconnected,Bad packaging from Amazon,Good product for that money,The WiFi range got increased, compare to my old Router!,Very good router in this price segment,Good Product,Wifi router</v>
      </c>
      <c r="O665" s="7" t="str">
        <f>VLOOKUP(A665, avaliacoes!A:G, 6, FALSE)</f>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v>
      </c>
    </row>
    <row r="666">
      <c r="A666" s="1" t="s">
        <v>2525</v>
      </c>
      <c r="B666" s="1" t="s">
        <v>2526</v>
      </c>
      <c r="C666" s="1" t="s">
        <v>2527</v>
      </c>
      <c r="D666" s="1" t="str">
        <f t="shared" si="2"/>
        <v>Electronics</v>
      </c>
      <c r="E666" s="1" t="str">
        <f t="shared" si="3"/>
        <v>Headphones,Earbuds&amp;Accessories</v>
      </c>
      <c r="F666" s="2">
        <v>1799.0</v>
      </c>
      <c r="G666" s="2">
        <v>4999.0</v>
      </c>
      <c r="H666" s="3">
        <f t="shared" si="4"/>
        <v>0.6401280256</v>
      </c>
      <c r="I666" s="4">
        <f>IFERROR(__xludf.DUMMYFUNCTION("GOOGLEFINANCE(""CURRENCY:INRBRL"")*F666"),107.36130271719999)</f>
        <v>107.3613027</v>
      </c>
      <c r="J666" s="1">
        <v>4.49</v>
      </c>
      <c r="K666" s="1">
        <v>55192.0</v>
      </c>
      <c r="L666" s="1" t="s">
        <v>2528</v>
      </c>
      <c r="M666" s="6" t="s">
        <v>2529</v>
      </c>
      <c r="N666" s="7" t="str">
        <f>VLOOKUP(A666, avaliacoes!A:G, 5, FALSE)</f>
        <v>Good but check the below mentioned things,Going to buy it again,Decent headphone,Good quality headphones,waste of money,Best product in this prize range. And the colour looks fabulous.,Size,After 1 year of usage</v>
      </c>
      <c r="O666" s="7" t="str">
        <f>VLOOKUP(A666, avaliacoes!A:G, 6, FALSE)</f>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v>
      </c>
    </row>
    <row r="667">
      <c r="A667" s="1" t="s">
        <v>2530</v>
      </c>
      <c r="B667" s="1" t="s">
        <v>2531</v>
      </c>
      <c r="C667" s="1" t="s">
        <v>1411</v>
      </c>
      <c r="D667" s="1" t="str">
        <f t="shared" si="2"/>
        <v>Electronics</v>
      </c>
      <c r="E667" s="1" t="str">
        <f t="shared" si="3"/>
        <v>Headphones,Earbuds&amp;Accessories</v>
      </c>
      <c r="F667" s="2">
        <v>429.0</v>
      </c>
      <c r="G667" s="2">
        <v>599.0</v>
      </c>
      <c r="H667" s="3">
        <f t="shared" si="4"/>
        <v>0.2838063439</v>
      </c>
      <c r="I667" s="4">
        <f>IFERROR(__xludf.DUMMYFUNCTION("GOOGLEFINANCE(""CURRENCY:INRBRL"")*F667"),25.602000481199997)</f>
        <v>25.60200048</v>
      </c>
      <c r="J667" s="1">
        <v>4.49</v>
      </c>
      <c r="K667" s="1">
        <v>119466.0</v>
      </c>
      <c r="L667" s="1" t="s">
        <v>2532</v>
      </c>
      <c r="M667" s="6" t="s">
        <v>2533</v>
      </c>
      <c r="N667" s="7" t="str">
        <f>VLOOKUP(A667, avaliacoes!A:G, 5, FALSE)</f>
        <v>Best buy you will not regret,Fantastic product,Nice,Worth of money,It's working realy well and i am satisfied with the result,Good Earphones base and sound quality is good,Value for money,Very Good Product</v>
      </c>
      <c r="O667" s="7" t="str">
        <f>VLOOKUP(A667, avaliacoes!A:G, 6, FALSE)</f>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v>
      </c>
    </row>
    <row r="668">
      <c r="A668" s="1" t="s">
        <v>2534</v>
      </c>
      <c r="B668" s="1" t="s">
        <v>2535</v>
      </c>
      <c r="C668" s="1" t="s">
        <v>2274</v>
      </c>
      <c r="D668" s="1" t="str">
        <f t="shared" si="2"/>
        <v>Computers&amp;Accessories</v>
      </c>
      <c r="E668" s="1" t="str">
        <f t="shared" si="3"/>
        <v>Accessories&amp;Peripherals</v>
      </c>
      <c r="F668" s="2">
        <v>100.0</v>
      </c>
      <c r="G668" s="2">
        <v>499.0</v>
      </c>
      <c r="H668" s="3">
        <f t="shared" si="4"/>
        <v>0.7995991984</v>
      </c>
      <c r="I668" s="4">
        <f>IFERROR(__xludf.DUMMYFUNCTION("GOOGLEFINANCE(""CURRENCY:INRBRL"")*F668"),5.96783228)</f>
        <v>5.96783228</v>
      </c>
      <c r="J668" s="1">
        <v>4.5</v>
      </c>
      <c r="K668" s="1">
        <v>9638.0</v>
      </c>
      <c r="L668" s="1" t="s">
        <v>2536</v>
      </c>
      <c r="M668" s="6" t="s">
        <v>2537</v>
      </c>
      <c r="N668" s="7" t="str">
        <f>VLOOKUP(A668, avaliacoes!A:G, 5, FALSE)</f>
        <v>Good,Kids love this,Simply superb,Happy,Good,Nice gift for toddlers..... Good for elders too, to mak notes,Nice,Useful</v>
      </c>
      <c r="O668" s="7" t="str">
        <f>VLOOKUP(A668, avaliacoes!A:G, 6, FALSE)</f>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v>
      </c>
    </row>
    <row r="669">
      <c r="A669" s="1" t="s">
        <v>2538</v>
      </c>
      <c r="B669" s="1" t="s">
        <v>2539</v>
      </c>
      <c r="C669" s="1" t="s">
        <v>2335</v>
      </c>
      <c r="D669" s="1" t="str">
        <f t="shared" si="2"/>
        <v>Computers&amp;Accessories</v>
      </c>
      <c r="E669" s="1" t="str">
        <f t="shared" si="3"/>
        <v>Accessories&amp;Peripherals</v>
      </c>
      <c r="F669" s="2">
        <v>329.0</v>
      </c>
      <c r="G669" s="2">
        <v>399.0</v>
      </c>
      <c r="H669" s="3">
        <f t="shared" si="4"/>
        <v>0.1754385965</v>
      </c>
      <c r="I669" s="4">
        <f>IFERROR(__xludf.DUMMYFUNCTION("GOOGLEFINANCE(""CURRENCY:INRBRL"")*F669"),19.634168201199998)</f>
        <v>19.6341682</v>
      </c>
      <c r="J669" s="1">
        <v>4.51</v>
      </c>
      <c r="K669" s="1">
        <v>33735.0</v>
      </c>
      <c r="L669" s="1" t="s">
        <v>2540</v>
      </c>
      <c r="M669" s="6" t="s">
        <v>2541</v>
      </c>
      <c r="N669" s="7" t="str">
        <f>VLOOKUP(A669, avaliacoes!A:G, 5, FALSE)</f>
        <v>Keys got hard after 2 months usage.,Temporary buy value for money daily use,Guys please don't buy cheap keyboards online,keys are clustered,Good,Good product,Don't buy these types of keyboards for typing purpose,Nice</v>
      </c>
      <c r="O669" s="7" t="str">
        <f>VLOOKUP(A669, avaliacoes!A:G, 6, FALSE)</f>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v>
      </c>
    </row>
    <row r="670">
      <c r="A670" s="1" t="s">
        <v>48</v>
      </c>
      <c r="B670" s="1" t="s">
        <v>49</v>
      </c>
      <c r="C670" s="1" t="s">
        <v>21</v>
      </c>
      <c r="D670" s="1" t="str">
        <f t="shared" si="2"/>
        <v>Computers&amp;Accessories</v>
      </c>
      <c r="E670" s="1" t="str">
        <f t="shared" si="3"/>
        <v>Accessories&amp;Peripherals</v>
      </c>
      <c r="F670" s="2">
        <v>229.0</v>
      </c>
      <c r="G670" s="2">
        <v>299.0</v>
      </c>
      <c r="H670" s="3">
        <f t="shared" si="4"/>
        <v>0.2341137124</v>
      </c>
      <c r="I670" s="4">
        <f>IFERROR(__xludf.DUMMYFUNCTION("GOOGLEFINANCE(""CURRENCY:INRBRL"")*F670"),13.666335921199998)</f>
        <v>13.66633592</v>
      </c>
      <c r="J670" s="1">
        <v>4.5</v>
      </c>
      <c r="K670" s="1">
        <v>30411.0</v>
      </c>
      <c r="L670" s="1" t="s">
        <v>50</v>
      </c>
      <c r="M670" s="6" t="s">
        <v>2542</v>
      </c>
      <c r="N670" s="7" t="str">
        <f>VLOOKUP(A670, avaliacoes!A:G, 5, FALSE)</f>
        <v>Worth for money - suitable for Android auto,Good Product,Length,Nice,Original,Very good quay Cable support fast charging.,Original MI cable for charging upto 33 watt,I am veri happy with this product as it provide turbo charging.</v>
      </c>
      <c r="O670" s="7" t="str">
        <f>VLOOKUP(A670, avaliacoes!A:G,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row>
    <row r="671">
      <c r="A671" s="1" t="s">
        <v>2543</v>
      </c>
      <c r="B671" s="1" t="s">
        <v>2544</v>
      </c>
      <c r="C671" s="1" t="s">
        <v>2269</v>
      </c>
      <c r="D671" s="1" t="str">
        <f t="shared" si="2"/>
        <v>Computers&amp;Accessories</v>
      </c>
      <c r="E671" s="1" t="str">
        <f t="shared" si="3"/>
        <v>Accessories&amp;Peripherals</v>
      </c>
      <c r="F671" s="2">
        <v>139.0</v>
      </c>
      <c r="G671" s="2">
        <v>299.0</v>
      </c>
      <c r="H671" s="3">
        <f t="shared" si="4"/>
        <v>0.5351170569</v>
      </c>
      <c r="I671" s="4">
        <f>IFERROR(__xludf.DUMMYFUNCTION("GOOGLEFINANCE(""CURRENCY:INRBRL"")*F671"),8.2952868692)</f>
        <v>8.295286869</v>
      </c>
      <c r="J671" s="1">
        <v>4.51</v>
      </c>
      <c r="K671" s="1">
        <v>3044.0</v>
      </c>
      <c r="L671" s="1" t="s">
        <v>2545</v>
      </c>
      <c r="M671" s="6" t="s">
        <v>2546</v>
      </c>
      <c r="N671" s="7" t="str">
        <f>VLOOKUP(A671, avaliacoes!A:G, 5, FALSE)</f>
        <v>Nice,Value for money.,Compact and easy to use,Worth to buy,Clicks are hard but good allover,Good!,Avarage,Hard buttons and harder scroll wheel button</v>
      </c>
      <c r="O671" s="7" t="str">
        <f>VLOOKUP(A671, avaliacoes!A:G, 6, FALSE)</f>
        <v>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v>
      </c>
    </row>
    <row r="672">
      <c r="A672" s="1" t="s">
        <v>2547</v>
      </c>
      <c r="B672" s="1" t="s">
        <v>2548</v>
      </c>
      <c r="C672" s="1" t="s">
        <v>2077</v>
      </c>
      <c r="D672" s="1" t="str">
        <f t="shared" si="2"/>
        <v>Electronics</v>
      </c>
      <c r="E672" s="1" t="str">
        <f t="shared" si="3"/>
        <v>Headphones,Earbuds&amp;Accessories</v>
      </c>
      <c r="F672" s="2">
        <v>1199.0</v>
      </c>
      <c r="G672" s="2">
        <v>2499.0</v>
      </c>
      <c r="H672" s="3">
        <f t="shared" si="4"/>
        <v>0.5202080832</v>
      </c>
      <c r="I672" s="4">
        <f>IFERROR(__xludf.DUMMYFUNCTION("GOOGLEFINANCE(""CURRENCY:INRBRL"")*F672"),71.5543090372)</f>
        <v>71.55430904</v>
      </c>
      <c r="J672" s="1">
        <v>4.0</v>
      </c>
      <c r="K672" s="1">
        <v>33584.0</v>
      </c>
      <c r="L672" s="1" t="s">
        <v>2549</v>
      </c>
      <c r="M672" s="6" t="s">
        <v>2550</v>
      </c>
      <c r="N672" s="7" t="str">
        <f>VLOOKUP(A672, avaliacoes!A:G, 5, FALSE)</f>
        <v>Best quality &amp; value for money,Great sound quality,Atif,Value for money,Good one at this price range,Good Headset,Good for a year use the cousin covering will get torn with time,Good</v>
      </c>
      <c r="O672" s="7" t="str">
        <f>VLOOKUP(A672, avaliacoes!A:G, 6, FALSE)</f>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v>
      </c>
    </row>
    <row r="673">
      <c r="A673" s="1" t="s">
        <v>2551</v>
      </c>
      <c r="B673" s="1" t="s">
        <v>2552</v>
      </c>
      <c r="C673" s="1" t="s">
        <v>2553</v>
      </c>
      <c r="D673" s="1" t="str">
        <f t="shared" si="2"/>
        <v>Electronics</v>
      </c>
      <c r="E673" s="1" t="str">
        <f t="shared" si="3"/>
        <v>HomeAudio</v>
      </c>
      <c r="F673" s="2">
        <v>1049.0</v>
      </c>
      <c r="G673" s="2">
        <v>2299.0</v>
      </c>
      <c r="H673" s="3">
        <f t="shared" si="4"/>
        <v>0.5437146585</v>
      </c>
      <c r="I673" s="4">
        <f>IFERROR(__xludf.DUMMYFUNCTION("GOOGLEFINANCE(""CURRENCY:INRBRL"")*F673"),62.6025606172)</f>
        <v>62.60256062</v>
      </c>
      <c r="J673" s="1">
        <v>4.52</v>
      </c>
      <c r="K673" s="1">
        <v>1779.0</v>
      </c>
      <c r="L673" s="1" t="s">
        <v>2554</v>
      </c>
      <c r="M673" s="6" t="s">
        <v>2555</v>
      </c>
      <c r="N673" s="7" t="str">
        <f>VLOOKUP(A673, avaliacoes!A:G, 5, FALSE)</f>
        <v>Awesome sound, but FM is not clear,Good Product!,Guarantee Nahin de rahi hai kharabi hai,It's nice worth for rate,Good product,sufficient sound clarity and connectivity,Sound is best bass is best 👍💯,Good 👍</v>
      </c>
      <c r="O673" s="7" t="str">
        <f>VLOOKUP(A673, avaliacoes!A:G, 6, FALSE)</f>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v>
      </c>
    </row>
    <row r="674">
      <c r="A674" s="1" t="s">
        <v>1687</v>
      </c>
      <c r="B674" s="1" t="s">
        <v>1688</v>
      </c>
      <c r="C674" s="1" t="s">
        <v>1689</v>
      </c>
      <c r="D674" s="1" t="str">
        <f t="shared" si="2"/>
        <v>Electronics</v>
      </c>
      <c r="E674" s="1" t="str">
        <f t="shared" si="3"/>
        <v>Mobiles&amp;Accessories</v>
      </c>
      <c r="F674" s="2">
        <v>119.0</v>
      </c>
      <c r="G674" s="2">
        <v>299.0</v>
      </c>
      <c r="H674" s="3">
        <f t="shared" si="4"/>
        <v>0.602006689</v>
      </c>
      <c r="I674" s="4">
        <f>IFERROR(__xludf.DUMMYFUNCTION("GOOGLEFINANCE(""CURRENCY:INRBRL"")*F674"),7.1017204132)</f>
        <v>7.101720413</v>
      </c>
      <c r="J674" s="1">
        <v>4.49</v>
      </c>
      <c r="K674" s="1">
        <v>5999.0</v>
      </c>
      <c r="L674" s="1" t="s">
        <v>1690</v>
      </c>
      <c r="M674" s="6" t="s">
        <v>2556</v>
      </c>
      <c r="N674" s="7" t="str">
        <f>VLOOKUP(A674, avaliacoes!A:G, 5, FALSE)</f>
        <v>Awesome Product,Good product,Good quality,Good but overpriced,Gud quality but expansive,Not bad,Ok,Worth product</v>
      </c>
      <c r="O674" s="7" t="str">
        <f>VLOOKUP(A674, avaliacoes!A:G, 6, FALSE)</f>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v>
      </c>
    </row>
    <row r="675">
      <c r="A675" s="1" t="s">
        <v>61</v>
      </c>
      <c r="B675" s="1" t="s">
        <v>62</v>
      </c>
      <c r="C675" s="1" t="s">
        <v>21</v>
      </c>
      <c r="D675" s="1" t="str">
        <f t="shared" si="2"/>
        <v>Computers&amp;Accessories</v>
      </c>
      <c r="E675" s="1" t="str">
        <f t="shared" si="3"/>
        <v>Accessories&amp;Peripherals</v>
      </c>
      <c r="F675" s="2">
        <v>154.0</v>
      </c>
      <c r="G675" s="2">
        <v>339.0</v>
      </c>
      <c r="H675" s="3">
        <f t="shared" si="4"/>
        <v>0.5457227139</v>
      </c>
      <c r="I675" s="4">
        <f>IFERROR(__xludf.DUMMYFUNCTION("GOOGLEFINANCE(""CURRENCY:INRBRL"")*F675"),9.1904617112)</f>
        <v>9.190461711</v>
      </c>
      <c r="J675" s="1">
        <v>4.5</v>
      </c>
      <c r="K675" s="1">
        <v>13391.0</v>
      </c>
      <c r="L675" s="1" t="s">
        <v>63</v>
      </c>
      <c r="M675" s="6" t="s">
        <v>2557</v>
      </c>
      <c r="N675" s="7" t="str">
        <f>VLOOKUP(A675, avaliacoes!A:G, 5, FALSE)</f>
        <v>Good for fast charge but not for data transfer,Good cable compares to local the brand.,good but doesnt last,Good product,Good Product,Good and worth it,very good material quality charging speed is 15 watt,Not a fast charger</v>
      </c>
      <c r="O675" s="7" t="str">
        <f>VLOOKUP(A675, avaliacoes!A:G,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row>
    <row r="676">
      <c r="A676" s="1" t="s">
        <v>2558</v>
      </c>
      <c r="B676" s="1" t="s">
        <v>2559</v>
      </c>
      <c r="C676" s="1" t="s">
        <v>2560</v>
      </c>
      <c r="D676" s="1" t="str">
        <f t="shared" si="2"/>
        <v>Electronics</v>
      </c>
      <c r="E676" s="1" t="str">
        <f t="shared" si="3"/>
        <v>GeneralPurposeBatteries&amp;BatteryChargers</v>
      </c>
      <c r="F676" s="2">
        <v>225.0</v>
      </c>
      <c r="G676" s="2">
        <v>250.0</v>
      </c>
      <c r="H676" s="3">
        <f t="shared" si="4"/>
        <v>0.1</v>
      </c>
      <c r="I676" s="4">
        <f>IFERROR(__xludf.DUMMYFUNCTION("GOOGLEFINANCE(""CURRENCY:INRBRL"")*F676"),13.427622629999998)</f>
        <v>13.42762263</v>
      </c>
      <c r="J676" s="1">
        <v>4.5</v>
      </c>
      <c r="K676" s="1">
        <v>26556.0</v>
      </c>
      <c r="L676" s="1" t="s">
        <v>2561</v>
      </c>
      <c r="M676" s="6" t="s">
        <v>2562</v>
      </c>
      <c r="N676" s="7" t="str">
        <f>VLOOKUP(A676, avaliacoes!A:G, 5, FALSE)</f>
        <v>Excellent Product,Good,👍,Meets purpose,Nice battery,Good,Value for money,Works flawlessly</v>
      </c>
      <c r="O676" s="7" t="str">
        <f>VLOOKUP(A676, avaliacoes!A:G, 6, FALSE)</f>
        <v>Made in Indonesia, (thankfully not China).,Good for long use of remote,👏,Battery works as replacement,Serves the purpose, Good seller, Good battery life,Good. Worked for my Ertiga Car Key remote,Working good,Works flawlessly. Good Battery Backup:Good packaging.</v>
      </c>
    </row>
    <row r="677">
      <c r="A677" s="1" t="s">
        <v>2563</v>
      </c>
      <c r="B677" s="1" t="s">
        <v>2564</v>
      </c>
      <c r="C677" s="1" t="s">
        <v>2283</v>
      </c>
      <c r="D677" s="1" t="str">
        <f t="shared" si="2"/>
        <v>Computers&amp;Accessories</v>
      </c>
      <c r="E677" s="1" t="str">
        <f t="shared" si="3"/>
        <v>Accessories&amp;Peripherals</v>
      </c>
      <c r="F677" s="2">
        <v>656.0</v>
      </c>
      <c r="G677" s="2">
        <v>1499.0</v>
      </c>
      <c r="H677" s="3">
        <f t="shared" si="4"/>
        <v>0.5623749166</v>
      </c>
      <c r="I677" s="4">
        <f>IFERROR(__xludf.DUMMYFUNCTION("GOOGLEFINANCE(""CURRENCY:INRBRL"")*F677"),39.148979756799996)</f>
        <v>39.14897976</v>
      </c>
      <c r="J677" s="1">
        <v>4.5</v>
      </c>
      <c r="K677" s="1">
        <v>25903.0</v>
      </c>
      <c r="L677" s="1" t="s">
        <v>2565</v>
      </c>
      <c r="M677" s="6" t="s">
        <v>2566</v>
      </c>
      <c r="N677" s="7" t="str">
        <f>VLOOKUP(A677, avaliacoes!A:G, 5, FALSE)</f>
        <v>Good quality but one defect,It fulfill its purpose,The laptop stand is good but could have been better with a grip in four sides!!,Height mentioned is wrong,Worth The Money, Good Quality, but wobbles only on bed,Damage in transportation,Good product.,Durability and easy to use</v>
      </c>
      <c r="O677" s="7" t="str">
        <f>VLOOKUP(A677, avaliacoes!A:G, 6, FALSE)</f>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v>
      </c>
    </row>
    <row r="678">
      <c r="A678" s="1" t="s">
        <v>2567</v>
      </c>
      <c r="B678" s="1" t="s">
        <v>2568</v>
      </c>
      <c r="C678" s="1" t="s">
        <v>2264</v>
      </c>
      <c r="D678" s="1" t="str">
        <f t="shared" si="2"/>
        <v>Computers&amp;Accessories</v>
      </c>
      <c r="E678" s="1" t="str">
        <f t="shared" si="3"/>
        <v>ExternalDevices&amp;DataStorage</v>
      </c>
      <c r="F678" s="2">
        <v>1109.0</v>
      </c>
      <c r="G678" s="2">
        <v>2799.0</v>
      </c>
      <c r="H678" s="3">
        <f t="shared" si="4"/>
        <v>0.6037870668</v>
      </c>
      <c r="I678" s="4">
        <f>IFERROR(__xludf.DUMMYFUNCTION("GOOGLEFINANCE(""CURRENCY:INRBRL"")*F678"),66.1832599852)</f>
        <v>66.18325999</v>
      </c>
      <c r="J678" s="1">
        <v>4.5</v>
      </c>
      <c r="K678" s="1">
        <v>53464.0</v>
      </c>
      <c r="L678" s="1" t="s">
        <v>2569</v>
      </c>
      <c r="M678" s="6" t="s">
        <v>2570</v>
      </c>
      <c r="N678" s="7" t="str">
        <f>VLOOKUP(A678, avaliacoes!A:G, 5, FALSE)</f>
        <v>Fast, but heats up and throttles...,Its a Useful One.,Good product at this price range,It's looking good and fast,Storage issue,Worth,Good,Very good</v>
      </c>
      <c r="O678" s="7" t="str">
        <f>VLOOKUP(A678, avaliacoes!A:G, 6, FALSE)</f>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v>
      </c>
    </row>
    <row r="679">
      <c r="A679" s="1" t="s">
        <v>1673</v>
      </c>
      <c r="B679" s="1" t="s">
        <v>1674</v>
      </c>
      <c r="C679" s="1" t="s">
        <v>1356</v>
      </c>
      <c r="D679" s="1" t="str">
        <f t="shared" si="2"/>
        <v>Electronics</v>
      </c>
      <c r="E679" s="1" t="str">
        <f t="shared" si="3"/>
        <v>WearableTechnology</v>
      </c>
      <c r="F679" s="2">
        <v>2999.0</v>
      </c>
      <c r="G679" s="2">
        <v>7999.0</v>
      </c>
      <c r="H679" s="3">
        <f t="shared" si="4"/>
        <v>0.6250781348</v>
      </c>
      <c r="I679" s="4">
        <f>IFERROR(__xludf.DUMMYFUNCTION("GOOGLEFINANCE(""CURRENCY:INRBRL"")*F679"),178.9752900772)</f>
        <v>178.9752901</v>
      </c>
      <c r="J679" s="1">
        <v>4.49</v>
      </c>
      <c r="K679" s="1">
        <v>48448.0</v>
      </c>
      <c r="L679" s="1" t="s">
        <v>1583</v>
      </c>
      <c r="M679" s="6" t="s">
        <v>2571</v>
      </c>
      <c r="N679" s="7" t="str">
        <f>VLOOKUP(A679, avaliacoes!A:G, 5, FALSE)</f>
        <v>NOt worth the money,Good budget smart watch with Alexa,👍,Good product,I don't have flashlight function and speaker is not working,Nice,It's little cost,Wach not working</v>
      </c>
      <c r="O679" s="7" t="str">
        <f>VLOOKUP(A679, avaliacoes!A:G, 6, FALSE)</f>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v>
      </c>
    </row>
    <row r="680">
      <c r="A680" s="1" t="s">
        <v>2572</v>
      </c>
      <c r="B680" s="1" t="s">
        <v>2573</v>
      </c>
      <c r="C680" s="1" t="s">
        <v>2484</v>
      </c>
      <c r="D680" s="1" t="str">
        <f t="shared" si="2"/>
        <v>Computers&amp;Accessories</v>
      </c>
      <c r="E680" s="1" t="str">
        <f t="shared" si="3"/>
        <v>Accessories&amp;Peripherals</v>
      </c>
      <c r="F680" s="2">
        <v>169.0</v>
      </c>
      <c r="G680" s="2">
        <v>299.0</v>
      </c>
      <c r="H680" s="3">
        <f t="shared" si="4"/>
        <v>0.4347826087</v>
      </c>
      <c r="I680" s="4">
        <f>IFERROR(__xludf.DUMMYFUNCTION("GOOGLEFINANCE(""CURRENCY:INRBRL"")*F680"),10.085636553199999)</f>
        <v>10.08563655</v>
      </c>
      <c r="J680" s="1">
        <v>4.5</v>
      </c>
      <c r="K680" s="1">
        <v>5176.0</v>
      </c>
      <c r="L680" s="1" t="s">
        <v>2574</v>
      </c>
      <c r="M680" s="6" t="s">
        <v>2575</v>
      </c>
      <c r="N680" s="7" t="str">
        <f>VLOOKUP(A680, avaliacoes!A:G, 5, FALSE)</f>
        <v>Nice product,Size is not to big not to small,I liked it,Ok,Really good,Thinner but nice,Superb product as quality and comes at affordable price.,Costly mouse pad</v>
      </c>
      <c r="O680" s="7" t="str">
        <f>VLOOKUP(A680, avaliacoes!A:G, 6, FALSE)</f>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v>
      </c>
    </row>
    <row r="681">
      <c r="A681" s="1" t="s">
        <v>2576</v>
      </c>
      <c r="B681" s="1" t="s">
        <v>2577</v>
      </c>
      <c r="C681" s="1" t="s">
        <v>2443</v>
      </c>
      <c r="D681" s="1" t="str">
        <f t="shared" si="2"/>
        <v>Computers&amp;Accessories</v>
      </c>
      <c r="E681" s="1" t="str">
        <f t="shared" si="3"/>
        <v>Printers,Inks&amp;Accessories</v>
      </c>
      <c r="F681" s="2">
        <v>309.0</v>
      </c>
      <c r="G681" s="2">
        <v>404.0</v>
      </c>
      <c r="H681" s="3">
        <f t="shared" si="4"/>
        <v>0.2351485149</v>
      </c>
      <c r="I681" s="4">
        <f>IFERROR(__xludf.DUMMYFUNCTION("GOOGLEFINANCE(""CURRENCY:INRBRL"")*F681"),18.4406017452)</f>
        <v>18.44060175</v>
      </c>
      <c r="J681" s="1">
        <v>4.5</v>
      </c>
      <c r="K681" s="1">
        <v>8614.0</v>
      </c>
      <c r="L681" s="1" t="s">
        <v>2578</v>
      </c>
      <c r="M681" s="6" t="s">
        <v>2579</v>
      </c>
      <c r="N681" s="7" t="str">
        <f>VLOOKUP(A681, avaliacoes!A:G, 5, FALSE)</f>
        <v>Got it for 280/309MRP in amazon sale,Easy Installation!,Original,Good,Orignal product,Ok,Excellent,Original</v>
      </c>
      <c r="O681" s="7" t="str">
        <f>VLOOKUP(A681, avaliacoes!A:G, 6, FALSE)</f>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v>
      </c>
    </row>
    <row r="682">
      <c r="A682" s="1" t="s">
        <v>2580</v>
      </c>
      <c r="B682" s="1" t="s">
        <v>2581</v>
      </c>
      <c r="C682" s="1" t="s">
        <v>2077</v>
      </c>
      <c r="D682" s="1" t="str">
        <f t="shared" si="2"/>
        <v>Electronics</v>
      </c>
      <c r="E682" s="1" t="str">
        <f t="shared" si="3"/>
        <v>Headphones,Earbuds&amp;Accessories</v>
      </c>
      <c r="F682" s="2">
        <v>599.0</v>
      </c>
      <c r="G682" s="2">
        <v>1399.0</v>
      </c>
      <c r="H682" s="3">
        <f t="shared" si="4"/>
        <v>0.5718370264</v>
      </c>
      <c r="I682" s="4">
        <f>IFERROR(__xludf.DUMMYFUNCTION("GOOGLEFINANCE(""CURRENCY:INRBRL"")*F682"),35.747315357199994)</f>
        <v>35.74731536</v>
      </c>
      <c r="J682" s="1">
        <v>4.51</v>
      </c>
      <c r="K682" s="1">
        <v>60026.0</v>
      </c>
      <c r="L682" s="1" t="s">
        <v>2582</v>
      </c>
      <c r="M682" s="6" t="s">
        <v>2583</v>
      </c>
      <c r="N682" s="7" t="str">
        <f>VLOOKUP(A682, avaliacoes!A:G, 5, FALSE)</f>
        <v>Note it before purchase headphone,Totally value for money, sound quality is good,Ear cuffs easily detachable,Decent for the Price,Best one in this Budget,Bluetooth is connecting should be improve.,Good Product.,Nice product</v>
      </c>
      <c r="O682" s="7" t="str">
        <f>VLOOKUP(A682, avaliacoes!A:G, 6, FALSE)</f>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v>
      </c>
    </row>
    <row r="683">
      <c r="A683" s="1" t="s">
        <v>2584</v>
      </c>
      <c r="B683" s="1" t="s">
        <v>2585</v>
      </c>
      <c r="C683" s="1" t="s">
        <v>2335</v>
      </c>
      <c r="D683" s="1" t="str">
        <f t="shared" si="2"/>
        <v>Computers&amp;Accessories</v>
      </c>
      <c r="E683" s="1" t="str">
        <f t="shared" si="3"/>
        <v>Accessories&amp;Peripherals</v>
      </c>
      <c r="F683" s="2">
        <v>299.0</v>
      </c>
      <c r="G683" s="2">
        <v>599.0</v>
      </c>
      <c r="H683" s="3">
        <f t="shared" si="4"/>
        <v>0.5008347245</v>
      </c>
      <c r="I683" s="4">
        <f>IFERROR(__xludf.DUMMYFUNCTION("GOOGLEFINANCE(""CURRENCY:INRBRL"")*F683"),17.8438185172)</f>
        <v>17.84381852</v>
      </c>
      <c r="J683" s="1">
        <v>4.51</v>
      </c>
      <c r="K683" s="1">
        <v>3066.0</v>
      </c>
      <c r="L683" s="1" t="s">
        <v>2586</v>
      </c>
      <c r="M683" s="6" t="s">
        <v>2587</v>
      </c>
      <c r="N683" s="7" t="str">
        <f>VLOOKUP(A683, avaliacoes!A:G, 5, FALSE)</f>
        <v>Comfortable keys and smooth typing,Good at this price,Good but space button very not working properly.. defect product..,Descent,Good product,as money as goods,good,Came with 2 keys not working</v>
      </c>
      <c r="O683" s="7" t="str">
        <f>VLOOKUP(A683, avaliacoes!A:G, 6, FALSE)</f>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v>
      </c>
    </row>
    <row r="684">
      <c r="A684" s="1" t="s">
        <v>2588</v>
      </c>
      <c r="B684" s="1" t="s">
        <v>2589</v>
      </c>
      <c r="C684" s="1" t="s">
        <v>2283</v>
      </c>
      <c r="D684" s="1" t="str">
        <f t="shared" si="2"/>
        <v>Computers&amp;Accessories</v>
      </c>
      <c r="E684" s="1" t="str">
        <f t="shared" si="3"/>
        <v>Accessories&amp;Peripherals</v>
      </c>
      <c r="F684" s="2">
        <v>449.0</v>
      </c>
      <c r="G684" s="2">
        <v>999.0</v>
      </c>
      <c r="H684" s="3">
        <f t="shared" si="4"/>
        <v>0.5505505506</v>
      </c>
      <c r="I684" s="4">
        <f>IFERROR(__xludf.DUMMYFUNCTION("GOOGLEFINANCE(""CURRENCY:INRBRL"")*F684"),26.795566937199997)</f>
        <v>26.79556694</v>
      </c>
      <c r="J684" s="1">
        <v>4.0</v>
      </c>
      <c r="K684" s="1">
        <v>2102.0</v>
      </c>
      <c r="L684" s="1" t="s">
        <v>2590</v>
      </c>
      <c r="M684" s="6" t="s">
        <v>2591</v>
      </c>
      <c r="N684" s="7" t="str">
        <f>VLOOKUP(A684, avaliacoes!A:G, 5, FALSE)</f>
        <v>bit wobbly and too compact,Easy for the eye level,Not up to the mark,Good product,Nice,Serves the purpose,Best to buy,No</v>
      </c>
      <c r="O684" s="7" t="str">
        <f>VLOOKUP(A684, avaliacoes!A:G, 6, FALSE)</f>
        <v>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v>
      </c>
    </row>
    <row r="685">
      <c r="A685" s="1" t="s">
        <v>2592</v>
      </c>
      <c r="B685" s="1" t="s">
        <v>2593</v>
      </c>
      <c r="C685" s="1" t="s">
        <v>2269</v>
      </c>
      <c r="D685" s="1" t="str">
        <f t="shared" si="2"/>
        <v>Computers&amp;Accessories</v>
      </c>
      <c r="E685" s="1" t="str">
        <f t="shared" si="3"/>
        <v>Accessories&amp;Peripherals</v>
      </c>
      <c r="F685" s="2">
        <v>799.0</v>
      </c>
      <c r="G685" s="2">
        <v>1295.0</v>
      </c>
      <c r="H685" s="3">
        <f t="shared" si="4"/>
        <v>0.383011583</v>
      </c>
      <c r="I685" s="4">
        <f>IFERROR(__xludf.DUMMYFUNCTION("GOOGLEFINANCE(""CURRENCY:INRBRL"")*F685"),47.682979917199994)</f>
        <v>47.68297992</v>
      </c>
      <c r="J685" s="1">
        <v>4.5</v>
      </c>
      <c r="K685" s="1">
        <v>34852.0</v>
      </c>
      <c r="L685" s="1" t="s">
        <v>2594</v>
      </c>
      <c r="M685" s="6" t="s">
        <v>2595</v>
      </c>
      <c r="N685" s="7" t="str">
        <f>VLOOKUP(A685, avaliacoes!A:G, 5, FALSE)</f>
        <v>Worth buying it.,Nice,Good product,Good,Logitech is the best there - problem with the sroller,Very good product,Value for money product,Good quality</v>
      </c>
      <c r="O685" s="7" t="str">
        <f>VLOOKUP(A685, avaliacoes!A:G, 6, FALSE)</f>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v>
      </c>
    </row>
    <row r="686">
      <c r="A686" s="1" t="s">
        <v>69</v>
      </c>
      <c r="B686" s="1" t="s">
        <v>70</v>
      </c>
      <c r="C686" s="1" t="s">
        <v>71</v>
      </c>
      <c r="D686" s="1" t="str">
        <f t="shared" si="2"/>
        <v>Electronics</v>
      </c>
      <c r="E686" s="1" t="str">
        <f t="shared" si="3"/>
        <v>HomeTheater,TV&amp;Video</v>
      </c>
      <c r="F686" s="2">
        <v>219.0</v>
      </c>
      <c r="G686" s="2">
        <v>700.0</v>
      </c>
      <c r="H686" s="3">
        <f t="shared" si="4"/>
        <v>0.6871428571</v>
      </c>
      <c r="I686" s="4">
        <f>IFERROR(__xludf.DUMMYFUNCTION("GOOGLEFINANCE(""CURRENCY:INRBRL"")*F686"),13.069552693199999)</f>
        <v>13.06955269</v>
      </c>
      <c r="J686" s="1">
        <v>4.5</v>
      </c>
      <c r="K686" s="1">
        <v>426972.0</v>
      </c>
      <c r="L686" s="1" t="s">
        <v>72</v>
      </c>
      <c r="M686" s="6" t="s">
        <v>2596</v>
      </c>
      <c r="N686" s="7" t="str">
        <f>VLOOKUP(A686, avaliacoes!A:G, 5, FALSE)</f>
        <v>It's quite good and value for money,Works well,Hdmi cable,Value for money,All good,Gets the job done,Delivery was good,This one was my need to purchase</v>
      </c>
      <c r="O686" s="7" t="str">
        <f>VLOOKUP(A686, avaliacoes!A:G,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row>
    <row r="687">
      <c r="A687" s="1" t="s">
        <v>2597</v>
      </c>
      <c r="B687" s="1" t="s">
        <v>2598</v>
      </c>
      <c r="C687" s="1" t="s">
        <v>2599</v>
      </c>
      <c r="D687" s="1" t="str">
        <f t="shared" si="2"/>
        <v>OfficeProducts</v>
      </c>
      <c r="E687" s="1" t="str">
        <f t="shared" si="3"/>
        <v>OfficePaperProducts</v>
      </c>
      <c r="F687" s="2">
        <v>157.0</v>
      </c>
      <c r="G687" s="2">
        <v>160.0</v>
      </c>
      <c r="H687" s="3">
        <f t="shared" si="4"/>
        <v>0.01875</v>
      </c>
      <c r="I687" s="4">
        <f>IFERROR(__xludf.DUMMYFUNCTION("GOOGLEFINANCE(""CURRENCY:INRBRL"")*F687"),9.3694966796)</f>
        <v>9.36949668</v>
      </c>
      <c r="J687" s="1">
        <v>4.51</v>
      </c>
      <c r="K687" s="1">
        <v>8618.0</v>
      </c>
      <c r="L687" s="1" t="s">
        <v>2600</v>
      </c>
      <c r="M687" s="6" t="s">
        <v>2601</v>
      </c>
      <c r="N687" s="7" t="str">
        <f>VLOOKUP(A687, avaliacoes!A:G, 5, FALSE)</f>
        <v>An Overall Good Product.,Great notebook, but..,Good,Awesome,Paper quality not nice,Very good copies,Design,Good product</v>
      </c>
      <c r="O687" s="7" t="str">
        <f>VLOOKUP(A687, avaliacoes!A:G, 6, FALSE)</f>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v>
      </c>
    </row>
    <row r="688">
      <c r="A688" s="1" t="s">
        <v>1713</v>
      </c>
      <c r="B688" s="1" t="s">
        <v>1714</v>
      </c>
      <c r="C688" s="1" t="s">
        <v>1393</v>
      </c>
      <c r="D688" s="1" t="str">
        <f t="shared" si="2"/>
        <v>Electronics</v>
      </c>
      <c r="E688" s="1" t="str">
        <f t="shared" si="3"/>
        <v>Accessories</v>
      </c>
      <c r="F688" s="2">
        <v>369.0</v>
      </c>
      <c r="G688" s="2">
        <v>1599.0</v>
      </c>
      <c r="H688" s="3">
        <f t="shared" si="4"/>
        <v>0.7692307692</v>
      </c>
      <c r="I688" s="4">
        <f>IFERROR(__xludf.DUMMYFUNCTION("GOOGLEFINANCE(""CURRENCY:INRBRL"")*F688"),22.0213011132)</f>
        <v>22.02130111</v>
      </c>
      <c r="J688" s="1">
        <v>4.0</v>
      </c>
      <c r="K688" s="1">
        <v>32625.0</v>
      </c>
      <c r="L688" s="1" t="s">
        <v>2602</v>
      </c>
      <c r="M688" s="6" t="s">
        <v>2603</v>
      </c>
      <c r="N688" s="7" t="str">
        <f>VLOOKUP(A688, avaliacoes!A:G, 5, FALSE)</f>
        <v>Best,genuine,Nice product,Good product,Value for money,Good,worth of purchase,Good 👍</v>
      </c>
      <c r="O688" s="7" t="str">
        <f>VLOOKUP(A688, avaliacoes!A:G, 6, FALSE)</f>
        <v>Best wishes,brought it online as cautious about buying offline coz of fake and overpriced products. using it for my wifi camera. working fine,Nice product,Nice quality product easy to use. Thanks amazon,Well known brand ..Nice product.,Good,worth product,Bahut achcha laga Raha hai</v>
      </c>
    </row>
    <row r="689">
      <c r="A689" s="1" t="s">
        <v>2604</v>
      </c>
      <c r="B689" s="1" t="s">
        <v>2605</v>
      </c>
      <c r="C689" s="1" t="s">
        <v>2269</v>
      </c>
      <c r="D689" s="1" t="str">
        <f t="shared" si="2"/>
        <v>Computers&amp;Accessories</v>
      </c>
      <c r="E689" s="1" t="str">
        <f t="shared" si="3"/>
        <v>Accessories&amp;Peripherals</v>
      </c>
      <c r="F689" s="2">
        <v>599.0</v>
      </c>
      <c r="G689" s="2">
        <v>899.0</v>
      </c>
      <c r="H689" s="3">
        <f t="shared" si="4"/>
        <v>0.3337041157</v>
      </c>
      <c r="I689" s="4">
        <f>IFERROR(__xludf.DUMMYFUNCTION("GOOGLEFINANCE(""CURRENCY:INRBRL"")*F689"),35.747315357199994)</f>
        <v>35.74731536</v>
      </c>
      <c r="J689" s="1">
        <v>4.0</v>
      </c>
      <c r="K689" s="1">
        <v>4018.0</v>
      </c>
      <c r="L689" s="1" t="s">
        <v>2606</v>
      </c>
      <c r="M689" s="6" t="s">
        <v>2607</v>
      </c>
      <c r="N689" s="7" t="str">
        <f>VLOOKUP(A689, avaliacoes!A:G, 5, FALSE)</f>
        <v>Nice,Scroll wheel is extremely small,Value for money 💰 during sale price become much lower than normal that is time to buy this.,Ok,It's a quality product...,Good product,Mouse OK but upper part Flimsy,Product is good</v>
      </c>
      <c r="O689" s="7" t="str">
        <f>VLOOKUP(A689, avaliacoes!A:G, 6, FALSE)</f>
        <v>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v>
      </c>
    </row>
    <row r="690">
      <c r="A690" s="1" t="s">
        <v>2608</v>
      </c>
      <c r="B690" s="1" t="s">
        <v>2609</v>
      </c>
      <c r="C690" s="1" t="s">
        <v>2610</v>
      </c>
      <c r="D690" s="1" t="str">
        <f t="shared" si="2"/>
        <v>Electronics</v>
      </c>
      <c r="E690" s="1" t="str">
        <f t="shared" si="3"/>
        <v>GeneralPurposeBatteries&amp;BatteryChargers</v>
      </c>
      <c r="F690" s="2">
        <v>479.0</v>
      </c>
      <c r="G690" s="2">
        <v>599.0</v>
      </c>
      <c r="H690" s="3">
        <f t="shared" si="4"/>
        <v>0.2003338898</v>
      </c>
      <c r="I690" s="4">
        <f>IFERROR(__xludf.DUMMYFUNCTION("GOOGLEFINANCE(""CURRENCY:INRBRL"")*F690"),28.5859166212)</f>
        <v>28.58591662</v>
      </c>
      <c r="J690" s="1">
        <v>4.5</v>
      </c>
      <c r="K690" s="1">
        <v>11687.0</v>
      </c>
      <c r="L690" s="1" t="s">
        <v>2611</v>
      </c>
      <c r="M690" s="6" t="s">
        <v>2612</v>
      </c>
      <c r="N690" s="7" t="str">
        <f>VLOOKUP(A690, avaliacoes!A:G, 5, FALSE)</f>
        <v>Decent Product,Very useful,Daljeet,***,Good,Working well but heated much while charging,Value For Money and Worthable,Good among all rechargable batree</v>
      </c>
      <c r="O690" s="7" t="str">
        <f>VLOOKUP(A690, avaliacoes!A:G, 6, FALSE)</f>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v>
      </c>
    </row>
    <row r="691">
      <c r="A691" s="1" t="s">
        <v>74</v>
      </c>
      <c r="B691" s="1" t="s">
        <v>75</v>
      </c>
      <c r="C691" s="1" t="s">
        <v>21</v>
      </c>
      <c r="D691" s="1" t="str">
        <f t="shared" si="2"/>
        <v>Computers&amp;Accessories</v>
      </c>
      <c r="E691" s="1" t="str">
        <f t="shared" si="3"/>
        <v>Accessories&amp;Peripherals</v>
      </c>
      <c r="F691" s="2">
        <v>350.0</v>
      </c>
      <c r="G691" s="2">
        <v>899.0</v>
      </c>
      <c r="H691" s="3">
        <f t="shared" si="4"/>
        <v>0.6106785317</v>
      </c>
      <c r="I691" s="4">
        <f>IFERROR(__xludf.DUMMYFUNCTION("GOOGLEFINANCE(""CURRENCY:INRBRL"")*F691"),20.887412979999997)</f>
        <v>20.88741298</v>
      </c>
      <c r="J691" s="1">
        <v>4.5</v>
      </c>
      <c r="K691" s="1">
        <v>2262.0</v>
      </c>
      <c r="L691" s="1" t="s">
        <v>76</v>
      </c>
      <c r="M691" s="6" t="s">
        <v>2613</v>
      </c>
      <c r="N691" s="7" t="str">
        <f>VLOOKUP(A691, avaliacoes!A:G, 5, FALSE)</f>
        <v>Works,Nice Product,Fast Charging as original,Good for data transfer,Average. Cost effective,Good quality,Great Product,Nice</v>
      </c>
      <c r="O691" s="7" t="str">
        <f>VLOOKUP(A691, avaliacoes!A:G,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row>
    <row r="692">
      <c r="A692" s="1" t="s">
        <v>2614</v>
      </c>
      <c r="B692" s="1" t="s">
        <v>2615</v>
      </c>
      <c r="C692" s="1" t="s">
        <v>1411</v>
      </c>
      <c r="D692" s="1" t="str">
        <f t="shared" si="2"/>
        <v>Electronics</v>
      </c>
      <c r="E692" s="1" t="str">
        <f t="shared" si="3"/>
        <v>Headphones,Earbuds&amp;Accessories</v>
      </c>
      <c r="F692" s="2">
        <v>1598.0</v>
      </c>
      <c r="G692" s="2">
        <v>2990.0</v>
      </c>
      <c r="H692" s="3">
        <f t="shared" si="4"/>
        <v>0.4655518395</v>
      </c>
      <c r="I692" s="4">
        <f>IFERROR(__xludf.DUMMYFUNCTION("GOOGLEFINANCE(""CURRENCY:INRBRL"")*F692"),95.36595983439999)</f>
        <v>95.36595983</v>
      </c>
      <c r="J692" s="1">
        <v>4.51</v>
      </c>
      <c r="K692" s="1">
        <v>11015.0</v>
      </c>
      <c r="L692" s="1" t="s">
        <v>2616</v>
      </c>
      <c r="M692" s="6" t="s">
        <v>2617</v>
      </c>
      <c r="N692" s="7" t="str">
        <f>VLOOKUP(A692, avaliacoes!A:G, 5, FALSE)</f>
        <v>Works just fine,Nice earbuds, but not quite as advertised,The sound quality is good but not better than wired or neckband earphones.,Overall Good,Nice product,Good to buy, for compact ear pods with decent sound battery and sound quality,Good,👍 Good</v>
      </c>
      <c r="O692" s="7" t="str">
        <f>VLOOKUP(A692, avaliacoes!A:G, 6, FALSE)</f>
        <v>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v>
      </c>
    </row>
    <row r="693">
      <c r="A693" s="1" t="s">
        <v>2618</v>
      </c>
      <c r="B693" s="1" t="s">
        <v>2619</v>
      </c>
      <c r="C693" s="1" t="s">
        <v>2620</v>
      </c>
      <c r="D693" s="1" t="str">
        <f t="shared" si="2"/>
        <v>Computers&amp;Accessories</v>
      </c>
      <c r="E693" s="1" t="str">
        <f t="shared" si="3"/>
        <v>NetworkingDevices</v>
      </c>
      <c r="F693" s="2">
        <v>599.0</v>
      </c>
      <c r="G693" s="2">
        <v>899.0</v>
      </c>
      <c r="H693" s="3">
        <f t="shared" si="4"/>
        <v>0.3337041157</v>
      </c>
      <c r="I693" s="4">
        <f>IFERROR(__xludf.DUMMYFUNCTION("GOOGLEFINANCE(""CURRENCY:INRBRL"")*F693"),35.747315357199994)</f>
        <v>35.74731536</v>
      </c>
      <c r="J693" s="1">
        <v>4.5</v>
      </c>
      <c r="K693" s="1">
        <v>95116.0</v>
      </c>
      <c r="L693" s="1" t="s">
        <v>2621</v>
      </c>
      <c r="M693" s="6" t="s">
        <v>2622</v>
      </c>
      <c r="N693" s="7" t="str">
        <f>VLOOKUP(A693, avaliacoes!A:G, 5, FALSE)</f>
        <v>**UPDATE MARCH2021**Decent for a USB 2.0 Device but don't expect anything above SBC *FALSE*aptX,Works very well, for Linux too,Using it to connect with ps5 controller on pc, no issues !,Not bad,Nice product with some cons,Overall good product 👌,Okay if on tight budget,Nice</v>
      </c>
      <c r="O693" s="7" t="str">
        <f>VLOOKUP(A693, avaliacoes!A:G, 6, FALSE)</f>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v>
      </c>
    </row>
    <row r="694">
      <c r="A694" s="1" t="s">
        <v>78</v>
      </c>
      <c r="B694" s="1" t="s">
        <v>79</v>
      </c>
      <c r="C694" s="1" t="s">
        <v>21</v>
      </c>
      <c r="D694" s="1" t="str">
        <f t="shared" si="2"/>
        <v>Computers&amp;Accessories</v>
      </c>
      <c r="E694" s="1" t="str">
        <f t="shared" si="3"/>
        <v>Accessories&amp;Peripherals</v>
      </c>
      <c r="F694" s="2">
        <v>159.0</v>
      </c>
      <c r="G694" s="2">
        <v>399.0</v>
      </c>
      <c r="H694" s="3">
        <f t="shared" si="4"/>
        <v>0.6015037594</v>
      </c>
      <c r="I694" s="4">
        <f>IFERROR(__xludf.DUMMYFUNCTION("GOOGLEFINANCE(""CURRENCY:INRBRL"")*F694"),9.4888533252)</f>
        <v>9.488853325</v>
      </c>
      <c r="J694" s="1">
        <v>4.49</v>
      </c>
      <c r="K694" s="1">
        <v>4768.0</v>
      </c>
      <c r="L694" s="1" t="s">
        <v>38</v>
      </c>
      <c r="M694" s="6" t="s">
        <v>2623</v>
      </c>
      <c r="N694" s="7" t="str">
        <f>VLOOKUP(A694, avaliacoes!A:G,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O694" s="7" t="str">
        <f>VLOOKUP(A694, avaliacoes!A:G,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row>
    <row r="695">
      <c r="A695" s="1" t="s">
        <v>2624</v>
      </c>
      <c r="B695" s="1" t="s">
        <v>2625</v>
      </c>
      <c r="C695" s="1" t="s">
        <v>2264</v>
      </c>
      <c r="D695" s="1" t="str">
        <f t="shared" si="2"/>
        <v>Computers&amp;Accessories</v>
      </c>
      <c r="E695" s="1" t="str">
        <f t="shared" si="3"/>
        <v>ExternalDevices&amp;DataStorage</v>
      </c>
      <c r="F695" s="2">
        <v>1299.0</v>
      </c>
      <c r="G695" s="2">
        <v>2999.0</v>
      </c>
      <c r="H695" s="3">
        <f t="shared" si="4"/>
        <v>0.5668556185</v>
      </c>
      <c r="I695" s="4">
        <f>IFERROR(__xludf.DUMMYFUNCTION("GOOGLEFINANCE(""CURRENCY:INRBRL"")*F695"),77.5221413172)</f>
        <v>77.52214132</v>
      </c>
      <c r="J695" s="1">
        <v>4.5</v>
      </c>
      <c r="K695" s="1">
        <v>23022.0</v>
      </c>
      <c r="L695" s="1" t="s">
        <v>2626</v>
      </c>
      <c r="M695" s="6" t="s">
        <v>2627</v>
      </c>
      <c r="N695" s="7" t="str">
        <f>VLOOKUP(A695, avaliacoes!A:G, 5, FALSE)</f>
        <v>Ya Nice..value for money..,Overall decent Product,Great deal for 1200,Good but heats up a little and error issues,Fast and efficient loved it,Does the job,Very good,superb</v>
      </c>
      <c r="O695" s="7" t="str">
        <f>VLOOKUP(A695, avaliacoes!A:G, 6, FALSE)</f>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v>
      </c>
    </row>
    <row r="696">
      <c r="A696" s="1" t="s">
        <v>1768</v>
      </c>
      <c r="B696" s="1" t="s">
        <v>1769</v>
      </c>
      <c r="C696" s="1" t="s">
        <v>1356</v>
      </c>
      <c r="D696" s="1" t="str">
        <f t="shared" si="2"/>
        <v>Electronics</v>
      </c>
      <c r="E696" s="1" t="str">
        <f t="shared" si="3"/>
        <v>WearableTechnology</v>
      </c>
      <c r="F696" s="2">
        <v>1599.0</v>
      </c>
      <c r="G696" s="2">
        <v>4999.0</v>
      </c>
      <c r="H696" s="3">
        <f t="shared" si="4"/>
        <v>0.6801360272</v>
      </c>
      <c r="I696" s="4">
        <f>IFERROR(__xludf.DUMMYFUNCTION("GOOGLEFINANCE(""CURRENCY:INRBRL"")*F696"),95.4256381572)</f>
        <v>95.42563816</v>
      </c>
      <c r="J696" s="1">
        <v>4.0</v>
      </c>
      <c r="K696" s="1">
        <v>67951.0</v>
      </c>
      <c r="L696" s="1" t="s">
        <v>1770</v>
      </c>
      <c r="M696" s="6" t="s">
        <v>2628</v>
      </c>
      <c r="N696" s="7" t="str">
        <f>VLOOKUP(A696, avaliacoes!A:G, 5, FALSE)</f>
        <v>Noise smartwatch,The product is good overall,Good Battery backup,Okayish product,Satisfied.,Good,It's great watch,Noise</v>
      </c>
      <c r="O696" s="7" t="str">
        <f>VLOOKUP(A696, avaliacoes!A:G, 6, FALSE)</f>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v>
      </c>
    </row>
    <row r="697">
      <c r="A697" s="1" t="s">
        <v>2629</v>
      </c>
      <c r="B697" s="1" t="s">
        <v>2630</v>
      </c>
      <c r="C697" s="1" t="s">
        <v>2631</v>
      </c>
      <c r="D697" s="1" t="str">
        <f t="shared" si="2"/>
        <v>Computers&amp;Accessories</v>
      </c>
      <c r="E697" s="1" t="str">
        <f t="shared" si="3"/>
        <v>Accessories&amp;Peripherals</v>
      </c>
      <c r="F697" s="2">
        <v>294.0</v>
      </c>
      <c r="G697" s="2">
        <v>4999.0</v>
      </c>
      <c r="H697" s="3">
        <f t="shared" si="4"/>
        <v>0.9411882376</v>
      </c>
      <c r="I697" s="4">
        <f>IFERROR(__xludf.DUMMYFUNCTION("GOOGLEFINANCE(""CURRENCY:INRBRL"")*F697"),17.5454269032)</f>
        <v>17.5454269</v>
      </c>
      <c r="J697" s="1">
        <v>4.5</v>
      </c>
      <c r="K697" s="1">
        <v>4426.0</v>
      </c>
      <c r="L697" s="1" t="s">
        <v>2632</v>
      </c>
      <c r="M697" s="6" t="s">
        <v>2633</v>
      </c>
      <c r="N697" s="7" t="str">
        <f>VLOOKUP(A697, avaliacoes!A:G, 5, FALSE)</f>
        <v>Tiny helping hand,Good product,As a whole good product,It works,Used ,as of now satisfied with the product,beep sound while connected,Good product,USB to C adopter</v>
      </c>
      <c r="O697" s="7" t="str">
        <f>VLOOKUP(A697, avaliacoes!A:G, 6, FALSE)</f>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v>
      </c>
    </row>
    <row r="698">
      <c r="A698" s="1" t="s">
        <v>2634</v>
      </c>
      <c r="B698" s="1" t="s">
        <v>2635</v>
      </c>
      <c r="C698" s="1" t="s">
        <v>2443</v>
      </c>
      <c r="D698" s="1" t="str">
        <f t="shared" si="2"/>
        <v>Computers&amp;Accessories</v>
      </c>
      <c r="E698" s="1" t="str">
        <f t="shared" si="3"/>
        <v>Printers,Inks&amp;Accessories</v>
      </c>
      <c r="F698" s="2">
        <v>828.0</v>
      </c>
      <c r="G698" s="2">
        <v>861.0</v>
      </c>
      <c r="H698" s="3">
        <f t="shared" si="4"/>
        <v>0.03832752613</v>
      </c>
      <c r="I698" s="4">
        <f>IFERROR(__xludf.DUMMYFUNCTION("GOOGLEFINANCE(""CURRENCY:INRBRL"")*F698"),49.413651278399996)</f>
        <v>49.41365128</v>
      </c>
      <c r="J698" s="1">
        <v>4.5</v>
      </c>
      <c r="K698" s="1">
        <v>4567.0</v>
      </c>
      <c r="L698" s="1" t="s">
        <v>2636</v>
      </c>
      <c r="M698" s="6" t="s">
        <v>2637</v>
      </c>
      <c r="N698" s="7" t="str">
        <f>VLOOKUP(A698, avaliacoes!A:G, 5, FALSE)</f>
        <v>On average is ok ok pricing,Good,Quality good.,Better,The original ink cartridges are always the best,Costly,Expensive but the product was good,Good</v>
      </c>
      <c r="O698" s="7" t="str">
        <f>VLOOKUP(A698, avaliacoes!A:G, 6, FALSE)</f>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v>
      </c>
    </row>
    <row r="699">
      <c r="A699" s="1" t="s">
        <v>2638</v>
      </c>
      <c r="B699" s="1" t="s">
        <v>2639</v>
      </c>
      <c r="C699" s="1" t="s">
        <v>2077</v>
      </c>
      <c r="D699" s="1" t="str">
        <f t="shared" si="2"/>
        <v>Electronics</v>
      </c>
      <c r="E699" s="1" t="str">
        <f t="shared" si="3"/>
        <v>Headphones,Earbuds&amp;Accessories</v>
      </c>
      <c r="F699" s="2">
        <v>745.0</v>
      </c>
      <c r="G699" s="2">
        <v>795.0</v>
      </c>
      <c r="H699" s="3">
        <f t="shared" si="4"/>
        <v>0.06289308176</v>
      </c>
      <c r="I699" s="4">
        <f>IFERROR(__xludf.DUMMYFUNCTION("GOOGLEFINANCE(""CURRENCY:INRBRL"")*F699"),44.460350485999996)</f>
        <v>44.46035049</v>
      </c>
      <c r="J699" s="1">
        <v>4.0</v>
      </c>
      <c r="K699" s="1">
        <v>13797.0</v>
      </c>
      <c r="L699" s="1" t="s">
        <v>2640</v>
      </c>
      <c r="M699" s="6" t="s">
        <v>2641</v>
      </c>
      <c r="N699" s="7" t="str">
        <f>VLOOKUP(A699, avaliacoes!A:G, 5, FALSE)</f>
        <v>Good product but low quality at less price,I took for meetings and it working well.,Good but built quality ok,Problem with comfort for long hours calling,Headphone,It does the job well.,Noise cancellation is quite good in this price range.,Work with teams! perfect budget headphones.</v>
      </c>
      <c r="O699" s="7" t="str">
        <f>VLOOKUP(A699, avaliacoes!A:G, 6, FALSE)</f>
        <v>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v>
      </c>
    </row>
    <row r="700">
      <c r="A700" s="1" t="s">
        <v>2642</v>
      </c>
      <c r="B700" s="1" t="s">
        <v>2643</v>
      </c>
      <c r="C700" s="1" t="s">
        <v>2644</v>
      </c>
      <c r="D700" s="1" t="str">
        <f t="shared" si="2"/>
        <v>Electronics</v>
      </c>
      <c r="E700" s="1" t="str">
        <f t="shared" si="3"/>
        <v>Cameras&amp;Photography</v>
      </c>
      <c r="F700" s="2">
        <v>1549.0</v>
      </c>
      <c r="G700" s="2">
        <v>2495.0</v>
      </c>
      <c r="H700" s="3">
        <f t="shared" si="4"/>
        <v>0.3791583166</v>
      </c>
      <c r="I700" s="4">
        <f>IFERROR(__xludf.DUMMYFUNCTION("GOOGLEFINANCE(""CURRENCY:INRBRL"")*F700"),92.4417220172)</f>
        <v>92.44172202</v>
      </c>
      <c r="J700" s="1">
        <v>4.5</v>
      </c>
      <c r="K700" s="1">
        <v>15137.0</v>
      </c>
      <c r="L700" s="1" t="s">
        <v>2645</v>
      </c>
      <c r="M700" s="6" t="s">
        <v>2646</v>
      </c>
      <c r="N700" s="7" t="str">
        <f>VLOOKUP(A700, avaliacoes!A:G, 5, FALSE)</f>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v>
      </c>
      <c r="O700" s="7" t="str">
        <f>VLOOKUP(A700, avaliacoes!A:G, 6, FALSE)</f>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v>
      </c>
    </row>
    <row r="701">
      <c r="A701" s="1" t="s">
        <v>81</v>
      </c>
      <c r="B701" s="1" t="s">
        <v>82</v>
      </c>
      <c r="C701" s="1" t="s">
        <v>21</v>
      </c>
      <c r="D701" s="1" t="str">
        <f t="shared" si="2"/>
        <v>Computers&amp;Accessories</v>
      </c>
      <c r="E701" s="1" t="str">
        <f t="shared" si="3"/>
        <v>Accessories&amp;Peripherals</v>
      </c>
      <c r="F701" s="2">
        <v>349.0</v>
      </c>
      <c r="G701" s="2">
        <v>399.0</v>
      </c>
      <c r="H701" s="3">
        <f t="shared" si="4"/>
        <v>0.1253132832</v>
      </c>
      <c r="I701" s="4">
        <f>IFERROR(__xludf.DUMMYFUNCTION("GOOGLEFINANCE(""CURRENCY:INRBRL"")*F701"),20.827734657199997)</f>
        <v>20.82773466</v>
      </c>
      <c r="J701" s="1">
        <v>4.5</v>
      </c>
      <c r="K701" s="1">
        <v>18757.0</v>
      </c>
      <c r="L701" s="1" t="s">
        <v>2647</v>
      </c>
      <c r="M701" s="6" t="s">
        <v>2648</v>
      </c>
      <c r="N701" s="7" t="str">
        <f>VLOOKUP(A701, avaliacoes!A:G, 5, FALSE)</f>
        <v>Good product,using this product 8months It is done  I have not faced any problem so far, its build quality best,I really liked this one.,Very strong and support fast charging ,,Nice cable,Best data cable charging fast,Good job,Good but need some improvement</v>
      </c>
      <c r="O701" s="7" t="str">
        <f>VLOOKUP(A701, avaliacoes!A:G,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row>
    <row r="702">
      <c r="A702" s="1" t="s">
        <v>102</v>
      </c>
      <c r="B702" s="1" t="s">
        <v>103</v>
      </c>
      <c r="C702" s="1" t="s">
        <v>21</v>
      </c>
      <c r="D702" s="1" t="str">
        <f t="shared" si="2"/>
        <v>Computers&amp;Accessories</v>
      </c>
      <c r="E702" s="1" t="str">
        <f t="shared" si="3"/>
        <v>Accessories&amp;Peripherals</v>
      </c>
      <c r="F702" s="2">
        <v>970.0</v>
      </c>
      <c r="G702" s="2">
        <v>1799.0</v>
      </c>
      <c r="H702" s="3">
        <f t="shared" si="4"/>
        <v>0.460811562</v>
      </c>
      <c r="I702" s="4">
        <f>IFERROR(__xludf.DUMMYFUNCTION("GOOGLEFINANCE(""CURRENCY:INRBRL"")*F702"),57.887973116)</f>
        <v>57.88797312</v>
      </c>
      <c r="J702" s="1">
        <v>4.51</v>
      </c>
      <c r="K702" s="1">
        <v>815.0</v>
      </c>
      <c r="L702" s="1" t="s">
        <v>104</v>
      </c>
      <c r="M702" s="6" t="s">
        <v>2649</v>
      </c>
      <c r="N702" s="7" t="str">
        <f>VLOOKUP(A702, avaliacoes!A:G, 5, FALSE)</f>
        <v>Good cable for car,Good substitute for orginal,Better Value for money Product,Way better than the original,Absolutely amazing.,Namm hi kafi hai,Very good,As the names say Durable cell it a durable cable ;-)</v>
      </c>
      <c r="O702" s="7" t="str">
        <f>VLOOKUP(A702, avaliacoes!A:G,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row>
    <row r="703">
      <c r="A703" s="1" t="s">
        <v>2650</v>
      </c>
      <c r="B703" s="1" t="s">
        <v>2651</v>
      </c>
      <c r="C703" s="1" t="s">
        <v>2427</v>
      </c>
      <c r="D703" s="1" t="str">
        <f t="shared" si="2"/>
        <v>Computers&amp;Accessories</v>
      </c>
      <c r="E703" s="1" t="str">
        <f t="shared" si="3"/>
        <v>NetworkingDevices</v>
      </c>
      <c r="F703" s="2">
        <v>1469.0</v>
      </c>
      <c r="G703" s="2">
        <v>2499.0</v>
      </c>
      <c r="H703" s="3">
        <f t="shared" si="4"/>
        <v>0.4121648659</v>
      </c>
      <c r="I703" s="4">
        <f>IFERROR(__xludf.DUMMYFUNCTION("GOOGLEFINANCE(""CURRENCY:INRBRL"")*F703"),87.6674561932)</f>
        <v>87.66745619</v>
      </c>
      <c r="J703" s="1">
        <v>4.5</v>
      </c>
      <c r="K703" s="1">
        <v>156638.0</v>
      </c>
      <c r="L703" s="1" t="s">
        <v>2652</v>
      </c>
      <c r="M703" s="6" t="s">
        <v>2653</v>
      </c>
      <c r="N703" s="7" t="str">
        <f>VLOOKUP(A703, avaliacoes!A:G, 5, FALSE)</f>
        <v>Okay to use,Worthy product ...!!!!👍,Single band. 2.4 ghz only,Difficult,Valued for money,So far all is good,Ok,it’s for 2.4Ghz</v>
      </c>
      <c r="O703" s="7" t="str">
        <f>VLOOKUP(A703, avaliacoes!A:G, 6, FALSE)</f>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v>
      </c>
    </row>
    <row r="704">
      <c r="A704" s="1" t="s">
        <v>2654</v>
      </c>
      <c r="B704" s="1" t="s">
        <v>2655</v>
      </c>
      <c r="C704" s="1" t="s">
        <v>2656</v>
      </c>
      <c r="D704" s="1" t="str">
        <f t="shared" si="2"/>
        <v>OfficeProducts</v>
      </c>
      <c r="E704" s="1" t="str">
        <f t="shared" si="3"/>
        <v>OfficePaperProducts</v>
      </c>
      <c r="F704" s="2">
        <v>198.0</v>
      </c>
      <c r="G704" s="2">
        <v>800.0</v>
      </c>
      <c r="H704" s="3">
        <f t="shared" si="4"/>
        <v>0.7525</v>
      </c>
      <c r="I704" s="4">
        <f>IFERROR(__xludf.DUMMYFUNCTION("GOOGLEFINANCE(""CURRENCY:INRBRL"")*F704"),11.8163079144)</f>
        <v>11.81630791</v>
      </c>
      <c r="J704" s="1">
        <v>4.49</v>
      </c>
      <c r="K704" s="1">
        <v>9344.0</v>
      </c>
      <c r="L704" s="1" t="s">
        <v>2657</v>
      </c>
      <c r="M704" s="6" t="s">
        <v>2658</v>
      </c>
      <c r="N704" s="7" t="str">
        <f>VLOOKUP(A704, avaliacoes!A:G, 5, FALSE)</f>
        <v>Multipurpose and time-saving,Good notepad for travelers,Nice for the personal stuff,Super 👍,Most amazing product.,Too costly,Useful product,Good</v>
      </c>
      <c r="O704" s="7" t="str">
        <f>VLOOKUP(A704, avaliacoes!A:G, 6, FALSE)</f>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v>
      </c>
    </row>
    <row r="705">
      <c r="A705" s="1" t="s">
        <v>2659</v>
      </c>
      <c r="B705" s="1" t="s">
        <v>2660</v>
      </c>
      <c r="C705" s="1" t="s">
        <v>2661</v>
      </c>
      <c r="D705" s="1" t="str">
        <f t="shared" si="2"/>
        <v>Electronics</v>
      </c>
      <c r="E705" s="1" t="str">
        <f t="shared" si="3"/>
        <v>Cameras&amp;Photography</v>
      </c>
      <c r="F705" s="2">
        <v>549.0</v>
      </c>
      <c r="G705" s="2">
        <v>549.0</v>
      </c>
      <c r="H705" s="3">
        <f t="shared" si="4"/>
        <v>0</v>
      </c>
      <c r="I705" s="4">
        <f>IFERROR(__xludf.DUMMYFUNCTION("GOOGLEFINANCE(""CURRENCY:INRBRL"")*F705"),32.763399217199996)</f>
        <v>32.76339922</v>
      </c>
      <c r="J705" s="1">
        <v>4.51</v>
      </c>
      <c r="K705" s="1">
        <v>4875.0</v>
      </c>
      <c r="L705" s="1" t="s">
        <v>2662</v>
      </c>
      <c r="M705" s="6" t="s">
        <v>2663</v>
      </c>
      <c r="N705" s="7" t="str">
        <f>VLOOKUP(A705, avaliacoes!A:G, 5, FALSE)</f>
        <v>The quality is surprisingly good! Happy with the purchase!!!,Perfect,Good,Good product! Original stuff with exp date 2024-05! Worth the money!,Could get used to it,Good,This product should not be played with fiddle with it or or open it roughly,Cool</v>
      </c>
      <c r="O705" s="7" t="str">
        <f>VLOOKUP(A705, avaliacoes!A:G, 6, FALSE)</f>
        <v>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v>
      </c>
    </row>
    <row r="706">
      <c r="A706" s="1" t="s">
        <v>1851</v>
      </c>
      <c r="B706" s="1" t="s">
        <v>1852</v>
      </c>
      <c r="C706" s="1" t="s">
        <v>1356</v>
      </c>
      <c r="D706" s="1" t="str">
        <f t="shared" si="2"/>
        <v>Electronics</v>
      </c>
      <c r="E706" s="1" t="str">
        <f t="shared" si="3"/>
        <v>WearableTechnology</v>
      </c>
      <c r="F706" s="2">
        <v>2999.0</v>
      </c>
      <c r="G706" s="2">
        <v>9999.0</v>
      </c>
      <c r="H706" s="3">
        <f t="shared" si="4"/>
        <v>0.700070007</v>
      </c>
      <c r="I706" s="4">
        <f>IFERROR(__xludf.DUMMYFUNCTION("GOOGLEFINANCE(""CURRENCY:INRBRL"")*F706"),178.9752900772)</f>
        <v>178.9752901</v>
      </c>
      <c r="J706" s="1">
        <v>4.5</v>
      </c>
      <c r="K706" s="1">
        <v>20881.0</v>
      </c>
      <c r="L706" s="1" t="s">
        <v>1853</v>
      </c>
      <c r="M706" s="6" t="s">
        <v>2664</v>
      </c>
      <c r="N706" s="7" t="str">
        <f>VLOOKUP(A706, avaliacoes!A:G, 5, FALSE)</f>
        <v>pocket friendly  smart watch for people who loves large  screen.,Value for money,Value for money product,My watch is not charging,Service,Good but it's not working now,GREAT PRODUCT....,Good product</v>
      </c>
      <c r="O706" s="7" t="str">
        <f>VLOOKUP(A706, avaliacoes!A:G, 6, FALSE)</f>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v>
      </c>
    </row>
    <row r="707">
      <c r="A707" s="1" t="s">
        <v>2665</v>
      </c>
      <c r="B707" s="1" t="s">
        <v>2666</v>
      </c>
      <c r="C707" s="1" t="s">
        <v>1356</v>
      </c>
      <c r="D707" s="1" t="str">
        <f t="shared" si="2"/>
        <v>Electronics</v>
      </c>
      <c r="E707" s="1" t="str">
        <f t="shared" si="3"/>
        <v>WearableTechnology</v>
      </c>
      <c r="F707" s="2">
        <v>11999.0</v>
      </c>
      <c r="G707" s="2">
        <v>29999.0</v>
      </c>
      <c r="H707" s="3">
        <f t="shared" si="4"/>
        <v>0.6000200007</v>
      </c>
      <c r="I707" s="4">
        <f>IFERROR(__xludf.DUMMYFUNCTION("GOOGLEFINANCE(""CURRENCY:INRBRL"")*F707"),716.0801952772)</f>
        <v>716.0801953</v>
      </c>
      <c r="J707" s="1">
        <v>4.5</v>
      </c>
      <c r="K707" s="1">
        <v>4744.0</v>
      </c>
      <c r="L707" s="1" t="s">
        <v>2667</v>
      </c>
      <c r="M707" s="6" t="s">
        <v>2668</v>
      </c>
      <c r="N707" s="7" t="str">
        <f>VLOOKUP(A707, avaliacoes!A:G, 5, FALSE)</f>
        <v>LTE features (no other feature tested),Decent watch,Good not great,Great watch let down by battery life,Good fit, good apps,Wanted faster charging and better camera feed.,Mobile app Needs to be improved facing connectivity issues,Good</v>
      </c>
      <c r="O707" s="7" t="str">
        <f>VLOOKUP(A707, avaliacoes!A:G, 6, FALSE)</f>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v>
      </c>
    </row>
    <row r="708">
      <c r="A708" s="1" t="s">
        <v>2669</v>
      </c>
      <c r="B708" s="1" t="s">
        <v>2670</v>
      </c>
      <c r="C708" s="1" t="s">
        <v>1411</v>
      </c>
      <c r="D708" s="1" t="str">
        <f t="shared" si="2"/>
        <v>Electronics</v>
      </c>
      <c r="E708" s="1" t="str">
        <f t="shared" si="3"/>
        <v>Headphones,Earbuds&amp;Accessories</v>
      </c>
      <c r="F708" s="2">
        <v>1299.0</v>
      </c>
      <c r="G708" s="2">
        <v>3499.0</v>
      </c>
      <c r="H708" s="3">
        <f t="shared" si="4"/>
        <v>0.6287510717</v>
      </c>
      <c r="I708" s="4">
        <f>IFERROR(__xludf.DUMMYFUNCTION("GOOGLEFINANCE(""CURRENCY:INRBRL"")*F708"),77.5221413172)</f>
        <v>77.52214132</v>
      </c>
      <c r="J708" s="1">
        <v>4.52</v>
      </c>
      <c r="K708" s="1">
        <v>12452.0</v>
      </c>
      <c r="L708" s="1" t="s">
        <v>2671</v>
      </c>
      <c r="M708" s="6" t="s">
        <v>2672</v>
      </c>
      <c r="N708" s="7" t="str">
        <f>VLOOKUP(A708, avaliacoes!A:G, 5, FALSE)</f>
        <v>BUDGET TWS,Does its job,Bhomick bhasker,Noise is nice,Des Raj,Noise -Good one,It's sound quality,It's worth it</v>
      </c>
      <c r="O708" s="7" t="str">
        <f>VLOOKUP(A708, avaliacoes!A:G, 6, FALSE)</f>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v>
      </c>
    </row>
    <row r="709">
      <c r="A709" s="1" t="s">
        <v>2673</v>
      </c>
      <c r="B709" s="1" t="s">
        <v>2674</v>
      </c>
      <c r="C709" s="1" t="s">
        <v>2351</v>
      </c>
      <c r="D709" s="1" t="str">
        <f t="shared" si="2"/>
        <v>Electronics</v>
      </c>
      <c r="E709" s="1" t="str">
        <f t="shared" si="3"/>
        <v>GeneralPurposeBatteries&amp;BatteryChargers</v>
      </c>
      <c r="F709" s="2">
        <v>269.0</v>
      </c>
      <c r="G709" s="2">
        <v>315.0</v>
      </c>
      <c r="H709" s="3">
        <f t="shared" si="4"/>
        <v>0.146031746</v>
      </c>
      <c r="I709" s="4">
        <f>IFERROR(__xludf.DUMMYFUNCTION("GOOGLEFINANCE(""CURRENCY:INRBRL"")*F709"),16.0534688332)</f>
        <v>16.05346883</v>
      </c>
      <c r="J709" s="1">
        <v>4.51</v>
      </c>
      <c r="K709" s="1">
        <v>1781.0</v>
      </c>
      <c r="L709" s="1" t="s">
        <v>2675</v>
      </c>
      <c r="M709" s="6" t="s">
        <v>2676</v>
      </c>
      <c r="N709" s="7" t="str">
        <f>VLOOKUP(A709, avaliacoes!A:G, 5, FALSE)</f>
        <v>Longevity isn’t as long as I thought it would be,Good,Value for money,the expiry date and price covered by an external sticker. Can't make out anything,Good,Excellent customer service..,Good product,Good</v>
      </c>
      <c r="O709" s="7" t="str">
        <f>VLOOKUP(A709, avaliacoes!A:G, 6, FALSE)</f>
        <v>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v>
      </c>
    </row>
    <row r="710">
      <c r="A710" s="1" t="s">
        <v>2677</v>
      </c>
      <c r="B710" s="1" t="s">
        <v>2678</v>
      </c>
      <c r="C710" s="1" t="s">
        <v>1411</v>
      </c>
      <c r="D710" s="1" t="str">
        <f t="shared" si="2"/>
        <v>Electronics</v>
      </c>
      <c r="E710" s="1" t="str">
        <f t="shared" si="3"/>
        <v>Headphones,Earbuds&amp;Accessories</v>
      </c>
      <c r="F710" s="2">
        <v>799.0</v>
      </c>
      <c r="G710" s="2">
        <v>1499.0</v>
      </c>
      <c r="H710" s="3">
        <f t="shared" si="4"/>
        <v>0.4669779853</v>
      </c>
      <c r="I710" s="4">
        <f>IFERROR(__xludf.DUMMYFUNCTION("GOOGLEFINANCE(""CURRENCY:INRBRL"")*F710"),47.682979917199994)</f>
        <v>47.68297992</v>
      </c>
      <c r="J710" s="1">
        <v>4.49</v>
      </c>
      <c r="K710" s="1">
        <v>53648.0</v>
      </c>
      <c r="L710" s="1" t="s">
        <v>2679</v>
      </c>
      <c r="M710" s="6" t="s">
        <v>2680</v>
      </c>
      <c r="N710" s="7" t="str">
        <f>VLOOKUP(A710, avaliacoes!A:G, 5, FALSE)</f>
        <v>The price should be less than 500, not a very great product.,Good earphones,Average,Good earphone,Good for common men.,Nice headphone,Good looks but bass is not good as aspected..,Nice product</v>
      </c>
      <c r="O710" s="7" t="str">
        <f>VLOOKUP(A710, avaliacoes!A:G, 6, FALSE)</f>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v>
      </c>
    </row>
    <row r="711">
      <c r="A711" s="1" t="s">
        <v>2681</v>
      </c>
      <c r="B711" s="1" t="s">
        <v>2682</v>
      </c>
      <c r="C711" s="1" t="s">
        <v>2683</v>
      </c>
      <c r="D711" s="1" t="str">
        <f t="shared" si="2"/>
        <v>Computers&amp;Accessories</v>
      </c>
      <c r="E711" s="1" t="str">
        <f t="shared" si="3"/>
        <v>Monitors</v>
      </c>
      <c r="F711" s="2">
        <v>6299.0</v>
      </c>
      <c r="G711" s="2">
        <v>13750.0</v>
      </c>
      <c r="H711" s="3">
        <f t="shared" si="4"/>
        <v>0.5418909091</v>
      </c>
      <c r="I711" s="4">
        <f>IFERROR(__xludf.DUMMYFUNCTION("GOOGLEFINANCE(""CURRENCY:INRBRL"")*F711"),375.91375531719996)</f>
        <v>375.9137553</v>
      </c>
      <c r="J711" s="1">
        <v>4.5</v>
      </c>
      <c r="K711" s="1">
        <v>2014.0</v>
      </c>
      <c r="L711" s="1" t="s">
        <v>2684</v>
      </c>
      <c r="M711" s="6" t="s">
        <v>2685</v>
      </c>
      <c r="N711" s="7" t="str">
        <f>VLOOKUP(A711, avaliacoes!A:G, 5, FALSE)</f>
        <v>Good monitor in this price range,My Best Buy in 2022,Average product for daily use. And some gaming.,its a good 1080 monitor,Nice product,price relaetd issue,Worth monitor this price,Decent monitor at this price with limitation</v>
      </c>
      <c r="O711" s="7" t="str">
        <f>VLOOKUP(A711, avaliacoes!A:G, 6, FALSE)</f>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v>
      </c>
    </row>
    <row r="712">
      <c r="A712" s="1" t="s">
        <v>2686</v>
      </c>
      <c r="B712" s="1" t="s">
        <v>2687</v>
      </c>
      <c r="C712" s="1" t="s">
        <v>2688</v>
      </c>
      <c r="D712" s="1" t="str">
        <f t="shared" si="2"/>
        <v>Computers&amp;Accessories</v>
      </c>
      <c r="E712" s="1" t="str">
        <f t="shared" si="3"/>
        <v>Accessories&amp;Peripherals</v>
      </c>
      <c r="F712" s="2">
        <v>59.0</v>
      </c>
      <c r="G712" s="2">
        <v>59.0</v>
      </c>
      <c r="H712" s="3">
        <f t="shared" si="4"/>
        <v>0</v>
      </c>
      <c r="I712" s="4">
        <f>IFERROR(__xludf.DUMMYFUNCTION("GOOGLEFINANCE(""CURRENCY:INRBRL"")*F712"),3.5210210452)</f>
        <v>3.521021045</v>
      </c>
      <c r="J712" s="1">
        <v>4.51</v>
      </c>
      <c r="K712" s="1">
        <v>5958.0</v>
      </c>
      <c r="L712" s="1" t="s">
        <v>2689</v>
      </c>
      <c r="M712" s="6" t="s">
        <v>2690</v>
      </c>
      <c r="N712" s="7" t="str">
        <f>VLOOKUP(A712, avaliacoes!A:G, 5, FALSE)</f>
        <v>Good,Product as described,Good for the price,Value for money,Good Product,Good product,Continue bright 3days no complaints,59 Rupees worth it</v>
      </c>
      <c r="O712" s="7" t="str">
        <f>VLOOKUP(A712, avaliacoes!A:G, 6, FALSE)</f>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v>
      </c>
    </row>
    <row r="713">
      <c r="A713" s="1" t="s">
        <v>2691</v>
      </c>
      <c r="B713" s="1" t="s">
        <v>2692</v>
      </c>
      <c r="C713" s="1" t="s">
        <v>1428</v>
      </c>
      <c r="D713" s="1" t="str">
        <f t="shared" si="2"/>
        <v>Electronics</v>
      </c>
      <c r="E713" s="1" t="str">
        <f t="shared" si="3"/>
        <v>Mobiles&amp;Accessories</v>
      </c>
      <c r="F713" s="2">
        <v>571.0</v>
      </c>
      <c r="G713" s="2">
        <v>999.0</v>
      </c>
      <c r="H713" s="3">
        <f t="shared" si="4"/>
        <v>0.4284284284</v>
      </c>
      <c r="I713" s="4">
        <f>IFERROR(__xludf.DUMMYFUNCTION("GOOGLEFINANCE(""CURRENCY:INRBRL"")*F713"),34.076322318799996)</f>
        <v>34.07632232</v>
      </c>
      <c r="J713" s="1">
        <v>4.5</v>
      </c>
      <c r="K713" s="1">
        <v>38221.0</v>
      </c>
      <c r="L713" s="1" t="s">
        <v>2693</v>
      </c>
      <c r="M713" s="6" t="s">
        <v>2694</v>
      </c>
      <c r="N713" s="7" t="str">
        <f>VLOOKUP(A713, avaliacoes!A:G, 5, FALSE)</f>
        <v>Good product,Value for money,Car charger,Good product,A good product- must have accessory for car,Good charger,Good,बहुत ही अच्छा चार्जर है</v>
      </c>
      <c r="O713" s="7" t="str">
        <f>VLOOKUP(A713, avaliacoes!A:G, 6, FALSE)</f>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v>
      </c>
    </row>
    <row r="714">
      <c r="A714" s="1" t="s">
        <v>2695</v>
      </c>
      <c r="B714" s="1" t="s">
        <v>2696</v>
      </c>
      <c r="C714" s="1" t="s">
        <v>2553</v>
      </c>
      <c r="D714" s="1" t="str">
        <f t="shared" si="2"/>
        <v>Electronics</v>
      </c>
      <c r="E714" s="1" t="str">
        <f t="shared" si="3"/>
        <v>HomeAudio</v>
      </c>
      <c r="F714" s="2">
        <v>549.0</v>
      </c>
      <c r="G714" s="2">
        <v>999.0</v>
      </c>
      <c r="H714" s="3">
        <f t="shared" si="4"/>
        <v>0.4504504505</v>
      </c>
      <c r="I714" s="4">
        <f>IFERROR(__xludf.DUMMYFUNCTION("GOOGLEFINANCE(""CURRENCY:INRBRL"")*F714"),32.763399217199996)</f>
        <v>32.76339922</v>
      </c>
      <c r="J714" s="1">
        <v>4.52</v>
      </c>
      <c r="K714" s="1">
        <v>64705.0</v>
      </c>
      <c r="L714" s="1" t="s">
        <v>2697</v>
      </c>
      <c r="M714" s="6" t="s">
        <v>2698</v>
      </c>
      <c r="N714" s="7" t="str">
        <f>VLOOKUP(A714, avaliacoes!A:G, 5, FALSE)</f>
        <v>To good,Build material,Super,Good product,Budget bluetooth speaker which serves the purpose of low volume on a phone or laptop,best,It's OK to use in small room. But for Outdoor activities it will not meet our expectations.,Awesome product</v>
      </c>
      <c r="O714" s="7" t="str">
        <f>VLOOKUP(A714, avaliacoes!A:G, 6, FALSE)</f>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v>
      </c>
    </row>
    <row r="715">
      <c r="A715" s="1" t="s">
        <v>1807</v>
      </c>
      <c r="B715" s="1" t="s">
        <v>1808</v>
      </c>
      <c r="C715" s="1" t="s">
        <v>1809</v>
      </c>
      <c r="D715" s="1" t="str">
        <f t="shared" si="2"/>
        <v>Electronics</v>
      </c>
      <c r="E715" s="1" t="str">
        <f t="shared" si="3"/>
        <v>Mobiles&amp;Accessories</v>
      </c>
      <c r="F715" s="2">
        <v>2099.0</v>
      </c>
      <c r="G715" s="2">
        <v>5999.0</v>
      </c>
      <c r="H715" s="3">
        <f t="shared" si="4"/>
        <v>0.6501083514</v>
      </c>
      <c r="I715" s="4">
        <f>IFERROR(__xludf.DUMMYFUNCTION("GOOGLEFINANCE(""CURRENCY:INRBRL"")*F715"),125.26479955719999)</f>
        <v>125.2647996</v>
      </c>
      <c r="J715" s="1">
        <v>4.5</v>
      </c>
      <c r="K715" s="1">
        <v>17129.0</v>
      </c>
      <c r="L715" s="1" t="s">
        <v>1810</v>
      </c>
      <c r="M715" s="6" t="s">
        <v>2699</v>
      </c>
      <c r="N715" s="7" t="str">
        <f>VLOOKUP(A715, avaliacoes!A:G, 5, FALSE)</f>
        <v>Really Satisfied with purchase.,DO NOT BELIEVE ANSWERS FOR QUESTIONS SAYING IT WORKS ON iPad Pro 10.5 inch (A1701),Does all the necessary stuff,No Double Tap Gesture,5 star product at this price,Very good product,Automatically off's itself,Value for money pen</v>
      </c>
      <c r="O715" s="7" t="str">
        <f>VLOOKUP(A715, avaliacoes!A:G, 6, FALSE)</f>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v>
      </c>
    </row>
    <row r="716">
      <c r="A716" s="1" t="s">
        <v>98</v>
      </c>
      <c r="B716" s="1" t="s">
        <v>99</v>
      </c>
      <c r="C716" s="1" t="s">
        <v>87</v>
      </c>
      <c r="D716" s="1" t="str">
        <f t="shared" si="2"/>
        <v>Electronics</v>
      </c>
      <c r="E716" s="1" t="str">
        <f t="shared" si="3"/>
        <v>HomeTheater,TV&amp;Video</v>
      </c>
      <c r="F716" s="2">
        <v>13490.0</v>
      </c>
      <c r="G716" s="2">
        <v>21999.0</v>
      </c>
      <c r="H716" s="3">
        <f t="shared" si="4"/>
        <v>0.3867903087</v>
      </c>
      <c r="I716" s="4">
        <f>IFERROR(__xludf.DUMMYFUNCTION("GOOGLEFINANCE(""CURRENCY:INRBRL"")*F716"),805.060574572)</f>
        <v>805.0605746</v>
      </c>
      <c r="J716" s="1">
        <v>4.5</v>
      </c>
      <c r="K716" s="1">
        <v>11976.0</v>
      </c>
      <c r="L716" s="1" t="s">
        <v>100</v>
      </c>
      <c r="M716" s="6" t="s">
        <v>2700</v>
      </c>
      <c r="N716" s="7" t="str">
        <f>VLOOKUP(A716, avaliacoes!A:G, 5, FALSE)</f>
        <v>Sound quality,Very nice,Value for money,Good,Good for its price.,Good item,Budget friendly,Good</v>
      </c>
      <c r="O716" s="7" t="str">
        <f>VLOOKUP(A716, avaliacoes!A:G, 6, FALSE)</f>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v>
      </c>
    </row>
    <row r="717">
      <c r="A717" s="1" t="s">
        <v>2701</v>
      </c>
      <c r="B717" s="1" t="s">
        <v>2702</v>
      </c>
      <c r="C717" s="1" t="s">
        <v>2375</v>
      </c>
      <c r="D717" s="1" t="str">
        <f t="shared" si="2"/>
        <v>Computers&amp;Accessories</v>
      </c>
      <c r="E717" s="1" t="str">
        <f t="shared" si="3"/>
        <v>Accessories&amp;Peripherals</v>
      </c>
      <c r="F717" s="2">
        <v>448.0</v>
      </c>
      <c r="G717" s="2">
        <v>699.0</v>
      </c>
      <c r="H717" s="3">
        <f t="shared" si="4"/>
        <v>0.3590844063</v>
      </c>
      <c r="I717" s="4">
        <f>IFERROR(__xludf.DUMMYFUNCTION("GOOGLEFINANCE(""CURRENCY:INRBRL"")*F717"),26.735888614399997)</f>
        <v>26.73588861</v>
      </c>
      <c r="J717" s="1">
        <v>4.52</v>
      </c>
      <c r="K717" s="1">
        <v>17348.0</v>
      </c>
      <c r="L717" s="1" t="s">
        <v>2703</v>
      </c>
      <c r="M717" s="6" t="s">
        <v>2704</v>
      </c>
      <c r="N717" s="7" t="str">
        <f>VLOOKUP(A717, avaliacoes!A:G, 5, FALSE)</f>
        <v>light weight okay in this price range,Value for money,Good,EASY TO USE,Value for money,this is no soft touch keyboard,Good product in this price range,Budget friendly</v>
      </c>
      <c r="O717" s="7" t="str">
        <f>VLOOKUP(A717, avaliacoes!A:G, 6, FALSE)</f>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v>
      </c>
    </row>
    <row r="718">
      <c r="A718" s="1" t="s">
        <v>2705</v>
      </c>
      <c r="B718" s="1" t="s">
        <v>2706</v>
      </c>
      <c r="C718" s="1" t="s">
        <v>1411</v>
      </c>
      <c r="D718" s="1" t="str">
        <f t="shared" si="2"/>
        <v>Electronics</v>
      </c>
      <c r="E718" s="1" t="str">
        <f t="shared" si="3"/>
        <v>Headphones,Earbuds&amp;Accessories</v>
      </c>
      <c r="F718" s="2">
        <v>1499.0</v>
      </c>
      <c r="G718" s="2">
        <v>2999.0</v>
      </c>
      <c r="H718" s="3">
        <f t="shared" si="4"/>
        <v>0.5001667222</v>
      </c>
      <c r="I718" s="4">
        <f>IFERROR(__xludf.DUMMYFUNCTION("GOOGLEFINANCE(""CURRENCY:INRBRL"")*F718"),89.45780587719999)</f>
        <v>89.45780588</v>
      </c>
      <c r="J718" s="1">
        <v>4.51</v>
      </c>
      <c r="K718" s="1">
        <v>87798.0</v>
      </c>
      <c r="L718" s="1" t="s">
        <v>2707</v>
      </c>
      <c r="M718" s="6" t="s">
        <v>2708</v>
      </c>
      <c r="N718" s="7" t="str">
        <f>VLOOKUP(A718, avaliacoes!A:G, 5, FALSE)</f>
        <v>Good headphones, the sound is good, not sure about comfort,Just Ok,Budget Entry Level Banger Headset,Good quality product,Good multipoint connectivity. Falls off the ear,Good quality, but battery draining,ANC very bad,Bluetooth not working after 4 month</v>
      </c>
      <c r="O718" s="7" t="str">
        <f>VLOOKUP(A718, avaliacoes!A:G, 6, FALSE)</f>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v>
      </c>
    </row>
    <row r="719">
      <c r="A719" s="1" t="s">
        <v>2709</v>
      </c>
      <c r="B719" s="1" t="s">
        <v>2710</v>
      </c>
      <c r="C719" s="1" t="s">
        <v>2711</v>
      </c>
      <c r="D719" s="1" t="str">
        <f t="shared" si="2"/>
        <v>Electronics</v>
      </c>
      <c r="E719" s="1" t="str">
        <f t="shared" si="3"/>
        <v>Cameras&amp;Photography</v>
      </c>
      <c r="F719" s="2">
        <v>299.0</v>
      </c>
      <c r="G719" s="2">
        <v>499.0</v>
      </c>
      <c r="H719" s="3">
        <f t="shared" si="4"/>
        <v>0.4008016032</v>
      </c>
      <c r="I719" s="4">
        <f>IFERROR(__xludf.DUMMYFUNCTION("GOOGLEFINANCE(""CURRENCY:INRBRL"")*F719"),17.8438185172)</f>
        <v>17.84381852</v>
      </c>
      <c r="J719" s="1">
        <v>4.5</v>
      </c>
      <c r="K719" s="1">
        <v>24432.0</v>
      </c>
      <c r="L719" s="1" t="s">
        <v>2712</v>
      </c>
      <c r="M719" s="6" t="s">
        <v>2713</v>
      </c>
      <c r="N719" s="7" t="str">
        <f>VLOOKUP(A719, avaliacoes!A:G, 5, FALSE)</f>
        <v>Very fine product..,Good,Worth the money,Does what it says,Value for money product but brush is not good.,Easy to use,Good product,Worthable</v>
      </c>
      <c r="O719" s="7" t="str">
        <f>VLOOKUP(A719, avaliacoes!A:G, 6, FALSE)</f>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v>
      </c>
    </row>
    <row r="720">
      <c r="A720" s="1" t="s">
        <v>2714</v>
      </c>
      <c r="B720" s="1" t="s">
        <v>2715</v>
      </c>
      <c r="C720" s="1" t="s">
        <v>2264</v>
      </c>
      <c r="D720" s="1" t="str">
        <f t="shared" si="2"/>
        <v>Computers&amp;Accessories</v>
      </c>
      <c r="E720" s="1" t="str">
        <f t="shared" si="3"/>
        <v>ExternalDevices&amp;DataStorage</v>
      </c>
      <c r="F720" s="2">
        <v>579.0</v>
      </c>
      <c r="G720" s="2">
        <v>1399.0</v>
      </c>
      <c r="H720" s="3">
        <f t="shared" si="4"/>
        <v>0.5861329521</v>
      </c>
      <c r="I720" s="4">
        <f>IFERROR(__xludf.DUMMYFUNCTION("GOOGLEFINANCE(""CURRENCY:INRBRL"")*F720"),34.553748901199995)</f>
        <v>34.5537489</v>
      </c>
      <c r="J720" s="1">
        <v>4.5</v>
      </c>
      <c r="K720" s="1">
        <v>189104.0</v>
      </c>
      <c r="L720" s="1" t="s">
        <v>2716</v>
      </c>
      <c r="M720" s="6" t="s">
        <v>2717</v>
      </c>
      <c r="N720" s="7" t="str">
        <f>VLOOKUP(A720, avaliacoes!A:G, 5, FALSE)</f>
        <v>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v>
      </c>
      <c r="O720" s="7" t="str">
        <f>VLOOKUP(A720, avaliacoes!A:G, 6, FALSE)</f>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v>
      </c>
    </row>
    <row r="721">
      <c r="A721" s="1" t="s">
        <v>2718</v>
      </c>
      <c r="B721" s="1" t="s">
        <v>2719</v>
      </c>
      <c r="C721" s="1" t="s">
        <v>2720</v>
      </c>
      <c r="D721" s="1" t="str">
        <f t="shared" si="2"/>
        <v>Electronics</v>
      </c>
      <c r="E721" s="1" t="str">
        <f t="shared" si="3"/>
        <v>Cameras&amp;Photography</v>
      </c>
      <c r="F721" s="2">
        <v>2499.0</v>
      </c>
      <c r="G721" s="2">
        <v>3299.0</v>
      </c>
      <c r="H721" s="3">
        <f t="shared" si="4"/>
        <v>0.2424977266</v>
      </c>
      <c r="I721" s="4">
        <f>IFERROR(__xludf.DUMMYFUNCTION("GOOGLEFINANCE(""CURRENCY:INRBRL"")*F721"),149.1361286772)</f>
        <v>149.1361287</v>
      </c>
      <c r="J721" s="1">
        <v>4.5</v>
      </c>
      <c r="K721" s="1">
        <v>93112.0</v>
      </c>
      <c r="L721" s="1" t="s">
        <v>2721</v>
      </c>
      <c r="M721" s="6" t="s">
        <v>2722</v>
      </c>
      <c r="N721" s="7" t="str">
        <f>VLOOKUP(A721, avaliacoes!A:G, 5, FALSE)</f>
        <v>VFM indoor use (living room/bedrrom) use and clear view upto 120sqft rooms,Best camera in its segment but the app lags,Best,You have to pay to avail all services,All good,I was sent a used product...,Good Product,Upto mark</v>
      </c>
      <c r="O721" s="7" t="str">
        <f>VLOOKUP(A721, avaliacoes!A:G, 6, FALSE)</f>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v>
      </c>
    </row>
    <row r="722">
      <c r="A722" s="1" t="s">
        <v>2723</v>
      </c>
      <c r="B722" s="1" t="s">
        <v>2724</v>
      </c>
      <c r="C722" s="1" t="s">
        <v>1411</v>
      </c>
      <c r="D722" s="1" t="str">
        <f t="shared" si="2"/>
        <v>Electronics</v>
      </c>
      <c r="E722" s="1" t="str">
        <f t="shared" si="3"/>
        <v>Headphones,Earbuds&amp;Accessories</v>
      </c>
      <c r="F722" s="2">
        <v>1199.0</v>
      </c>
      <c r="G722" s="2">
        <v>5999.0</v>
      </c>
      <c r="H722" s="3">
        <f t="shared" si="4"/>
        <v>0.8001333556</v>
      </c>
      <c r="I722" s="4">
        <f>IFERROR(__xludf.DUMMYFUNCTION("GOOGLEFINANCE(""CURRENCY:INRBRL"")*F722"),71.5543090372)</f>
        <v>71.55430904</v>
      </c>
      <c r="J722" s="1">
        <v>4.52</v>
      </c>
      <c r="K722" s="1">
        <v>47521.0</v>
      </c>
      <c r="L722" s="1" t="s">
        <v>2725</v>
      </c>
      <c r="M722" s="6" t="s">
        <v>2726</v>
      </c>
      <c r="N722" s="7" t="str">
        <f>VLOOKUP(A722, avaliacoes!A:G, 5, FALSE)</f>
        <v>Good,Bluetooth range coverage is poor,Good product,Below average product model,Good product.,Complaint,To be honest these ear buds are actually decent and legit,Nice Product</v>
      </c>
      <c r="O722" s="7" t="str">
        <f>VLOOKUP(A722, avaliacoes!A:G, 6, FALSE)</f>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v>
      </c>
    </row>
    <row r="723">
      <c r="A723" s="1" t="s">
        <v>2727</v>
      </c>
      <c r="B723" s="1" t="s">
        <v>2728</v>
      </c>
      <c r="C723" s="1" t="s">
        <v>2610</v>
      </c>
      <c r="D723" s="1" t="str">
        <f t="shared" si="2"/>
        <v>Electronics</v>
      </c>
      <c r="E723" s="1" t="str">
        <f t="shared" si="3"/>
        <v>GeneralPurposeBatteries&amp;BatteryChargers</v>
      </c>
      <c r="F723" s="2">
        <v>399.0</v>
      </c>
      <c r="G723" s="2">
        <v>499.0</v>
      </c>
      <c r="H723" s="3">
        <f t="shared" si="4"/>
        <v>0.2004008016</v>
      </c>
      <c r="I723" s="4">
        <f>IFERROR(__xludf.DUMMYFUNCTION("GOOGLEFINANCE(""CURRENCY:INRBRL"")*F723"),23.8116507972)</f>
        <v>23.8116508</v>
      </c>
      <c r="J723" s="1">
        <v>4.5</v>
      </c>
      <c r="K723" s="1">
        <v>27201.0</v>
      </c>
      <c r="L723" s="1" t="s">
        <v>2729</v>
      </c>
      <c r="M723" s="6" t="s">
        <v>2730</v>
      </c>
      <c r="N723" s="7" t="str">
        <f>VLOOKUP(A723, avaliacoes!A:G, 5, FALSE)</f>
        <v>Works Good,Perfect replacement cell for trimmer,Wow,As they said in ad worth it,A good product,Fit for phillips trimmer.,Good,Good Product</v>
      </c>
      <c r="O723" s="7" t="str">
        <f>VLOOKUP(A723, avaliacoes!A:G, 6, FALSE)</f>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v>
      </c>
    </row>
    <row r="724">
      <c r="A724" s="1" t="s">
        <v>106</v>
      </c>
      <c r="B724" s="1" t="s">
        <v>107</v>
      </c>
      <c r="C724" s="1" t="s">
        <v>71</v>
      </c>
      <c r="D724" s="1" t="str">
        <f t="shared" si="2"/>
        <v>Electronics</v>
      </c>
      <c r="E724" s="1" t="str">
        <f t="shared" si="3"/>
        <v>HomeTheater,TV&amp;Video</v>
      </c>
      <c r="F724" s="2">
        <v>279.0</v>
      </c>
      <c r="G724" s="2">
        <v>499.0</v>
      </c>
      <c r="H724" s="3">
        <f t="shared" si="4"/>
        <v>0.4408817635</v>
      </c>
      <c r="I724" s="4">
        <f>IFERROR(__xludf.DUMMYFUNCTION("GOOGLEFINANCE(""CURRENCY:INRBRL"")*F724"),16.6502520612)</f>
        <v>16.65025206</v>
      </c>
      <c r="J724" s="1">
        <v>4.51</v>
      </c>
      <c r="K724" s="1">
        <v>10962.0</v>
      </c>
      <c r="L724" s="1" t="s">
        <v>108</v>
      </c>
      <c r="M724" s="6" t="s">
        <v>2731</v>
      </c>
      <c r="N724" s="7" t="str">
        <f>VLOOKUP(A724, avaliacoes!A:G, 5, FALSE)</f>
        <v>Good product ; Average Finishing,Save it purpose well without any issue. I am satisfied,No issues,NO NEED TO PUT AUX CABLE FOR CONNECTING AUDIO FROM SECONDARY MONITOR,Good product,Not so Bad,Good,Worked will for only 3-4 months.</v>
      </c>
      <c r="O724" s="7" t="str">
        <f>VLOOKUP(A724, avaliacoes!A:G, 6, FALSE)</f>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v>
      </c>
    </row>
    <row r="725">
      <c r="A725" s="1" t="s">
        <v>110</v>
      </c>
      <c r="B725" s="1" t="s">
        <v>111</v>
      </c>
      <c r="C725" s="1" t="s">
        <v>87</v>
      </c>
      <c r="D725" s="1" t="str">
        <f t="shared" si="2"/>
        <v>Electronics</v>
      </c>
      <c r="E725" s="1" t="str">
        <f t="shared" si="3"/>
        <v>HomeTheater,TV&amp;Video</v>
      </c>
      <c r="F725" s="2">
        <v>13490.0</v>
      </c>
      <c r="G725" s="2">
        <v>22899.0</v>
      </c>
      <c r="H725" s="3">
        <f t="shared" si="4"/>
        <v>0.4108913053</v>
      </c>
      <c r="I725" s="4">
        <f>IFERROR(__xludf.DUMMYFUNCTION("GOOGLEFINANCE(""CURRENCY:INRBRL"")*F725"),805.060574572)</f>
        <v>805.0605746</v>
      </c>
      <c r="J725" s="1">
        <v>4.5</v>
      </c>
      <c r="K725" s="1">
        <v>16299.0</v>
      </c>
      <c r="L725" s="1" t="s">
        <v>112</v>
      </c>
      <c r="M725" s="6" t="s">
        <v>2732</v>
      </c>
      <c r="N725" s="7" t="str">
        <f>VLOOKUP(A725, avaliacoes!A:G, 5, FALSE)</f>
        <v>Good,Sound is very low another brand comparing in better,Service provider not meet my home refuse, tv i am not using bad service,Good product,Ok super,Floor stand does not come with it ...,Good,A budget friendly TV with a clumsy UI and Remote</v>
      </c>
      <c r="O725" s="7" t="str">
        <f>VLOOKUP(A725, avaliacoes!A:G,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row>
    <row r="726">
      <c r="A726" s="1" t="s">
        <v>2733</v>
      </c>
      <c r="B726" s="1" t="s">
        <v>2734</v>
      </c>
      <c r="C726" s="1" t="s">
        <v>2269</v>
      </c>
      <c r="D726" s="1" t="str">
        <f t="shared" si="2"/>
        <v>Computers&amp;Accessories</v>
      </c>
      <c r="E726" s="1" t="str">
        <f t="shared" si="3"/>
        <v>Accessories&amp;Peripherals</v>
      </c>
      <c r="F726" s="2">
        <v>279.0</v>
      </c>
      <c r="G726" s="2">
        <v>375.0</v>
      </c>
      <c r="H726" s="3">
        <f t="shared" si="4"/>
        <v>0.256</v>
      </c>
      <c r="I726" s="4">
        <f>IFERROR(__xludf.DUMMYFUNCTION("GOOGLEFINANCE(""CURRENCY:INRBRL"")*F726"),16.6502520612)</f>
        <v>16.65025206</v>
      </c>
      <c r="J726" s="1">
        <v>4.5</v>
      </c>
      <c r="K726" s="1">
        <v>31534.0</v>
      </c>
      <c r="L726" s="1" t="s">
        <v>2735</v>
      </c>
      <c r="M726" s="6" t="s">
        <v>2736</v>
      </c>
      <c r="N726" s="7" t="str">
        <f>VLOOKUP(A726, avaliacoes!A:G, 5, FALSE)</f>
        <v>Handy Mouse,Good quality mouse,Good one.,Good,Good cheap reliable,Gud quality mouse,Very comfortable,Quality + Less Price Makes it Best to buy.</v>
      </c>
      <c r="O726" s="7" t="str">
        <f>VLOOKUP(A726, avaliacoes!A:G, 6, FALSE)</f>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v>
      </c>
    </row>
    <row r="727">
      <c r="A727" s="1" t="s">
        <v>2737</v>
      </c>
      <c r="B727" s="1" t="s">
        <v>2738</v>
      </c>
      <c r="C727" s="1" t="s">
        <v>1356</v>
      </c>
      <c r="D727" s="1" t="str">
        <f t="shared" si="2"/>
        <v>Electronics</v>
      </c>
      <c r="E727" s="1" t="str">
        <f t="shared" si="3"/>
        <v>WearableTechnology</v>
      </c>
      <c r="F727" s="2">
        <v>2499.0</v>
      </c>
      <c r="G727" s="2">
        <v>4999.0</v>
      </c>
      <c r="H727" s="3">
        <f t="shared" si="4"/>
        <v>0.50010002</v>
      </c>
      <c r="I727" s="4">
        <f>IFERROR(__xludf.DUMMYFUNCTION("GOOGLEFINANCE(""CURRENCY:INRBRL"")*F727"),149.1361286772)</f>
        <v>149.1361287</v>
      </c>
      <c r="J727" s="1">
        <v>4.52</v>
      </c>
      <c r="K727" s="1">
        <v>7571.0</v>
      </c>
      <c r="L727" s="1" t="s">
        <v>2739</v>
      </c>
      <c r="M727" s="6" t="s">
        <v>2740</v>
      </c>
      <c r="N727" s="7" t="str">
        <f>VLOOKUP(A727, avaliacoes!A:G, 5, FALSE)</f>
        <v>Best for this price,Nice starter smartwatch,Work,Very light weight watch,Smart watch,Good looking,Super,Good</v>
      </c>
      <c r="O727" s="7" t="str">
        <f>VLOOKUP(A727, avaliacoes!A:G, 6, FALSE)</f>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v>
      </c>
    </row>
    <row r="728">
      <c r="A728" s="1" t="s">
        <v>2741</v>
      </c>
      <c r="B728" s="1" t="s">
        <v>2742</v>
      </c>
      <c r="C728" s="1" t="s">
        <v>2599</v>
      </c>
      <c r="D728" s="1" t="str">
        <f t="shared" si="2"/>
        <v>OfficeProducts</v>
      </c>
      <c r="E728" s="1" t="str">
        <f t="shared" si="3"/>
        <v>OfficePaperProducts</v>
      </c>
      <c r="F728" s="2">
        <v>137.0</v>
      </c>
      <c r="G728" s="2">
        <v>160.0</v>
      </c>
      <c r="H728" s="3">
        <f t="shared" si="4"/>
        <v>0.14375</v>
      </c>
      <c r="I728" s="4">
        <f>IFERROR(__xludf.DUMMYFUNCTION("GOOGLEFINANCE(""CURRENCY:INRBRL"")*F728"),8.1759302236)</f>
        <v>8.175930224</v>
      </c>
      <c r="J728" s="1">
        <v>4.5</v>
      </c>
      <c r="K728" s="1">
        <v>6537.0</v>
      </c>
      <c r="L728" s="1" t="s">
        <v>2743</v>
      </c>
      <c r="M728" s="6" t="s">
        <v>2744</v>
      </c>
      <c r="N728" s="7" t="str">
        <f>VLOOKUP(A728, avaliacoes!A:G, 5, FALSE)</f>
        <v>Good,Boss of premium note books 🏆,Didn't expected single binding!,Good purchase,Good Quality but paper could be thicker...,Worth the Money!,Good quality,Nice products</v>
      </c>
      <c r="O728" s="7" t="str">
        <f>VLOOKUP(A728, avaliacoes!A:G, 6, FALSE)</f>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v>
      </c>
    </row>
    <row r="729">
      <c r="A729" s="1" t="s">
        <v>114</v>
      </c>
      <c r="B729" s="1" t="s">
        <v>115</v>
      </c>
      <c r="C729" s="1" t="s">
        <v>21</v>
      </c>
      <c r="D729" s="1" t="str">
        <f t="shared" si="2"/>
        <v>Computers&amp;Accessories</v>
      </c>
      <c r="E729" s="1" t="str">
        <f t="shared" si="3"/>
        <v>Accessories&amp;Peripherals</v>
      </c>
      <c r="F729" s="2">
        <v>59.0</v>
      </c>
      <c r="G729" s="2">
        <v>199.0</v>
      </c>
      <c r="H729" s="3">
        <f t="shared" si="4"/>
        <v>0.7035175879</v>
      </c>
      <c r="I729" s="4">
        <f>IFERROR(__xludf.DUMMYFUNCTION("GOOGLEFINANCE(""CURRENCY:INRBRL"")*F729"),3.5210210452)</f>
        <v>3.521021045</v>
      </c>
      <c r="J729" s="1">
        <v>4.0</v>
      </c>
      <c r="K729" s="1">
        <v>9377.0</v>
      </c>
      <c r="L729" s="1" t="s">
        <v>116</v>
      </c>
      <c r="M729" s="6" t="s">
        <v>2745</v>
      </c>
      <c r="N729" s="7" t="str">
        <f>VLOOKUP(A729, avaliacoes!A:G, 5, FALSE)</f>
        <v>Worked on iPhone 7 and didn’t work on XR,Good one,Dull Physical Looks,Just Buy it,Go for it,About the product,Get charging cable at the price,Working well.</v>
      </c>
      <c r="O729" s="7" t="str">
        <f>VLOOKUP(A729,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row>
    <row r="730">
      <c r="A730" s="1" t="s">
        <v>2746</v>
      </c>
      <c r="B730" s="1" t="s">
        <v>2747</v>
      </c>
      <c r="C730" s="1" t="s">
        <v>2489</v>
      </c>
      <c r="D730" s="1" t="str">
        <f t="shared" si="2"/>
        <v>Computers&amp;Accessories</v>
      </c>
      <c r="E730" s="1" t="str">
        <f t="shared" si="3"/>
        <v>Accessories&amp;Peripherals</v>
      </c>
      <c r="F730" s="2">
        <v>299.0</v>
      </c>
      <c r="G730" s="2">
        <v>499.0</v>
      </c>
      <c r="H730" s="3">
        <f t="shared" si="4"/>
        <v>0.4008016032</v>
      </c>
      <c r="I730" s="4">
        <f>IFERROR(__xludf.DUMMYFUNCTION("GOOGLEFINANCE(""CURRENCY:INRBRL"")*F730"),17.8438185172)</f>
        <v>17.84381852</v>
      </c>
      <c r="J730" s="1">
        <v>4.51</v>
      </c>
      <c r="K730" s="1">
        <v>2101.0</v>
      </c>
      <c r="L730" s="1" t="s">
        <v>2748</v>
      </c>
      <c r="M730" s="6" t="s">
        <v>2749</v>
      </c>
      <c r="N730" s="7" t="str">
        <f>VLOOKUP(A730, avaliacoes!A:G, 5, FALSE)</f>
        <v>Super,Excellent structural rigidity,Durable and classy,Sturdy. Good quality,Good quality and durable.,Best,Good,Tough built quality and smooth movement of zip</v>
      </c>
      <c r="O730" s="7" t="str">
        <f>VLOOKUP(A730, avaliacoes!A:G, 6, FALSE)</f>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v>
      </c>
    </row>
    <row r="731">
      <c r="A731" s="1" t="s">
        <v>2750</v>
      </c>
      <c r="B731" s="1" t="s">
        <v>2751</v>
      </c>
      <c r="C731" s="1" t="s">
        <v>1411</v>
      </c>
      <c r="D731" s="1" t="str">
        <f t="shared" si="2"/>
        <v>Electronics</v>
      </c>
      <c r="E731" s="1" t="str">
        <f t="shared" si="3"/>
        <v>Headphones,Earbuds&amp;Accessories</v>
      </c>
      <c r="F731" s="2">
        <v>1799.0</v>
      </c>
      <c r="G731" s="2">
        <v>3999.0</v>
      </c>
      <c r="H731" s="3">
        <f t="shared" si="4"/>
        <v>0.5501375344</v>
      </c>
      <c r="I731" s="4">
        <f>IFERROR(__xludf.DUMMYFUNCTION("GOOGLEFINANCE(""CURRENCY:INRBRL"")*F731"),107.36130271719999)</f>
        <v>107.3613027</v>
      </c>
      <c r="J731" s="1">
        <v>4.52</v>
      </c>
      <c r="K731" s="1">
        <v>3517.0</v>
      </c>
      <c r="L731" s="1" t="s">
        <v>2752</v>
      </c>
      <c r="M731" s="6" t="s">
        <v>2753</v>
      </c>
      <c r="N731" s="7" t="str">
        <f>VLOOKUP(A731, avaliacoes!A:G, 5, FALSE)</f>
        <v>Clear voice,Nice,Good and recomended,It was a nice product,It's good.,Vishal Mandal,Value of Money,Bass quality was good</v>
      </c>
      <c r="O731" s="7" t="str">
        <f>VLOOKUP(A731, avaliacoes!A:G, 6, FALSE)</f>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v>
      </c>
    </row>
    <row r="732">
      <c r="A732" s="1" t="s">
        <v>2754</v>
      </c>
      <c r="B732" s="1" t="s">
        <v>2755</v>
      </c>
      <c r="C732" s="1" t="s">
        <v>2553</v>
      </c>
      <c r="D732" s="1" t="str">
        <f t="shared" si="2"/>
        <v>Electronics</v>
      </c>
      <c r="E732" s="1" t="str">
        <f t="shared" si="3"/>
        <v>HomeAudio</v>
      </c>
      <c r="F732" s="2">
        <v>1999.0</v>
      </c>
      <c r="G732" s="2">
        <v>2999.0</v>
      </c>
      <c r="H732" s="3">
        <f t="shared" si="4"/>
        <v>0.3334444815</v>
      </c>
      <c r="I732" s="4">
        <f>IFERROR(__xludf.DUMMYFUNCTION("GOOGLEFINANCE(""CURRENCY:INRBRL"")*F732"),119.2969672772)</f>
        <v>119.2969673</v>
      </c>
      <c r="J732" s="1">
        <v>4.5</v>
      </c>
      <c r="K732" s="1">
        <v>63899.0</v>
      </c>
      <c r="L732" s="1" t="s">
        <v>2756</v>
      </c>
      <c r="M732" s="6" t="s">
        <v>2757</v>
      </c>
      <c r="N732" s="7" t="str">
        <f>VLOOKUP(A732, avaliacoes!A:G, 5, FALSE)</f>
        <v>Don't believe the other reviews,Awesome sound and clarity for like name JBL,Bass is ❤️,Quality,Excellent sound quality and bass,, gud battery life Best speaker for single room use,Sound is not protect,Good audio.,Not a significant upgrade from JBL Go</v>
      </c>
      <c r="O732" s="7" t="str">
        <f>VLOOKUP(A732, avaliacoes!A:G, 6, FALSE)</f>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v>
      </c>
    </row>
    <row r="733">
      <c r="A733" s="1" t="s">
        <v>122</v>
      </c>
      <c r="B733" s="1" t="s">
        <v>123</v>
      </c>
      <c r="C733" s="1" t="s">
        <v>71</v>
      </c>
      <c r="D733" s="1" t="str">
        <f t="shared" si="2"/>
        <v>Electronics</v>
      </c>
      <c r="E733" s="1" t="str">
        <f t="shared" si="3"/>
        <v>HomeTheater,TV&amp;Video</v>
      </c>
      <c r="F733" s="2">
        <v>199.0</v>
      </c>
      <c r="G733" s="2">
        <v>699.0</v>
      </c>
      <c r="H733" s="3">
        <f t="shared" si="4"/>
        <v>0.7153075823</v>
      </c>
      <c r="I733" s="4">
        <f>IFERROR(__xludf.DUMMYFUNCTION("GOOGLEFINANCE(""CURRENCY:INRBRL"")*F733"),11.8759862372)</f>
        <v>11.87598624</v>
      </c>
      <c r="J733" s="1">
        <v>4.5</v>
      </c>
      <c r="K733" s="1">
        <v>12153.0</v>
      </c>
      <c r="L733" s="1" t="s">
        <v>124</v>
      </c>
      <c r="M733" s="6" t="s">
        <v>2758</v>
      </c>
      <c r="N733" s="7" t="str">
        <f>VLOOKUP(A733, avaliacoes!A:G, 5, FALSE)</f>
        <v>Cheap product and same is the performance but does the job,Good,No Box!!!,Good,Value for money,A very good quality cable with rubust built, and it does the work.,Value money,Good product.</v>
      </c>
      <c r="O733" s="7" t="str">
        <f>VLOOKUP(A733, avaliacoes!A:G,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row>
    <row r="734">
      <c r="A734" s="1" t="s">
        <v>2759</v>
      </c>
      <c r="B734" s="1" t="s">
        <v>2760</v>
      </c>
      <c r="C734" s="1" t="s">
        <v>2761</v>
      </c>
      <c r="D734" s="1" t="str">
        <f t="shared" si="2"/>
        <v>Computers&amp;Accessories</v>
      </c>
      <c r="E734" s="1" t="str">
        <f t="shared" si="3"/>
        <v>Accessories&amp;Peripherals</v>
      </c>
      <c r="F734" s="2">
        <v>399.0</v>
      </c>
      <c r="G734" s="2">
        <v>1499.0</v>
      </c>
      <c r="H734" s="3">
        <f t="shared" si="4"/>
        <v>0.7338225484</v>
      </c>
      <c r="I734" s="4">
        <f>IFERROR(__xludf.DUMMYFUNCTION("GOOGLEFINANCE(""CURRENCY:INRBRL"")*F734"),23.8116507972)</f>
        <v>23.8116508</v>
      </c>
      <c r="J734" s="1">
        <v>4.49</v>
      </c>
      <c r="K734" s="1">
        <v>573.0</v>
      </c>
      <c r="L734" s="1" t="s">
        <v>2762</v>
      </c>
      <c r="M734" s="6" t="s">
        <v>2763</v>
      </c>
      <c r="N734" s="7" t="str">
        <f>VLOOKUP(A734, avaliacoes!A:G, 5, FALSE)</f>
        <v>Gud for the price, but adhesion quality is not very good,Nothing unique……,Attracts too much finger impressions,Perfect Fit (Almost),Easy to install,They provide tissues and wipes,Work well and easy to install,Gud product in budget</v>
      </c>
      <c r="O734" s="7" t="str">
        <f>VLOOKUP(A734, avaliacoes!A:G, 6, FALSE)</f>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v>
      </c>
    </row>
    <row r="735">
      <c r="A735" s="1" t="s">
        <v>2764</v>
      </c>
      <c r="B735" s="1" t="s">
        <v>2765</v>
      </c>
      <c r="C735" s="1" t="s">
        <v>2766</v>
      </c>
      <c r="D735" s="1" t="str">
        <f t="shared" si="2"/>
        <v>Computers&amp;Accessories</v>
      </c>
      <c r="E735" s="1" t="str">
        <f t="shared" si="3"/>
        <v>Accessories&amp;Peripherals</v>
      </c>
      <c r="F735" s="2">
        <v>1699.0</v>
      </c>
      <c r="G735" s="2">
        <v>3999.0</v>
      </c>
      <c r="H735" s="3">
        <f t="shared" si="4"/>
        <v>0.5751437859</v>
      </c>
      <c r="I735" s="4">
        <f>IFERROR(__xludf.DUMMYFUNCTION("GOOGLEFINANCE(""CURRENCY:INRBRL"")*F735"),101.3934704372)</f>
        <v>101.3934704</v>
      </c>
      <c r="J735" s="1">
        <v>4.5</v>
      </c>
      <c r="K735" s="1">
        <v>25488.0</v>
      </c>
      <c r="L735" s="1" t="s">
        <v>2767</v>
      </c>
      <c r="M735" s="6" t="s">
        <v>2768</v>
      </c>
      <c r="N735" s="7" t="str">
        <f>VLOOKUP(A735, avaliacoes!A:G, 5, FALSE)</f>
        <v>Value for money,Very good.,Overall good but very fragile! KEYS STOPPED WORKING AFTER 3 MONTHS,Got what I wanted,good,Recommended I used wired version,slightly overpriced but worth it.,Product</v>
      </c>
      <c r="O735" s="7" t="str">
        <f>VLOOKUP(A735, avaliacoes!A:G, 6, FALSE)</f>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v>
      </c>
    </row>
    <row r="736">
      <c r="A736" s="1" t="s">
        <v>2769</v>
      </c>
      <c r="B736" s="1" t="s">
        <v>2770</v>
      </c>
      <c r="C736" s="1" t="s">
        <v>2269</v>
      </c>
      <c r="D736" s="1" t="str">
        <f t="shared" si="2"/>
        <v>Computers&amp;Accessories</v>
      </c>
      <c r="E736" s="1" t="str">
        <f t="shared" si="3"/>
        <v>Accessories&amp;Peripherals</v>
      </c>
      <c r="F736" s="2">
        <v>699.0</v>
      </c>
      <c r="G736" s="2">
        <v>995.0</v>
      </c>
      <c r="H736" s="3">
        <f t="shared" si="4"/>
        <v>0.2974874372</v>
      </c>
      <c r="I736" s="4">
        <f>IFERROR(__xludf.DUMMYFUNCTION("GOOGLEFINANCE(""CURRENCY:INRBRL"")*F736"),41.7151476372)</f>
        <v>41.71514764</v>
      </c>
      <c r="J736" s="1">
        <v>4.51</v>
      </c>
      <c r="K736" s="1">
        <v>54405.0</v>
      </c>
      <c r="L736" s="1" t="s">
        <v>2771</v>
      </c>
      <c r="M736" s="6" t="s">
        <v>2772</v>
      </c>
      <c r="N736" s="7" t="str">
        <f>VLOOKUP(A736, avaliacoes!A:G, 5, FALSE)</f>
        <v>Good silent mouse,Too small to hold!,Reviewing after 8 months of with battery backup review,Its very small  do take note of that,** Nice product,Good product,Good Buy for normal use in office,Stylish mouse</v>
      </c>
      <c r="O736" s="7" t="str">
        <f>VLOOKUP(A736, avaliacoes!A:G, 6, FALSE)</f>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v>
      </c>
    </row>
    <row r="737">
      <c r="A737" s="1" t="s">
        <v>1890</v>
      </c>
      <c r="B737" s="1" t="s">
        <v>1891</v>
      </c>
      <c r="C737" s="1" t="s">
        <v>1689</v>
      </c>
      <c r="D737" s="1" t="str">
        <f t="shared" si="2"/>
        <v>Electronics</v>
      </c>
      <c r="E737" s="1" t="str">
        <f t="shared" si="3"/>
        <v>Mobiles&amp;Accessories</v>
      </c>
      <c r="F737" s="2">
        <v>95.0</v>
      </c>
      <c r="G737" s="2">
        <v>499.0</v>
      </c>
      <c r="H737" s="3">
        <f t="shared" si="4"/>
        <v>0.8096192385</v>
      </c>
      <c r="I737" s="4">
        <f>IFERROR(__xludf.DUMMYFUNCTION("GOOGLEFINANCE(""CURRENCY:INRBRL"")*F737"),5.669440666)</f>
        <v>5.669440666</v>
      </c>
      <c r="J737" s="1">
        <v>4.5</v>
      </c>
      <c r="K737" s="1">
        <v>1949.0</v>
      </c>
      <c r="L737" s="1" t="s">
        <v>1892</v>
      </c>
      <c r="M737" s="6" t="s">
        <v>2773</v>
      </c>
      <c r="N737" s="7" t="str">
        <f>VLOOKUP(A737, avaliacoes!A:G, 5, FALSE)</f>
        <v>Very useful,Very useful item to make your phone cables long lasting,Price can be reduced as this product is not worth for 80 rs,Value for money,It is useful,Good product,Good quality,Its good item in this money</v>
      </c>
      <c r="O737" s="7" t="str">
        <f>VLOOKUP(A737, avaliacoes!A:G,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row>
    <row r="738">
      <c r="A738" s="1" t="s">
        <v>2774</v>
      </c>
      <c r="B738" s="1" t="s">
        <v>2775</v>
      </c>
      <c r="C738" s="1" t="s">
        <v>2522</v>
      </c>
      <c r="D738" s="1" t="str">
        <f t="shared" si="2"/>
        <v>Computers&amp;Accessories</v>
      </c>
      <c r="E738" s="1" t="str">
        <f t="shared" si="3"/>
        <v>NetworkingDevices</v>
      </c>
      <c r="F738" s="2">
        <v>1149.0</v>
      </c>
      <c r="G738" s="2">
        <v>1699.0</v>
      </c>
      <c r="H738" s="3">
        <f t="shared" si="4"/>
        <v>0.3237198352</v>
      </c>
      <c r="I738" s="4">
        <f>IFERROR(__xludf.DUMMYFUNCTION("GOOGLEFINANCE(""CURRENCY:INRBRL"")*F738"),68.5703928972)</f>
        <v>68.5703929</v>
      </c>
      <c r="J738" s="1">
        <v>4.5</v>
      </c>
      <c r="K738" s="1">
        <v>122478.0</v>
      </c>
      <c r="L738" s="1" t="s">
        <v>2776</v>
      </c>
      <c r="M738" s="6" t="s">
        <v>2777</v>
      </c>
      <c r="N738" s="7" t="str">
        <f>VLOOKUP(A738, avaliacoes!A:G, 5, FALSE)</f>
        <v>Received defective item update: better now,Good product,Good connectivity,Good 👍,Go 4 it.....,Easy to Install,Nice product.,Works good</v>
      </c>
      <c r="O738" s="7" t="str">
        <f>VLOOKUP(A738, avaliacoes!A:G, 6, FALSE)</f>
        <v>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v>
      </c>
    </row>
    <row r="739">
      <c r="A739" s="1" t="s">
        <v>2778</v>
      </c>
      <c r="B739" s="1" t="s">
        <v>2779</v>
      </c>
      <c r="C739" s="1" t="s">
        <v>2375</v>
      </c>
      <c r="D739" s="1" t="str">
        <f t="shared" si="2"/>
        <v>Computers&amp;Accessories</v>
      </c>
      <c r="E739" s="1" t="str">
        <f t="shared" si="3"/>
        <v>Accessories&amp;Peripherals</v>
      </c>
      <c r="F739" s="2">
        <v>1495.0</v>
      </c>
      <c r="G739" s="2">
        <v>1995.0</v>
      </c>
      <c r="H739" s="3">
        <f t="shared" si="4"/>
        <v>0.2506265664</v>
      </c>
      <c r="I739" s="4">
        <f>IFERROR(__xludf.DUMMYFUNCTION("GOOGLEFINANCE(""CURRENCY:INRBRL"")*F739"),89.21909258599999)</f>
        <v>89.21909259</v>
      </c>
      <c r="J739" s="1">
        <v>4.5</v>
      </c>
      <c r="K739" s="1">
        <v>7241.0</v>
      </c>
      <c r="L739" s="1" t="s">
        <v>2780</v>
      </c>
      <c r="M739" s="6" t="s">
        <v>2781</v>
      </c>
      <c r="N739" s="7" t="str">
        <f>VLOOKUP(A739, avaliacoes!A:G, 5, FALSE)</f>
        <v>Good for typing, compact,Good product but bad packing,liked it,No caps lock light,All good, except the tiny dongle which has high chances of loosing.,Amazing product incredibly bad packaging,GOOD 👍,Mouse light is not working but it’s working</v>
      </c>
      <c r="O739" s="7" t="str">
        <f>VLOOKUP(A739, avaliacoes!A:G, 6, FALSE)</f>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v>
      </c>
    </row>
    <row r="740">
      <c r="A740" s="1" t="s">
        <v>2782</v>
      </c>
      <c r="B740" s="1" t="s">
        <v>2783</v>
      </c>
      <c r="C740" s="1" t="s">
        <v>2283</v>
      </c>
      <c r="D740" s="1" t="str">
        <f t="shared" si="2"/>
        <v>Computers&amp;Accessories</v>
      </c>
      <c r="E740" s="1" t="str">
        <f t="shared" si="3"/>
        <v>Accessories&amp;Peripherals</v>
      </c>
      <c r="F740" s="2">
        <v>849.0</v>
      </c>
      <c r="G740" s="2">
        <v>4999.0</v>
      </c>
      <c r="H740" s="3">
        <f t="shared" si="4"/>
        <v>0.8301660332</v>
      </c>
      <c r="I740" s="4">
        <f>IFERROR(__xludf.DUMMYFUNCTION("GOOGLEFINANCE(""CURRENCY:INRBRL"")*F740"),50.6668960572)</f>
        <v>50.66689606</v>
      </c>
      <c r="J740" s="1">
        <v>4.0</v>
      </c>
      <c r="K740" s="1">
        <v>20457.0</v>
      </c>
      <c r="L740" s="1" t="s">
        <v>2784</v>
      </c>
      <c r="M740" s="6" t="s">
        <v>2785</v>
      </c>
      <c r="N740" s="7" t="str">
        <f>VLOOKUP(A740, avaliacoes!A:G, 5, FALSE)</f>
        <v>Nice but price should be reduced,WORTH FOR MONEY,Good meterial,Table is good,VALUE FOR MONEY,Good product,Please sell spare parts also,Good</v>
      </c>
      <c r="O740" s="7" t="str">
        <f>VLOOKUP(A740, avaliacoes!A:G, 6, FALSE)</f>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v>
      </c>
    </row>
    <row r="741">
      <c r="A741" s="1" t="s">
        <v>2786</v>
      </c>
      <c r="B741" s="1" t="s">
        <v>2787</v>
      </c>
      <c r="C741" s="1" t="s">
        <v>2788</v>
      </c>
      <c r="D741" s="1" t="str">
        <f t="shared" si="2"/>
        <v>OfficeProducts</v>
      </c>
      <c r="E741" s="1" t="str">
        <f t="shared" si="3"/>
        <v>OfficeElectronics</v>
      </c>
      <c r="F741" s="2">
        <v>440.0</v>
      </c>
      <c r="G741" s="2">
        <v>440.0</v>
      </c>
      <c r="H741" s="3">
        <f t="shared" si="4"/>
        <v>0</v>
      </c>
      <c r="I741" s="4">
        <f>IFERROR(__xludf.DUMMYFUNCTION("GOOGLEFINANCE(""CURRENCY:INRBRL"")*F741"),26.258462031999997)</f>
        <v>26.25846203</v>
      </c>
      <c r="J741" s="1">
        <v>4.51</v>
      </c>
      <c r="K741" s="1">
        <v>861.0</v>
      </c>
      <c r="L741" s="1" t="s">
        <v>2789</v>
      </c>
      <c r="M741" s="6" t="s">
        <v>2790</v>
      </c>
      <c r="N741" s="7" t="str">
        <f>VLOOKUP(A741, avaliacoes!A:G, 5, FALSE)</f>
        <v>Very easy to use,Easy to use .,Best calculator for CA students,good performanace,Nice,Best,Very nice and steardy,Good product</v>
      </c>
      <c r="O741" s="7" t="str">
        <f>VLOOKUP(A741, avaliacoes!A:G, 6, FALSE)</f>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v>
      </c>
    </row>
    <row r="742">
      <c r="A742" s="1" t="s">
        <v>1873</v>
      </c>
      <c r="B742" s="1" t="s">
        <v>1874</v>
      </c>
      <c r="C742" s="1" t="s">
        <v>1809</v>
      </c>
      <c r="D742" s="1" t="str">
        <f t="shared" si="2"/>
        <v>Electronics</v>
      </c>
      <c r="E742" s="1" t="str">
        <f t="shared" si="3"/>
        <v>Mobiles&amp;Accessories</v>
      </c>
      <c r="F742" s="2">
        <v>349.0</v>
      </c>
      <c r="G742" s="2">
        <v>999.0</v>
      </c>
      <c r="H742" s="3">
        <f t="shared" si="4"/>
        <v>0.6506506507</v>
      </c>
      <c r="I742" s="4">
        <f>IFERROR(__xludf.DUMMYFUNCTION("GOOGLEFINANCE(""CURRENCY:INRBRL"")*F742"),20.827734657199997)</f>
        <v>20.82773466</v>
      </c>
      <c r="J742" s="1">
        <v>4.51</v>
      </c>
      <c r="K742" s="1">
        <v>16557.0</v>
      </c>
      <c r="L742" s="1" t="s">
        <v>1875</v>
      </c>
      <c r="M742" s="6" t="s">
        <v>2791</v>
      </c>
      <c r="N742" s="7" t="str">
        <f>VLOOKUP(A742, avaliacoes!A:G, 5, FALSE)</f>
        <v>Only affordable Stylus that works with Apple,Product is good, but Spare disk is missing for me.,Best deal for this price,Good but improvement needed,Average, better option are available,very fast and smooth work,Precision &amp; speedy,Amazing</v>
      </c>
      <c r="O742" s="7" t="str">
        <f>VLOOKUP(A742, avaliacoes!A:G,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row>
    <row r="743">
      <c r="A743" s="1" t="s">
        <v>2792</v>
      </c>
      <c r="B743" s="1" t="s">
        <v>2793</v>
      </c>
      <c r="C743" s="1" t="s">
        <v>2283</v>
      </c>
      <c r="D743" s="1" t="str">
        <f t="shared" si="2"/>
        <v>Computers&amp;Accessories</v>
      </c>
      <c r="E743" s="1" t="str">
        <f t="shared" si="3"/>
        <v>Accessories&amp;Peripherals</v>
      </c>
      <c r="F743" s="2">
        <v>599.0</v>
      </c>
      <c r="G743" s="2">
        <v>3999.0</v>
      </c>
      <c r="H743" s="3">
        <f t="shared" si="4"/>
        <v>0.8502125531</v>
      </c>
      <c r="I743" s="4">
        <f>IFERROR(__xludf.DUMMYFUNCTION("GOOGLEFINANCE(""CURRENCY:INRBRL"")*F743"),35.747315357199994)</f>
        <v>35.74731536</v>
      </c>
      <c r="J743" s="1">
        <v>4.52</v>
      </c>
      <c r="K743" s="1">
        <v>1087.0</v>
      </c>
      <c r="L743" s="1" t="s">
        <v>2794</v>
      </c>
      <c r="M743" s="6" t="s">
        <v>2795</v>
      </c>
      <c r="N743" s="7" t="str">
        <f>VLOOKUP(A743, avaliacoes!A:G, 5, FALSE)</f>
        <v>Good product but little costly,Very sturdy and easy to handle and carry,Ok,Good one but not exactly like shown pictures,Good,good quality,Good quality product,Very strong but not stable at all</v>
      </c>
      <c r="O743" s="7" t="str">
        <f>VLOOKUP(A743, avaliacoes!A:G, 6, FALSE)</f>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v>
      </c>
    </row>
    <row r="744">
      <c r="A744" s="1" t="s">
        <v>2796</v>
      </c>
      <c r="B744" s="1" t="s">
        <v>2797</v>
      </c>
      <c r="C744" s="1" t="s">
        <v>2631</v>
      </c>
      <c r="D744" s="1" t="str">
        <f t="shared" si="2"/>
        <v>Computers&amp;Accessories</v>
      </c>
      <c r="E744" s="1" t="str">
        <f t="shared" si="3"/>
        <v>Accessories&amp;Peripherals</v>
      </c>
      <c r="F744" s="2">
        <v>149.0</v>
      </c>
      <c r="G744" s="2">
        <v>399.0</v>
      </c>
      <c r="H744" s="3">
        <f t="shared" si="4"/>
        <v>0.626566416</v>
      </c>
      <c r="I744" s="4">
        <f>IFERROR(__xludf.DUMMYFUNCTION("GOOGLEFINANCE(""CURRENCY:INRBRL"")*F744"),8.8920700972)</f>
        <v>8.892070097</v>
      </c>
      <c r="J744" s="1">
        <v>4.0</v>
      </c>
      <c r="K744" s="1">
        <v>154.0</v>
      </c>
      <c r="L744" s="1" t="s">
        <v>2798</v>
      </c>
      <c r="M744" s="6" t="s">
        <v>2799</v>
      </c>
      <c r="N744" s="7" t="str">
        <f>VLOOKUP(A744, avaliacoes!A:G, 5, FALSE)</f>
        <v>Good and does it’s work,Nice product working absolutely fine,Good,Good product,Value for Money,Okay overall,Value for money..,Good product for i phone users</v>
      </c>
      <c r="O744" s="7" t="str">
        <f>VLOOKUP(A744, avaliacoes!A:G, 6, FALSE)</f>
        <v>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v>
      </c>
    </row>
    <row r="745">
      <c r="A745" s="1" t="s">
        <v>2800</v>
      </c>
      <c r="B745" s="1" t="s">
        <v>2801</v>
      </c>
      <c r="C745" s="1" t="s">
        <v>2274</v>
      </c>
      <c r="D745" s="1" t="str">
        <f t="shared" si="2"/>
        <v>Computers&amp;Accessories</v>
      </c>
      <c r="E745" s="1" t="str">
        <f t="shared" si="3"/>
        <v>Accessories&amp;Peripherals</v>
      </c>
      <c r="F745" s="2">
        <v>289.0</v>
      </c>
      <c r="G745" s="2">
        <v>999.0</v>
      </c>
      <c r="H745" s="3">
        <f t="shared" si="4"/>
        <v>0.7107107107</v>
      </c>
      <c r="I745" s="4">
        <f>IFERROR(__xludf.DUMMYFUNCTION("GOOGLEFINANCE(""CURRENCY:INRBRL"")*F745"),17.2470352892)</f>
        <v>17.24703529</v>
      </c>
      <c r="J745" s="1">
        <v>4.49</v>
      </c>
      <c r="K745" s="1">
        <v>401.0</v>
      </c>
      <c r="L745" s="1" t="s">
        <v>2802</v>
      </c>
      <c r="M745" s="6" t="s">
        <v>2803</v>
      </c>
      <c r="N745" s="7" t="str">
        <f>VLOOKUP(A745, avaliacoes!A:G, 5, FALSE)</f>
        <v>I like to draw on it,Best  writing pad,Great for Noting or Doodling,Good to go,The pen is too flowy and the strokes are coming out a bit thick,Magic Slate 15-inch LCD Writing Tablet,The quality and build seems good so far.,Very useful product</v>
      </c>
      <c r="O745" s="7" t="str">
        <f>VLOOKUP(A745, avaliacoes!A:G, 6, FALSE)</f>
        <v>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v>
      </c>
    </row>
    <row r="746">
      <c r="A746" s="1" t="s">
        <v>2804</v>
      </c>
      <c r="B746" s="1" t="s">
        <v>2805</v>
      </c>
      <c r="C746" s="1" t="s">
        <v>2806</v>
      </c>
      <c r="D746" s="1" t="str">
        <f t="shared" si="2"/>
        <v>Computers&amp;Accessories</v>
      </c>
      <c r="E746" s="1" t="str">
        <f t="shared" si="3"/>
        <v>Accessories&amp;Peripherals</v>
      </c>
      <c r="F746" s="2">
        <v>179.0</v>
      </c>
      <c r="G746" s="2">
        <v>499.0</v>
      </c>
      <c r="H746" s="3">
        <f t="shared" si="4"/>
        <v>0.6412825651</v>
      </c>
      <c r="I746" s="4">
        <f>IFERROR(__xludf.DUMMYFUNCTION("GOOGLEFINANCE(""CURRENCY:INRBRL"")*F746"),10.682419781199998)</f>
        <v>10.68241978</v>
      </c>
      <c r="J746" s="1">
        <v>4.5</v>
      </c>
      <c r="K746" s="1">
        <v>9385.0</v>
      </c>
      <c r="L746" s="1" t="s">
        <v>2807</v>
      </c>
      <c r="M746" s="6" t="s">
        <v>2808</v>
      </c>
      <c r="N746" s="7" t="str">
        <f>VLOOKUP(A746, avaliacoes!A:G, 5, FALSE)</f>
        <v>Average usb hub,Inferior quality goods,its CHEAP,Built in quality is low,Ok,Finish is not very good,Recieved damage piece,Packaging was damaged and is not new piece</v>
      </c>
      <c r="O746" s="7" t="str">
        <f>VLOOKUP(A746, avaliacoes!A:G, 6, FALSE)</f>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v>
      </c>
    </row>
    <row r="747">
      <c r="A747" s="1" t="s">
        <v>2809</v>
      </c>
      <c r="B747" s="1" t="s">
        <v>2810</v>
      </c>
      <c r="C747" s="1" t="s">
        <v>1356</v>
      </c>
      <c r="D747" s="1" t="str">
        <f t="shared" si="2"/>
        <v>Electronics</v>
      </c>
      <c r="E747" s="1" t="str">
        <f t="shared" si="3"/>
        <v>WearableTechnology</v>
      </c>
      <c r="F747" s="2">
        <v>1499.0</v>
      </c>
      <c r="G747" s="2">
        <v>4999.0</v>
      </c>
      <c r="H747" s="3">
        <f t="shared" si="4"/>
        <v>0.700140028</v>
      </c>
      <c r="I747" s="4">
        <f>IFERROR(__xludf.DUMMYFUNCTION("GOOGLEFINANCE(""CURRENCY:INRBRL"")*F747"),89.45780587719999)</f>
        <v>89.45780588</v>
      </c>
      <c r="J747" s="1">
        <v>4.0</v>
      </c>
      <c r="K747" s="1">
        <v>92588.0</v>
      </c>
      <c r="L747" s="1" t="s">
        <v>2811</v>
      </c>
      <c r="M747" s="6" t="s">
        <v>2812</v>
      </c>
      <c r="N747" s="7" t="str">
        <f>VLOOKUP(A747, avaliacoes!A:G, 5, FALSE)</f>
        <v>nice product,Great watch,Ok ok,Nice 👍,Thik thak,Avarage,Smart watch,They can improve more</v>
      </c>
      <c r="O747" s="7" t="str">
        <f>VLOOKUP(A747, avaliacoes!A:G, 6, FALSE)</f>
        <v>I really like this product. Gifted to my sister, and she likes it,Great ⌚,Good product,Nice 👍,Thik hai,In this price range it's ok product,Color so nice..I loved it,Need some more features:(</v>
      </c>
    </row>
    <row r="748">
      <c r="A748" s="1" t="s">
        <v>2813</v>
      </c>
      <c r="B748" s="1" t="s">
        <v>2814</v>
      </c>
      <c r="C748" s="1" t="s">
        <v>1411</v>
      </c>
      <c r="D748" s="1" t="str">
        <f t="shared" si="2"/>
        <v>Electronics</v>
      </c>
      <c r="E748" s="1" t="str">
        <f t="shared" si="3"/>
        <v>Headphones,Earbuds&amp;Accessories</v>
      </c>
      <c r="F748" s="2">
        <v>399.0</v>
      </c>
      <c r="G748" s="2">
        <v>699.0</v>
      </c>
      <c r="H748" s="3">
        <f t="shared" si="4"/>
        <v>0.4291845494</v>
      </c>
      <c r="I748" s="4">
        <f>IFERROR(__xludf.DUMMYFUNCTION("GOOGLEFINANCE(""CURRENCY:INRBRL"")*F748"),23.8116507972)</f>
        <v>23.8116508</v>
      </c>
      <c r="J748" s="1">
        <v>4.5</v>
      </c>
      <c r="K748" s="1">
        <v>3454.0</v>
      </c>
      <c r="L748" s="1" t="s">
        <v>2815</v>
      </c>
      <c r="M748" s="6" t="s">
        <v>2816</v>
      </c>
      <c r="N748" s="7" t="str">
        <f>VLOOKUP(A748, avaliacoes!A:G, 5, FALSE)</f>
        <v>Dissapointed in the microphone,Overall Good product in budget,don't buy for calling purpose..,Gets the job done,Good,Value for money,One side stopped working in 2 months,Very average sounding earphones</v>
      </c>
      <c r="O748" s="7" t="str">
        <f>VLOOKUP(A748, avaliacoes!A:G, 6, FALSE)</f>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v>
      </c>
    </row>
    <row r="749">
      <c r="A749" s="1" t="s">
        <v>2817</v>
      </c>
      <c r="B749" s="1" t="s">
        <v>2818</v>
      </c>
      <c r="C749" s="1" t="s">
        <v>2474</v>
      </c>
      <c r="D749" s="1" t="str">
        <f t="shared" si="2"/>
        <v>Computers&amp;Accessories</v>
      </c>
      <c r="E749" s="1" t="str">
        <f t="shared" si="3"/>
        <v>Accessories&amp;Peripherals</v>
      </c>
      <c r="F749" s="2">
        <v>599.0</v>
      </c>
      <c r="G749" s="2">
        <v>799.0</v>
      </c>
      <c r="H749" s="3">
        <f t="shared" si="4"/>
        <v>0.2503128911</v>
      </c>
      <c r="I749" s="4">
        <f>IFERROR(__xludf.DUMMYFUNCTION("GOOGLEFINANCE(""CURRENCY:INRBRL"")*F749"),35.747315357199994)</f>
        <v>35.74731536</v>
      </c>
      <c r="J749" s="1">
        <v>4.5</v>
      </c>
      <c r="K749" s="1">
        <v>1579.0</v>
      </c>
      <c r="L749" s="1" t="s">
        <v>2819</v>
      </c>
      <c r="M749" s="6" t="s">
        <v>2820</v>
      </c>
      <c r="N749" s="7" t="str">
        <f>VLOOKUP(A749, avaliacoes!A:G, 5, FALSE)</f>
        <v>Very good mouse Under 500,pretty good gaming mouse,very good in this budget,Really comfortable,good mouse just plug and play,Good enough,Best budget gaming mouse,Too big too hold, but you will get around it.</v>
      </c>
      <c r="O749" s="7" t="str">
        <f>VLOOKUP(A749, avaliacoes!A:G, 6, FALSE)</f>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v>
      </c>
    </row>
    <row r="750">
      <c r="A750" s="1" t="s">
        <v>2821</v>
      </c>
      <c r="B750" s="1" t="s">
        <v>2822</v>
      </c>
      <c r="C750" s="1" t="s">
        <v>2823</v>
      </c>
      <c r="D750" s="1" t="str">
        <f t="shared" si="2"/>
        <v>Computers&amp;Accessories</v>
      </c>
      <c r="E750" s="1" t="str">
        <f t="shared" si="3"/>
        <v>Accessories&amp;Peripherals</v>
      </c>
      <c r="F750" s="2">
        <v>949.0</v>
      </c>
      <c r="G750" s="2">
        <v>1999.0</v>
      </c>
      <c r="H750" s="3">
        <f t="shared" si="4"/>
        <v>0.5252626313</v>
      </c>
      <c r="I750" s="4">
        <f>IFERROR(__xludf.DUMMYFUNCTION("GOOGLEFINANCE(""CURRENCY:INRBRL"")*F750"),56.634728337199995)</f>
        <v>56.63472834</v>
      </c>
      <c r="J750" s="1">
        <v>4.52</v>
      </c>
      <c r="K750" s="1">
        <v>14969.0</v>
      </c>
      <c r="L750" s="1" t="s">
        <v>2824</v>
      </c>
      <c r="M750" s="6" t="s">
        <v>2825</v>
      </c>
      <c r="N750" s="7" t="str">
        <f>VLOOKUP(A750, avaliacoes!A:G, 5, FALSE)</f>
        <v>It's just good !,Good for WFH,Works according to needs,Great product for beginners,Good for beginners,Very nice product,Ambiance sound capture,JBL mic is best for Biginaers</v>
      </c>
      <c r="O750" s="7" t="str">
        <f>VLOOKUP(A750, avaliacoes!A:G, 6, FALSE)</f>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v>
      </c>
    </row>
    <row r="751">
      <c r="A751" s="1" t="s">
        <v>2826</v>
      </c>
      <c r="B751" s="1" t="s">
        <v>2827</v>
      </c>
      <c r="C751" s="1" t="s">
        <v>1356</v>
      </c>
      <c r="D751" s="1" t="str">
        <f t="shared" si="2"/>
        <v>Electronics</v>
      </c>
      <c r="E751" s="1" t="str">
        <f t="shared" si="3"/>
        <v>WearableTechnology</v>
      </c>
      <c r="F751" s="2">
        <v>2499.0</v>
      </c>
      <c r="G751" s="2">
        <v>9999.0</v>
      </c>
      <c r="H751" s="3">
        <f t="shared" si="4"/>
        <v>0.7500750075</v>
      </c>
      <c r="I751" s="4">
        <f>IFERROR(__xludf.DUMMYFUNCTION("GOOGLEFINANCE(""CURRENCY:INRBRL"")*F751"),149.1361286772)</f>
        <v>149.1361287</v>
      </c>
      <c r="J751" s="1">
        <v>4.49</v>
      </c>
      <c r="K751" s="1">
        <v>42139.0</v>
      </c>
      <c r="L751" s="1" t="s">
        <v>2828</v>
      </c>
      <c r="M751" s="6" t="s">
        <v>2829</v>
      </c>
      <c r="N751" s="7" t="str">
        <f>VLOOKUP(A751, avaliacoes!A:G, 5, FALSE)</f>
        <v>Overall Watch Review,Descent  looking, perfect working smart watch,There is a bit of snag in wake up mode,Battery is not good only one day it will come,Beginner friendly apple clone watch,elegant look,You can go for it!!,Nice product but the touchscreen and app could have been better</v>
      </c>
      <c r="O751" s="7" t="str">
        <f>VLOOKUP(A751, avaliacoes!A:G, 6, FALSE)</f>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v>
      </c>
    </row>
    <row r="752">
      <c r="A752" s="1" t="s">
        <v>2830</v>
      </c>
      <c r="B752" s="1" t="s">
        <v>2831</v>
      </c>
      <c r="C752" s="1" t="s">
        <v>2351</v>
      </c>
      <c r="D752" s="1" t="str">
        <f t="shared" si="2"/>
        <v>Electronics</v>
      </c>
      <c r="E752" s="1" t="str">
        <f t="shared" si="3"/>
        <v>GeneralPurposeBatteries&amp;BatteryChargers</v>
      </c>
      <c r="F752" s="2">
        <v>159.0</v>
      </c>
      <c r="G752" s="2">
        <v>180.0</v>
      </c>
      <c r="H752" s="3">
        <f t="shared" si="4"/>
        <v>0.1166666667</v>
      </c>
      <c r="I752" s="4">
        <f>IFERROR(__xludf.DUMMYFUNCTION("GOOGLEFINANCE(""CURRENCY:INRBRL"")*F752"),9.4888533252)</f>
        <v>9.488853325</v>
      </c>
      <c r="J752" s="1">
        <v>4.5</v>
      </c>
      <c r="K752" s="1">
        <v>989.0</v>
      </c>
      <c r="L752" s="1" t="s">
        <v>2832</v>
      </c>
      <c r="M752" s="6" t="s">
        <v>2833</v>
      </c>
      <c r="N752" s="7" t="str">
        <f>VLOOKUP(A752, avaliacoes!A:G, 5, FALSE)</f>
        <v>Nice .,very good batteries received,Longtevity,Good product, Good seller,Reasonable pricing,I liked the package and product is very good,Good,Value for money</v>
      </c>
      <c r="O752" s="7" t="str">
        <f>VLOOKUP(A752, avaliacoes!A:G, 6, FALSE)</f>
        <v>Nive,very good batteries received,Like,Good product, Good seller,Durable life,Great productAnd good packageNo damage,Good,Value for money. Delivered timely. Go for it.</v>
      </c>
    </row>
    <row r="753">
      <c r="A753" s="1" t="s">
        <v>2834</v>
      </c>
      <c r="B753" s="1" t="s">
        <v>2835</v>
      </c>
      <c r="C753" s="1" t="s">
        <v>1393</v>
      </c>
      <c r="D753" s="1" t="str">
        <f t="shared" si="2"/>
        <v>Electronics</v>
      </c>
      <c r="E753" s="1" t="str">
        <f t="shared" si="3"/>
        <v>Accessories</v>
      </c>
      <c r="F753" s="2">
        <v>1329.0</v>
      </c>
      <c r="G753" s="2">
        <v>2899.0</v>
      </c>
      <c r="H753" s="3">
        <f t="shared" si="4"/>
        <v>0.5415660573</v>
      </c>
      <c r="I753" s="4">
        <f>IFERROR(__xludf.DUMMYFUNCTION("GOOGLEFINANCE(""CURRENCY:INRBRL"")*F753"),79.31249100119999)</f>
        <v>79.312491</v>
      </c>
      <c r="J753" s="1">
        <v>4.51</v>
      </c>
      <c r="K753" s="1">
        <v>19624.0</v>
      </c>
      <c r="L753" s="1" t="s">
        <v>2836</v>
      </c>
      <c r="M753" s="6" t="s">
        <v>2837</v>
      </c>
      <c r="N753" s="7" t="str">
        <f>VLOOKUP(A753, avaliacoes!A:G, 5, FALSE)</f>
        <v>Good quality product, Best suitable storage for 4k videos,Perfect for nintendo switch oled,Best in the segmet...,Expensive,Product Is Good,Good,The delivered one was 90Mbps write property,Nice Write Speed But Read Speed Is not that much is giv..Read Speed goes to 90mbps Write 80to90mbps</v>
      </c>
      <c r="O753" s="7" t="str">
        <f>VLOOKUP(A753, avaliacoes!A:G, 6, FALSE)</f>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v>
      </c>
    </row>
    <row r="754">
      <c r="A754" s="1" t="s">
        <v>2838</v>
      </c>
      <c r="B754" s="1" t="s">
        <v>2839</v>
      </c>
      <c r="C754" s="1" t="s">
        <v>2806</v>
      </c>
      <c r="D754" s="1" t="str">
        <f t="shared" si="2"/>
        <v>Computers&amp;Accessories</v>
      </c>
      <c r="E754" s="1" t="str">
        <f t="shared" si="3"/>
        <v>Accessories&amp;Peripherals</v>
      </c>
      <c r="F754" s="2">
        <v>570.0</v>
      </c>
      <c r="G754" s="2">
        <v>999.0</v>
      </c>
      <c r="H754" s="3">
        <f t="shared" si="4"/>
        <v>0.4294294294</v>
      </c>
      <c r="I754" s="4">
        <f>IFERROR(__xludf.DUMMYFUNCTION("GOOGLEFINANCE(""CURRENCY:INRBRL"")*F754"),34.016643996)</f>
        <v>34.016644</v>
      </c>
      <c r="J754" s="1">
        <v>4.5</v>
      </c>
      <c r="K754" s="1">
        <v>3201.0</v>
      </c>
      <c r="L754" s="1" t="s">
        <v>2840</v>
      </c>
      <c r="M754" s="6" t="s">
        <v>2841</v>
      </c>
      <c r="N754" s="7" t="str">
        <f>VLOOKUP(A754, avaliacoes!A:G, 5, FALSE)</f>
        <v>Value For Money But....,Compact and Budget friendly,Average,Nice product,Premium build but hoped it had more USB3.0,Decent product,Very useful for Mac users,Works fine with Macbook air M2</v>
      </c>
      <c r="O754" s="7" t="str">
        <f>VLOOKUP(A754, avaliacoes!A:G, 6, FALSE)</f>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v>
      </c>
    </row>
    <row r="755">
      <c r="A755" s="1" t="s">
        <v>2842</v>
      </c>
      <c r="B755" s="1" t="s">
        <v>2843</v>
      </c>
      <c r="C755" s="1" t="s">
        <v>2844</v>
      </c>
      <c r="D755" s="1" t="str">
        <f t="shared" si="2"/>
        <v>Electronics</v>
      </c>
      <c r="E755" s="1" t="str">
        <f t="shared" si="3"/>
        <v>HomeAudio</v>
      </c>
      <c r="F755" s="2">
        <v>899.0</v>
      </c>
      <c r="G755" s="2">
        <v>1999.0</v>
      </c>
      <c r="H755" s="3">
        <f t="shared" si="4"/>
        <v>0.5502751376</v>
      </c>
      <c r="I755" s="4">
        <f>IFERROR(__xludf.DUMMYFUNCTION("GOOGLEFINANCE(""CURRENCY:INRBRL"")*F755"),53.6508121972)</f>
        <v>53.6508122</v>
      </c>
      <c r="J755" s="1">
        <v>4.49</v>
      </c>
      <c r="K755" s="1">
        <v>30469.0</v>
      </c>
      <c r="L755" s="1" t="s">
        <v>2845</v>
      </c>
      <c r="M755" s="6" t="s">
        <v>2846</v>
      </c>
      <c r="N755" s="7" t="str">
        <f>VLOOKUP(A755, avaliacoes!A:G, 5, FALSE)</f>
        <v>Best Speaker at low price,Good quality,Very small compared to price.,Pocket dynamite,Cute one,LOUD AND GOOD BLUETOOTH SPEAKER,Portable and good one,Superb yet portable speaker</v>
      </c>
      <c r="O755" s="7" t="str">
        <f>VLOOKUP(A755, avaliacoes!A:G, 6, FALSE)</f>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v>
      </c>
    </row>
    <row r="756">
      <c r="A756" s="1" t="s">
        <v>2847</v>
      </c>
      <c r="B756" s="1" t="s">
        <v>2848</v>
      </c>
      <c r="C756" s="1" t="s">
        <v>2849</v>
      </c>
      <c r="D756" s="1" t="str">
        <f t="shared" si="2"/>
        <v>Computers&amp;Accessories</v>
      </c>
      <c r="E756" s="1" t="str">
        <f t="shared" si="3"/>
        <v>Accessories&amp;Peripherals</v>
      </c>
      <c r="F756" s="2">
        <v>449.0</v>
      </c>
      <c r="G756" s="2">
        <v>999.0</v>
      </c>
      <c r="H756" s="3">
        <f t="shared" si="4"/>
        <v>0.5505505506</v>
      </c>
      <c r="I756" s="4">
        <f>IFERROR(__xludf.DUMMYFUNCTION("GOOGLEFINANCE(""CURRENCY:INRBRL"")*F756"),26.795566937199997)</f>
        <v>26.79556694</v>
      </c>
      <c r="J756" s="1">
        <v>4.5</v>
      </c>
      <c r="K756" s="1">
        <v>994.0</v>
      </c>
      <c r="L756" s="1" t="s">
        <v>2850</v>
      </c>
      <c r="M756" s="6" t="s">
        <v>2851</v>
      </c>
      <c r="N756" s="7" t="str">
        <f>VLOOKUP(A756, avaliacoes!A:G, 5, FALSE)</f>
        <v>Quality is worth the price!,Good for holding,Packaging was not good,good product,Good Product,Built quality of product is excellent,Best in quality &amp; look,BEST</v>
      </c>
      <c r="O756" s="7" t="str">
        <f>VLOOKUP(A756, avaliacoes!A:G, 6, FALSE)</f>
        <v>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v>
      </c>
    </row>
    <row r="757">
      <c r="A757" s="1" t="s">
        <v>2852</v>
      </c>
      <c r="B757" s="1" t="s">
        <v>2853</v>
      </c>
      <c r="C757" s="1" t="s">
        <v>2854</v>
      </c>
      <c r="D757" s="1" t="str">
        <f t="shared" si="2"/>
        <v>Computers&amp;Accessories</v>
      </c>
      <c r="E757" s="1" t="str">
        <f t="shared" si="3"/>
        <v>ExternalDevices&amp;DataStorage</v>
      </c>
      <c r="F757" s="2">
        <v>549.0</v>
      </c>
      <c r="G757" s="2">
        <v>999.0</v>
      </c>
      <c r="H757" s="3">
        <f t="shared" si="4"/>
        <v>0.4504504505</v>
      </c>
      <c r="I757" s="4">
        <f>IFERROR(__xludf.DUMMYFUNCTION("GOOGLEFINANCE(""CURRENCY:INRBRL"")*F757"),32.763399217199996)</f>
        <v>32.76339922</v>
      </c>
      <c r="J757" s="1">
        <v>4.5</v>
      </c>
      <c r="K757" s="1">
        <v>7758.0</v>
      </c>
      <c r="L757" s="1" t="s">
        <v>2855</v>
      </c>
      <c r="M757" s="6" t="s">
        <v>2856</v>
      </c>
      <c r="N757" s="7" t="str">
        <f>VLOOKUP(A757, avaliacoes!A:G, 5, FALSE)</f>
        <v>Worth Buying,It's a very good product at these price range go for it.,Camera SD card reader,A very handy gadget for transferring data between various devices,Product is good and working properly,Nice product,Reveewing after 3 weeks.,Use full product</v>
      </c>
      <c r="O757" s="7" t="str">
        <f>VLOOKUP(A757, avaliacoes!A:G, 6, FALSE)</f>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v>
      </c>
    </row>
    <row r="758">
      <c r="A758" s="1" t="s">
        <v>2857</v>
      </c>
      <c r="B758" s="1" t="s">
        <v>2858</v>
      </c>
      <c r="C758" s="1" t="s">
        <v>2522</v>
      </c>
      <c r="D758" s="1" t="str">
        <f t="shared" si="2"/>
        <v>Computers&amp;Accessories</v>
      </c>
      <c r="E758" s="1" t="str">
        <f t="shared" si="3"/>
        <v>NetworkingDevices</v>
      </c>
      <c r="F758" s="2">
        <v>1529.0</v>
      </c>
      <c r="G758" s="2">
        <v>2399.0</v>
      </c>
      <c r="H758" s="3">
        <f t="shared" si="4"/>
        <v>0.3626511046</v>
      </c>
      <c r="I758" s="4">
        <f>IFERROR(__xludf.DUMMYFUNCTION("GOOGLEFINANCE(""CURRENCY:INRBRL"")*F758"),91.2481555612)</f>
        <v>91.24815556</v>
      </c>
      <c r="J758" s="1">
        <v>4.5</v>
      </c>
      <c r="K758" s="1">
        <v>68409.0</v>
      </c>
      <c r="L758" s="1" t="s">
        <v>2859</v>
      </c>
      <c r="M758" s="6" t="s">
        <v>2860</v>
      </c>
      <c r="N758" s="7" t="str">
        <f>VLOOKUP(A758, avaliacoes!A:G, 5, FALSE)</f>
        <v>Con = no bandwidth control,Setup is smooth and easy,Good coverage,as money as goods,The signal reach could be better,overall is ok,Product,Class product from TP-Link! A worthy investment.</v>
      </c>
      <c r="O758" s="7" t="str">
        <f>VLOOKUP(A758, avaliacoes!A:G, 6, FALSE)</f>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v>
      </c>
    </row>
    <row r="759">
      <c r="A759" s="1" t="s">
        <v>2861</v>
      </c>
      <c r="B759" s="1" t="s">
        <v>2862</v>
      </c>
      <c r="C759" s="1" t="s">
        <v>2863</v>
      </c>
      <c r="D759" s="1" t="str">
        <f t="shared" si="2"/>
        <v>OfficeProducts</v>
      </c>
      <c r="E759" s="1" t="str">
        <f t="shared" si="3"/>
        <v>OfficePaperProducts</v>
      </c>
      <c r="F759" s="2">
        <v>100.0</v>
      </c>
      <c r="G759" s="2">
        <v>100.0</v>
      </c>
      <c r="H759" s="3">
        <f t="shared" si="4"/>
        <v>0</v>
      </c>
      <c r="I759" s="4">
        <f>IFERROR(__xludf.DUMMYFUNCTION("GOOGLEFINANCE(""CURRENCY:INRBRL"")*F759"),5.96783228)</f>
        <v>5.96783228</v>
      </c>
      <c r="J759" s="1">
        <v>4.5</v>
      </c>
      <c r="K759" s="1">
        <v>3095.0</v>
      </c>
      <c r="L759" s="1" t="s">
        <v>2864</v>
      </c>
      <c r="M759" s="6" t="s">
        <v>2865</v>
      </c>
      <c r="N759" s="7" t="str">
        <f>VLOOKUP(A759, avaliacoes!A:G, 5, FALSE)</f>
        <v>Clearly makes a difference,Good,Value for money,Good material,The ink of parker is very lite,Good,Good,Very good</v>
      </c>
      <c r="O759" s="7" t="str">
        <f>VLOOKUP(A759, avaliacoes!A:G, 6, FALSE)</f>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v>
      </c>
    </row>
    <row r="760">
      <c r="A760" s="1" t="s">
        <v>2866</v>
      </c>
      <c r="B760" s="1" t="s">
        <v>2867</v>
      </c>
      <c r="C760" s="1" t="s">
        <v>2294</v>
      </c>
      <c r="D760" s="1" t="str">
        <f t="shared" si="2"/>
        <v>Computers&amp;Accessories</v>
      </c>
      <c r="E760" s="1" t="str">
        <f t="shared" si="3"/>
        <v>Accessories&amp;Peripherals</v>
      </c>
      <c r="F760" s="2">
        <v>299.0</v>
      </c>
      <c r="G760" s="2">
        <v>1499.0</v>
      </c>
      <c r="H760" s="3">
        <f t="shared" si="4"/>
        <v>0.8005336891</v>
      </c>
      <c r="I760" s="4">
        <f>IFERROR(__xludf.DUMMYFUNCTION("GOOGLEFINANCE(""CURRENCY:INRBRL"")*F760"),17.8438185172)</f>
        <v>17.84381852</v>
      </c>
      <c r="J760" s="1">
        <v>4.5</v>
      </c>
      <c r="K760" s="1">
        <v>903.0</v>
      </c>
      <c r="L760" s="1" t="s">
        <v>2868</v>
      </c>
      <c r="M760" s="6" t="s">
        <v>2869</v>
      </c>
      <c r="N760" s="7" t="str">
        <f>VLOOKUP(A760, avaliacoes!A:G, 5, FALSE)</f>
        <v>Decent quality product for the price,Nice product,Sturdy,Nice companion,Need for those who has neck pain working on Laptops,Laptop stand,Good quality,Good product</v>
      </c>
      <c r="O760" s="7" t="str">
        <f>VLOOKUP(A760, avaliacoes!A:G, 6, FALSE)</f>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v>
      </c>
    </row>
    <row r="761">
      <c r="A761" s="1" t="s">
        <v>2870</v>
      </c>
      <c r="B761" s="1" t="s">
        <v>2871</v>
      </c>
      <c r="C761" s="1" t="s">
        <v>2375</v>
      </c>
      <c r="D761" s="1" t="str">
        <f t="shared" si="2"/>
        <v>Computers&amp;Accessories</v>
      </c>
      <c r="E761" s="1" t="str">
        <f t="shared" si="3"/>
        <v>Accessories&amp;Peripherals</v>
      </c>
      <c r="F761" s="2">
        <v>1295.0</v>
      </c>
      <c r="G761" s="2">
        <v>1795.0</v>
      </c>
      <c r="H761" s="3">
        <f t="shared" si="4"/>
        <v>0.278551532</v>
      </c>
      <c r="I761" s="4">
        <f>IFERROR(__xludf.DUMMYFUNCTION("GOOGLEFINANCE(""CURRENCY:INRBRL"")*F761"),77.283428026)</f>
        <v>77.28342803</v>
      </c>
      <c r="J761" s="1">
        <v>4.49</v>
      </c>
      <c r="K761" s="1">
        <v>25771.0</v>
      </c>
      <c r="L761" s="1" t="s">
        <v>2872</v>
      </c>
      <c r="M761" s="6" t="s">
        <v>2873</v>
      </c>
      <c r="N761" s="7" t="str">
        <f>VLOOKUP(A761, avaliacoes!A:G, 5, FALSE)</f>
        <v>Early impression comparing MK215 with MK270  - bit underwhelmed,Lagging,It is working fine till now.,Does the job well,Excellent,Worth,To avoid lag, plug into USB port without neighboring connections,Good</v>
      </c>
      <c r="O761" s="7" t="str">
        <f>VLOOKUP(A761, avaliacoes!A:G, 6, FALSE)</f>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v>
      </c>
    </row>
    <row r="762">
      <c r="A762" s="1" t="s">
        <v>2874</v>
      </c>
      <c r="B762" s="1" t="s">
        <v>2875</v>
      </c>
      <c r="C762" s="1" t="s">
        <v>1411</v>
      </c>
      <c r="D762" s="1" t="str">
        <f t="shared" si="2"/>
        <v>Electronics</v>
      </c>
      <c r="E762" s="1" t="str">
        <f t="shared" si="3"/>
        <v>Headphones,Earbuds&amp;Accessories</v>
      </c>
      <c r="F762" s="2">
        <v>699.0</v>
      </c>
      <c r="G762" s="2">
        <v>999.0</v>
      </c>
      <c r="H762" s="3">
        <f t="shared" si="4"/>
        <v>0.3003003003</v>
      </c>
      <c r="I762" s="4">
        <f>IFERROR(__xludf.DUMMYFUNCTION("GOOGLEFINANCE(""CURRENCY:INRBRL"")*F762"),41.7151476372)</f>
        <v>41.71514764</v>
      </c>
      <c r="J762" s="1">
        <v>4.49</v>
      </c>
      <c r="K762" s="1">
        <v>273189.0</v>
      </c>
      <c r="L762" s="1" t="s">
        <v>2876</v>
      </c>
      <c r="M762" s="6" t="s">
        <v>2877</v>
      </c>
      <c r="N762" s="7" t="str">
        <f>VLOOKUP(A762, avaliacoes!A:G, 5, FALSE)</f>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v>
      </c>
      <c r="O762" s="7" t="str">
        <f>VLOOKUP(A762, avaliacoes!A:G, 6, FALSE)</f>
        <v>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v>
      </c>
    </row>
    <row r="763">
      <c r="A763" s="1" t="s">
        <v>2878</v>
      </c>
      <c r="B763" s="1" t="s">
        <v>2879</v>
      </c>
      <c r="C763" s="1" t="s">
        <v>2880</v>
      </c>
      <c r="D763" s="1" t="str">
        <f t="shared" si="2"/>
        <v>OfficeProducts</v>
      </c>
      <c r="E763" s="1" t="str">
        <f t="shared" si="3"/>
        <v>OfficePaperProducts</v>
      </c>
      <c r="F763" s="2">
        <v>252.0</v>
      </c>
      <c r="G763" s="2">
        <v>315.0</v>
      </c>
      <c r="H763" s="3">
        <f t="shared" si="4"/>
        <v>0.2</v>
      </c>
      <c r="I763" s="4">
        <f>IFERROR(__xludf.DUMMYFUNCTION("GOOGLEFINANCE(""CURRENCY:INRBRL"")*F763"),15.038937345599999)</f>
        <v>15.03893735</v>
      </c>
      <c r="J763" s="1">
        <v>4.51</v>
      </c>
      <c r="K763" s="1">
        <v>3785.0</v>
      </c>
      <c r="L763" s="1" t="s">
        <v>2881</v>
      </c>
      <c r="M763" s="6" t="s">
        <v>2882</v>
      </c>
      <c r="N763" s="7" t="str">
        <f>VLOOKUP(A763, avaliacoes!A:G, 5, FALSE)</f>
        <v>Good note book,Five Star Product,Nothing,Not bad, decent buy,Amazing  quality,Good quality paper/binder/separator ( Value for money),Great for writing notes,One minus star is for one defective piece..</v>
      </c>
      <c r="O763" s="7" t="str">
        <f>VLOOKUP(A763, avaliacoes!A:G, 6, FALSE)</f>
        <v>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v>
      </c>
    </row>
    <row r="764">
      <c r="A764" s="1" t="s">
        <v>2883</v>
      </c>
      <c r="B764" s="1" t="s">
        <v>2884</v>
      </c>
      <c r="C764" s="1" t="s">
        <v>2351</v>
      </c>
      <c r="D764" s="1" t="str">
        <f t="shared" si="2"/>
        <v>Electronics</v>
      </c>
      <c r="E764" s="1" t="str">
        <f t="shared" si="3"/>
        <v>GeneralPurposeBatteries&amp;BatteryChargers</v>
      </c>
      <c r="F764" s="2">
        <v>190.0</v>
      </c>
      <c r="G764" s="2">
        <v>220.0</v>
      </c>
      <c r="H764" s="3">
        <f t="shared" si="4"/>
        <v>0.1363636364</v>
      </c>
      <c r="I764" s="4">
        <f>IFERROR(__xludf.DUMMYFUNCTION("GOOGLEFINANCE(""CURRENCY:INRBRL"")*F764"),11.338881332)</f>
        <v>11.33888133</v>
      </c>
      <c r="J764" s="1">
        <v>4.5</v>
      </c>
      <c r="K764" s="1">
        <v>2866.0</v>
      </c>
      <c r="L764" s="1" t="s">
        <v>2885</v>
      </c>
      <c r="M764" s="6" t="s">
        <v>2886</v>
      </c>
      <c r="N764" s="7" t="str">
        <f>VLOOKUP(A764, avaliacoes!A:G, 5, FALSE)</f>
        <v>Does not fit the Duracell label,Very appropriate &amp; long lasting cells,Uh should buy,Ok,Value for money,Great battery,Badhiya,Nice 👍</v>
      </c>
      <c r="O764" s="7" t="str">
        <f>VLOOKUP(A764, avaliacoes!A:G, 6, FALSE)</f>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v>
      </c>
    </row>
    <row r="765">
      <c r="A765" s="1" t="s">
        <v>2887</v>
      </c>
      <c r="B765" s="1" t="s">
        <v>2888</v>
      </c>
      <c r="C765" s="1" t="s">
        <v>2375</v>
      </c>
      <c r="D765" s="1" t="str">
        <f t="shared" si="2"/>
        <v>Computers&amp;Accessories</v>
      </c>
      <c r="E765" s="1" t="str">
        <f t="shared" si="3"/>
        <v>Accessories&amp;Peripherals</v>
      </c>
      <c r="F765" s="2">
        <v>1299.0</v>
      </c>
      <c r="G765" s="2">
        <v>1599.0</v>
      </c>
      <c r="H765" s="3">
        <f t="shared" si="4"/>
        <v>0.1876172608</v>
      </c>
      <c r="I765" s="4">
        <f>IFERROR(__xludf.DUMMYFUNCTION("GOOGLEFINANCE(""CURRENCY:INRBRL"")*F765"),77.5221413172)</f>
        <v>77.52214132</v>
      </c>
      <c r="J765" s="1">
        <v>4.5</v>
      </c>
      <c r="K765" s="1">
        <v>27223.0</v>
      </c>
      <c r="L765" s="1" t="s">
        <v>2889</v>
      </c>
      <c r="M765" s="6" t="s">
        <v>2890</v>
      </c>
      <c r="N765" s="7" t="str">
        <f>VLOOKUP(A765, avaliacoes!A:G, 5, FALSE)</f>
        <v>Click-Bet,The alphabet doesn't light up,It is good but sometimes button got stuck and ruin your game,dont get your hopes too hight up,Good and superb but the RGB modes are less but good u can go for it,Itz mouse is so smout,Good,Cool looking</v>
      </c>
      <c r="O765" s="7" t="str">
        <f>VLOOKUP(A765, avaliacoes!A:G, 6, FALSE)</f>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v>
      </c>
    </row>
    <row r="766">
      <c r="A766" s="1" t="s">
        <v>2891</v>
      </c>
      <c r="B766" s="1" t="s">
        <v>2892</v>
      </c>
      <c r="C766" s="1" t="s">
        <v>2264</v>
      </c>
      <c r="D766" s="1" t="str">
        <f t="shared" si="2"/>
        <v>Computers&amp;Accessories</v>
      </c>
      <c r="E766" s="1" t="str">
        <f t="shared" si="3"/>
        <v>ExternalDevices&amp;DataStorage</v>
      </c>
      <c r="F766" s="2">
        <v>729.0</v>
      </c>
      <c r="G766" s="2">
        <v>1650.0</v>
      </c>
      <c r="H766" s="3">
        <f t="shared" si="4"/>
        <v>0.5581818182</v>
      </c>
      <c r="I766" s="4">
        <f>IFERROR(__xludf.DUMMYFUNCTION("GOOGLEFINANCE(""CURRENCY:INRBRL"")*F766"),43.5054973212)</f>
        <v>43.50549732</v>
      </c>
      <c r="J766" s="1">
        <v>4.5</v>
      </c>
      <c r="K766" s="1">
        <v>82356.0</v>
      </c>
      <c r="L766" s="1" t="s">
        <v>2893</v>
      </c>
      <c r="M766" s="6" t="s">
        <v>2894</v>
      </c>
      <c r="N766" s="7" t="str">
        <f>VLOOKUP(A766, avaliacoes!A:G, 5, FALSE)</f>
        <v>Average pendrive with mobile connectivity,2 in 1 type c and usb,Worth for money,Fine purchase,Great to store memories and notes,Nice,Value for Money.,Very good product</v>
      </c>
      <c r="O766" s="7" t="str">
        <f>VLOOKUP(A766, avaliacoes!A:G, 6, FALSE)</f>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v>
      </c>
    </row>
    <row r="767">
      <c r="A767" s="1" t="s">
        <v>2895</v>
      </c>
      <c r="B767" s="1" t="s">
        <v>2896</v>
      </c>
      <c r="C767" s="1" t="s">
        <v>2897</v>
      </c>
      <c r="D767" s="1" t="str">
        <f t="shared" si="2"/>
        <v>OfficeProducts</v>
      </c>
      <c r="E767" s="1" t="str">
        <f t="shared" si="3"/>
        <v>OfficePaperProducts</v>
      </c>
      <c r="F767" s="2">
        <v>480.0</v>
      </c>
      <c r="G767" s="2">
        <v>600.0</v>
      </c>
      <c r="H767" s="3">
        <f t="shared" si="4"/>
        <v>0.2</v>
      </c>
      <c r="I767" s="4">
        <f>IFERROR(__xludf.DUMMYFUNCTION("GOOGLEFINANCE(""CURRENCY:INRBRL"")*F767"),28.645594944)</f>
        <v>28.64559494</v>
      </c>
      <c r="J767" s="1">
        <v>4.5</v>
      </c>
      <c r="K767" s="1">
        <v>5719.0</v>
      </c>
      <c r="L767" s="1" t="s">
        <v>2898</v>
      </c>
      <c r="M767" s="6" t="s">
        <v>2899</v>
      </c>
      <c r="N767" s="7" t="str">
        <f>VLOOKUP(A767, avaliacoes!A:G, 5, FALSE)</f>
        <v>So good ,nice looking,Value for money and a nice product,Awesome Product,overrated,Really good,Good,It is very good 👍,Good</v>
      </c>
      <c r="O767" s="7" t="str">
        <f>VLOOKUP(A767, avaliacoes!A:G, 6, FALSE)</f>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v>
      </c>
    </row>
    <row r="768">
      <c r="A768" s="1" t="s">
        <v>1928</v>
      </c>
      <c r="B768" s="1" t="s">
        <v>1929</v>
      </c>
      <c r="C768" s="1" t="s">
        <v>1356</v>
      </c>
      <c r="D768" s="1" t="str">
        <f t="shared" si="2"/>
        <v>Electronics</v>
      </c>
      <c r="E768" s="1" t="str">
        <f t="shared" si="3"/>
        <v>WearableTechnology</v>
      </c>
      <c r="F768" s="2">
        <v>1799.0</v>
      </c>
      <c r="G768" s="2">
        <v>6999.0</v>
      </c>
      <c r="H768" s="3">
        <f t="shared" si="4"/>
        <v>0.7429632805</v>
      </c>
      <c r="I768" s="4">
        <f>IFERROR(__xludf.DUMMYFUNCTION("GOOGLEFINANCE(""CURRENCY:INRBRL"")*F768"),107.36130271719999)</f>
        <v>107.3613027</v>
      </c>
      <c r="J768" s="1">
        <v>4.0</v>
      </c>
      <c r="K768" s="1">
        <v>2688.0</v>
      </c>
      <c r="L768" s="1" t="s">
        <v>1930</v>
      </c>
      <c r="M768" s="6" t="s">
        <v>2900</v>
      </c>
      <c r="N768" s="7" t="str">
        <f>VLOOKUP(A768, avaliacoes!A:G, 5, FALSE)</f>
        <v>It's pretty decent,Friendly product,I love its design btw it's a descent watch .,Excellent👍💯,The Blue color is worst. BUY RED ONE,Design very good,Its worth it,Very nice</v>
      </c>
      <c r="O768" s="7" t="str">
        <f>VLOOKUP(A768, avaliacoes!A:G, 6, FALSE)</f>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v>
      </c>
    </row>
    <row r="769">
      <c r="A769" s="1" t="s">
        <v>2901</v>
      </c>
      <c r="B769" s="1" t="s">
        <v>2902</v>
      </c>
      <c r="C769" s="1" t="s">
        <v>2283</v>
      </c>
      <c r="D769" s="1" t="str">
        <f t="shared" si="2"/>
        <v>Computers&amp;Accessories</v>
      </c>
      <c r="E769" s="1" t="str">
        <f t="shared" si="3"/>
        <v>Accessories&amp;Peripherals</v>
      </c>
      <c r="F769" s="2">
        <v>999.0</v>
      </c>
      <c r="G769" s="2">
        <v>2499.0</v>
      </c>
      <c r="H769" s="3">
        <f t="shared" si="4"/>
        <v>0.600240096</v>
      </c>
      <c r="I769" s="4">
        <f>IFERROR(__xludf.DUMMYFUNCTION("GOOGLEFINANCE(""CURRENCY:INRBRL"")*F769"),59.61864447719999)</f>
        <v>59.61864448</v>
      </c>
      <c r="J769" s="1">
        <v>4.5</v>
      </c>
      <c r="K769" s="1">
        <v>169.0</v>
      </c>
      <c r="L769" s="1" t="s">
        <v>2903</v>
      </c>
      <c r="M769" s="6" t="s">
        <v>2904</v>
      </c>
      <c r="N769" s="7" t="str">
        <f>VLOOKUP(A769, avaliacoes!A:G, 5, FALSE)</f>
        <v>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v>
      </c>
      <c r="O769" s="7" t="str">
        <f>VLOOKUP(A769, avaliacoes!A:G, 6, FALSE)</f>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v>
      </c>
    </row>
    <row r="770">
      <c r="A770" s="1" t="s">
        <v>130</v>
      </c>
      <c r="B770" s="1" t="s">
        <v>131</v>
      </c>
      <c r="C770" s="1" t="s">
        <v>21</v>
      </c>
      <c r="D770" s="1" t="str">
        <f t="shared" si="2"/>
        <v>Computers&amp;Accessories</v>
      </c>
      <c r="E770" s="1" t="str">
        <f t="shared" si="3"/>
        <v>Accessories&amp;Peripherals</v>
      </c>
      <c r="F770" s="2">
        <v>299.0</v>
      </c>
      <c r="G770" s="2">
        <v>399.0</v>
      </c>
      <c r="H770" s="3">
        <f t="shared" si="4"/>
        <v>0.2506265664</v>
      </c>
      <c r="I770" s="4">
        <f>IFERROR(__xludf.DUMMYFUNCTION("GOOGLEFINANCE(""CURRENCY:INRBRL"")*F770"),17.8438185172)</f>
        <v>17.84381852</v>
      </c>
      <c r="J770" s="1">
        <v>4.0</v>
      </c>
      <c r="K770" s="1">
        <v>2766.0</v>
      </c>
      <c r="L770" s="1" t="s">
        <v>132</v>
      </c>
      <c r="M770" s="6" t="s">
        <v>2905</v>
      </c>
      <c r="N770" s="7" t="str">
        <f>VLOOKUP(A770, avaliacoes!A:G, 5, FALSE)</f>
        <v>Ok cable,three pin with hybrid wire,Sturdy,Nice,Good.,So good,CarPlay Not supported,पैसा वसूल 🙂</v>
      </c>
      <c r="O770" s="7" t="str">
        <f>VLOOKUP(A770, avaliacoes!A:G, 6, FALSE)</f>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v>
      </c>
    </row>
    <row r="771">
      <c r="A771" s="1" t="s">
        <v>2906</v>
      </c>
      <c r="B771" s="1" t="s">
        <v>2907</v>
      </c>
      <c r="C771" s="1" t="s">
        <v>2908</v>
      </c>
      <c r="D771" s="1" t="str">
        <f t="shared" si="2"/>
        <v>Computers&amp;Accessories</v>
      </c>
      <c r="E771" s="1" t="str">
        <f t="shared" si="3"/>
        <v>Accessories&amp;Peripherals</v>
      </c>
      <c r="F771" s="2">
        <v>238.0</v>
      </c>
      <c r="G771" s="2">
        <v>699.0</v>
      </c>
      <c r="H771" s="3">
        <f t="shared" si="4"/>
        <v>0.6595135908</v>
      </c>
      <c r="I771" s="4">
        <f>IFERROR(__xludf.DUMMYFUNCTION("GOOGLEFINANCE(""CURRENCY:INRBRL"")*F771"),14.2034408264)</f>
        <v>14.20344083</v>
      </c>
      <c r="J771" s="1">
        <v>4.5</v>
      </c>
      <c r="K771" s="1">
        <v>8372.0</v>
      </c>
      <c r="L771" s="1" t="s">
        <v>2909</v>
      </c>
      <c r="M771" s="6" t="s">
        <v>2910</v>
      </c>
      <c r="N771" s="7" t="str">
        <f>VLOOKUP(A771, avaliacoes!A:G, 5, FALSE)</f>
        <v>Good product,4 star overall,Good, nice worth it,Good cable,Good product,Reasonable price, good quality.,amazing,PERFECT!!</v>
      </c>
      <c r="O771" s="7" t="str">
        <f>VLOOKUP(A771, avaliacoes!A:G, 6, FALSE)</f>
        <v>Using since last  two weeks  .,Good,Good, nice, worth it, perfect,Does its job, the build quality of the wire is good nothing to complain about.,Good quality product works well.,Reasonable price, good quality.,wao wao super speed fast asf,</v>
      </c>
    </row>
    <row r="772">
      <c r="A772" s="1" t="s">
        <v>2911</v>
      </c>
      <c r="B772" s="1" t="s">
        <v>2912</v>
      </c>
      <c r="C772" s="1" t="s">
        <v>2375</v>
      </c>
      <c r="D772" s="1" t="str">
        <f t="shared" si="2"/>
        <v>Computers&amp;Accessories</v>
      </c>
      <c r="E772" s="1" t="str">
        <f t="shared" si="3"/>
        <v>Accessories&amp;Peripherals</v>
      </c>
      <c r="F772" s="2">
        <v>1349.0</v>
      </c>
      <c r="G772" s="2">
        <v>2198.0</v>
      </c>
      <c r="H772" s="3">
        <f t="shared" si="4"/>
        <v>0.3862602366</v>
      </c>
      <c r="I772" s="4">
        <f>IFERROR(__xludf.DUMMYFUNCTION("GOOGLEFINANCE(""CURRENCY:INRBRL"")*F772"),80.5060574572)</f>
        <v>80.50605746</v>
      </c>
      <c r="J772" s="1">
        <v>4.0</v>
      </c>
      <c r="K772" s="1">
        <v>7113.0</v>
      </c>
      <c r="L772" s="1" t="s">
        <v>2913</v>
      </c>
      <c r="M772" s="6" t="s">
        <v>2914</v>
      </c>
      <c r="N772" s="7" t="str">
        <f>VLOOKUP(A772, avaliacoes!A:G, 5, FALSE)</f>
        <v>Great for typing horrible for gaming.,Performance good and smooth. 💖💖,Value for money,Keyboard,good for the price,This is the best wireless keyboard,Worth it product.......,Nice one</v>
      </c>
      <c r="O772" s="7" t="str">
        <f>VLOOKUP(A772, avaliacoes!A:G, 6, FALSE)</f>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v>
      </c>
    </row>
    <row r="773">
      <c r="A773" s="1" t="s">
        <v>138</v>
      </c>
      <c r="B773" s="1" t="s">
        <v>139</v>
      </c>
      <c r="C773" s="1" t="s">
        <v>21</v>
      </c>
      <c r="D773" s="1" t="str">
        <f t="shared" si="2"/>
        <v>Computers&amp;Accessories</v>
      </c>
      <c r="E773" s="1" t="str">
        <f t="shared" si="3"/>
        <v>Accessories&amp;Peripherals</v>
      </c>
      <c r="F773" s="2">
        <v>299.0</v>
      </c>
      <c r="G773" s="2">
        <v>999.0</v>
      </c>
      <c r="H773" s="3">
        <f t="shared" si="4"/>
        <v>0.7007007007</v>
      </c>
      <c r="I773" s="4">
        <f>IFERROR(__xludf.DUMMYFUNCTION("GOOGLEFINANCE(""CURRENCY:INRBRL"")*F773"),17.8438185172)</f>
        <v>17.84381852</v>
      </c>
      <c r="J773" s="1">
        <v>4.5</v>
      </c>
      <c r="K773" s="1">
        <v>2085.0</v>
      </c>
      <c r="L773" s="1" t="s">
        <v>140</v>
      </c>
      <c r="M773" s="6" t="s">
        <v>2915</v>
      </c>
      <c r="N773" s="7" t="str">
        <f>VLOOKUP(A773, avaliacoes!A:G, 5, FALSE)</f>
        <v>Just buy it dont even 2nd guess it,Quality is good,Nylon braided quiet sturdy,Amazing,Feels like steel harnessed wire - strong,Sturdy and durable. Useful for charging Power Banks,good,Nice quality</v>
      </c>
      <c r="O773" s="7" t="str">
        <f>VLOOKUP(A773,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row>
    <row r="774">
      <c r="A774" s="1" t="s">
        <v>2916</v>
      </c>
      <c r="B774" s="1" t="s">
        <v>2917</v>
      </c>
      <c r="C774" s="1" t="s">
        <v>2823</v>
      </c>
      <c r="D774" s="1" t="str">
        <f t="shared" si="2"/>
        <v>Computers&amp;Accessories</v>
      </c>
      <c r="E774" s="1" t="str">
        <f t="shared" si="3"/>
        <v>Accessories&amp;Peripherals</v>
      </c>
      <c r="F774" s="2">
        <v>199.0</v>
      </c>
      <c r="G774" s="2">
        <v>499.0</v>
      </c>
      <c r="H774" s="3">
        <f t="shared" si="4"/>
        <v>0.6012024048</v>
      </c>
      <c r="I774" s="4">
        <f>IFERROR(__xludf.DUMMYFUNCTION("GOOGLEFINANCE(""CURRENCY:INRBRL"")*F774"),11.8759862372)</f>
        <v>11.87598624</v>
      </c>
      <c r="J774" s="1">
        <v>4.5</v>
      </c>
      <c r="K774" s="1">
        <v>2804.0</v>
      </c>
      <c r="L774" s="1" t="s">
        <v>2918</v>
      </c>
      <c r="M774" s="6" t="s">
        <v>2919</v>
      </c>
      <c r="N774" s="7" t="str">
        <f>VLOOKUP(A774, avaliacoes!A:G, 5, FALSE)</f>
        <v>No TRRS to TRS converter in the box,Not suitable for DSLR camera,Good for beginners,OK,Don't buy,For beginners it's good,Average product,It is a good and useful mic for YouTube content maker</v>
      </c>
      <c r="O774" s="7" t="str">
        <f>VLOOKUP(A774, avaliacoes!A:G, 6, FALSE)</f>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v>
      </c>
    </row>
    <row r="775">
      <c r="A775" s="1" t="s">
        <v>2920</v>
      </c>
      <c r="B775" s="1" t="s">
        <v>2921</v>
      </c>
      <c r="C775" s="1" t="s">
        <v>1411</v>
      </c>
      <c r="D775" s="1" t="str">
        <f t="shared" si="2"/>
        <v>Electronics</v>
      </c>
      <c r="E775" s="1" t="str">
        <f t="shared" si="3"/>
        <v>Headphones,Earbuds&amp;Accessories</v>
      </c>
      <c r="F775" s="2">
        <v>1999.0</v>
      </c>
      <c r="G775" s="2">
        <v>9999.0</v>
      </c>
      <c r="H775" s="3">
        <f t="shared" si="4"/>
        <v>0.800080008</v>
      </c>
      <c r="I775" s="4">
        <f>IFERROR(__xludf.DUMMYFUNCTION("GOOGLEFINANCE(""CURRENCY:INRBRL"")*F775"),119.2969672772)</f>
        <v>119.2969673</v>
      </c>
      <c r="J775" s="1">
        <v>4.51</v>
      </c>
      <c r="K775" s="1">
        <v>1986.0</v>
      </c>
      <c r="L775" s="1" t="s">
        <v>2458</v>
      </c>
      <c r="M775" s="6" t="s">
        <v>2922</v>
      </c>
      <c r="N775" s="7" t="str">
        <f>VLOOKUP(A775, avaliacoes!A:G, 5, FALSE)</f>
        <v>Fits well in ears,Controls / Performance / backup,JUST OK,Good buy with small hiccups,Not good for gaming,Overall good product.,It's good,Active noise cancellation ok</v>
      </c>
      <c r="O775" s="7" t="str">
        <f>VLOOKUP(A775, avaliacoes!A:G, 6, FALSE)</f>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v>
      </c>
    </row>
    <row r="776">
      <c r="A776" s="1" t="s">
        <v>2923</v>
      </c>
      <c r="B776" s="1" t="s">
        <v>2924</v>
      </c>
      <c r="C776" s="1" t="s">
        <v>1617</v>
      </c>
      <c r="D776" s="1" t="str">
        <f t="shared" si="2"/>
        <v>Electronics</v>
      </c>
      <c r="E776" s="1" t="str">
        <f t="shared" si="3"/>
        <v>Mobiles&amp;Accessories</v>
      </c>
      <c r="F776" s="2">
        <v>99.0</v>
      </c>
      <c r="G776" s="2">
        <v>499.0</v>
      </c>
      <c r="H776" s="3">
        <f t="shared" si="4"/>
        <v>0.8016032064</v>
      </c>
      <c r="I776" s="4">
        <f>IFERROR(__xludf.DUMMYFUNCTION("GOOGLEFINANCE(""CURRENCY:INRBRL"")*F776"),5.9081539572)</f>
        <v>5.908153957</v>
      </c>
      <c r="J776" s="1">
        <v>4.49</v>
      </c>
      <c r="K776" s="1">
        <v>2451.0</v>
      </c>
      <c r="L776" s="1" t="s">
        <v>1618</v>
      </c>
      <c r="M776" s="6" t="s">
        <v>2925</v>
      </c>
      <c r="N776" s="7" t="str">
        <f>VLOOKUP(A776, avaliacoes!A:G, 5, FALSE)</f>
        <v>Totally worth rs99,Best,Good,Valuable,Fulfil purpose, easy to carry,Good product,Good product,Good</v>
      </c>
      <c r="O776" s="7" t="str">
        <f>VLOOKUP(A776, avaliacoes!A:G, 6, FALSE)</f>
        <v>Perfect for a 10 inch tablet both vertically and horizontally,It was the best phone holder,Good,Premium quality and reasonable price 👍🏼,Fulfil purpose, easy to carry, solid material. Think it will last long.,Nice,Liked the product. Easy to carry, portable,  foldable, lightweight.,Good</v>
      </c>
    </row>
    <row r="777">
      <c r="A777" s="1" t="s">
        <v>2926</v>
      </c>
      <c r="B777" s="1" t="s">
        <v>2927</v>
      </c>
      <c r="C777" s="1" t="s">
        <v>2269</v>
      </c>
      <c r="D777" s="1" t="str">
        <f t="shared" si="2"/>
        <v>Computers&amp;Accessories</v>
      </c>
      <c r="E777" s="1" t="str">
        <f t="shared" si="3"/>
        <v>Accessories&amp;Peripherals</v>
      </c>
      <c r="F777" s="2">
        <v>499.0</v>
      </c>
      <c r="G777" s="2">
        <v>999.0</v>
      </c>
      <c r="H777" s="3">
        <f t="shared" si="4"/>
        <v>0.5005005005</v>
      </c>
      <c r="I777" s="4">
        <f>IFERROR(__xludf.DUMMYFUNCTION("GOOGLEFINANCE(""CURRENCY:INRBRL"")*F777"),29.7794830772)</f>
        <v>29.77948308</v>
      </c>
      <c r="J777" s="1">
        <v>5.0</v>
      </c>
      <c r="K777" s="1">
        <v>23.0</v>
      </c>
      <c r="L777" s="1" t="s">
        <v>2928</v>
      </c>
      <c r="M777" s="6" t="s">
        <v>2929</v>
      </c>
      <c r="N777" s="7" t="str">
        <f>VLOOKUP(A777, avaliacoes!A:G, 5, FALSE)</f>
        <v>Very responsive and stylish mouse,Simply Awesome,Satisfactory but OTG not working,Satisfied with this wireless mouse,Overall performance is good.,Overall very happy with the product,Strong build with silent click,Excellent mouse for the price</v>
      </c>
      <c r="O777" s="7" t="str">
        <f>VLOOKUP(A777, avaliacoes!A:G, 6, FALSE)</f>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v>
      </c>
    </row>
    <row r="778">
      <c r="A778" s="1" t="s">
        <v>2930</v>
      </c>
      <c r="B778" s="1" t="s">
        <v>2931</v>
      </c>
      <c r="C778" s="1" t="s">
        <v>2932</v>
      </c>
      <c r="D778" s="1" t="str">
        <f t="shared" si="2"/>
        <v>Computers&amp;Accessories</v>
      </c>
      <c r="E778" s="1" t="str">
        <f t="shared" si="3"/>
        <v>Components</v>
      </c>
      <c r="F778" s="2">
        <v>1792.0</v>
      </c>
      <c r="G778" s="2">
        <v>3499.0</v>
      </c>
      <c r="H778" s="3">
        <f t="shared" si="4"/>
        <v>0.4878536725</v>
      </c>
      <c r="I778" s="4">
        <f>IFERROR(__xludf.DUMMYFUNCTION("GOOGLEFINANCE(""CURRENCY:INRBRL"")*F778"),106.94355445759999)</f>
        <v>106.9435545</v>
      </c>
      <c r="J778" s="1">
        <v>4.51</v>
      </c>
      <c r="K778" s="1">
        <v>26194.0</v>
      </c>
      <c r="L778" s="1" t="s">
        <v>2933</v>
      </c>
      <c r="M778" s="6" t="s">
        <v>2934</v>
      </c>
      <c r="N778" s="7" t="str">
        <f>VLOOKUP(A778, avaliacoes!A:G, 5, FALSE)</f>
        <v>FPS increased in games after installing it 😍,Worst Experience turned great,Very good product,Really increase performance,8gb ram r*8,It Worked,Good ram at good price.,Good RAM</v>
      </c>
      <c r="O778" s="7" t="str">
        <f>VLOOKUP(A778, avaliacoes!A:G, 6, FALSE)</f>
        <v>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v>
      </c>
    </row>
    <row r="779">
      <c r="A779" s="1" t="s">
        <v>2935</v>
      </c>
      <c r="B779" s="1" t="s">
        <v>2936</v>
      </c>
      <c r="C779" s="1" t="s">
        <v>2937</v>
      </c>
      <c r="D779" s="1" t="str">
        <f t="shared" si="2"/>
        <v>Computers&amp;Accessories</v>
      </c>
      <c r="E779" s="1" t="str">
        <f t="shared" si="3"/>
        <v>Accessories&amp;Peripherals</v>
      </c>
      <c r="F779" s="2">
        <v>3299.0</v>
      </c>
      <c r="G779" s="2">
        <v>4099.0</v>
      </c>
      <c r="H779" s="3">
        <f t="shared" si="4"/>
        <v>0.1951695535</v>
      </c>
      <c r="I779" s="4">
        <f>IFERROR(__xludf.DUMMYFUNCTION("GOOGLEFINANCE(""CURRENCY:INRBRL"")*F779"),196.8787869172)</f>
        <v>196.8787869</v>
      </c>
      <c r="J779" s="1">
        <v>4.52</v>
      </c>
      <c r="K779" s="1">
        <v>15783.0</v>
      </c>
      <c r="L779" s="1" t="s">
        <v>2938</v>
      </c>
      <c r="M779" s="6" t="s">
        <v>2939</v>
      </c>
      <c r="N779" s="7" t="str">
        <f>VLOOKUP(A779, avaliacoes!A:G, 5, FALSE)</f>
        <v>Most featured UPS,Not Sufficient for a 65" Sony 4K TV,Easy to install,Kind of useless for a PC with a GPU,How to return,Value for money,Big,Good stuff for it's purpose, it is working</v>
      </c>
      <c r="O779" s="7" t="str">
        <f>VLOOKUP(A779, avaliacoes!A:G, 6, FALSE)</f>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v>
      </c>
    </row>
    <row r="780">
      <c r="A780" s="1" t="s">
        <v>2940</v>
      </c>
      <c r="B780" s="1" t="s">
        <v>2941</v>
      </c>
      <c r="C780" s="1" t="s">
        <v>2880</v>
      </c>
      <c r="D780" s="1" t="str">
        <f t="shared" si="2"/>
        <v>OfficeProducts</v>
      </c>
      <c r="E780" s="1" t="str">
        <f t="shared" si="3"/>
        <v>OfficePaperProducts</v>
      </c>
      <c r="F780" s="2">
        <v>125.0</v>
      </c>
      <c r="G780" s="2">
        <v>180.0</v>
      </c>
      <c r="H780" s="3">
        <f t="shared" si="4"/>
        <v>0.3055555556</v>
      </c>
      <c r="I780" s="4">
        <f>IFERROR(__xludf.DUMMYFUNCTION("GOOGLEFINANCE(""CURRENCY:INRBRL"")*F780"),7.45979035)</f>
        <v>7.45979035</v>
      </c>
      <c r="J780" s="1">
        <v>4.5</v>
      </c>
      <c r="K780" s="1">
        <v>8053.0</v>
      </c>
      <c r="L780" s="1" t="s">
        <v>2942</v>
      </c>
      <c r="M780" s="6" t="s">
        <v>2943</v>
      </c>
      <c r="N780" s="7" t="str">
        <f>VLOOKUP(A780, avaliacoes!A:G, 5, FALSE)</f>
        <v>Value for money,Small-sized Notebook,Worthy for money,Quality,I think it is a normal product,Value for money,Quality,Quality Product</v>
      </c>
      <c r="O780" s="7" t="str">
        <f>VLOOKUP(A780, avaliacoes!A:G, 6, FALSE)</f>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v>
      </c>
    </row>
    <row r="781">
      <c r="A781" s="1" t="s">
        <v>2944</v>
      </c>
      <c r="B781" s="1" t="s">
        <v>2945</v>
      </c>
      <c r="C781" s="1" t="s">
        <v>2269</v>
      </c>
      <c r="D781" s="1" t="str">
        <f t="shared" si="2"/>
        <v>Computers&amp;Accessories</v>
      </c>
      <c r="E781" s="1" t="str">
        <f t="shared" si="3"/>
        <v>Accessories&amp;Peripherals</v>
      </c>
      <c r="F781" s="2">
        <v>399.0</v>
      </c>
      <c r="G781" s="2">
        <v>1199.0</v>
      </c>
      <c r="H781" s="3">
        <f t="shared" si="4"/>
        <v>0.6672226856</v>
      </c>
      <c r="I781" s="4">
        <f>IFERROR(__xludf.DUMMYFUNCTION("GOOGLEFINANCE(""CURRENCY:INRBRL"")*F781"),23.8116507972)</f>
        <v>23.8116508</v>
      </c>
      <c r="J781" s="1">
        <v>4.49</v>
      </c>
      <c r="K781" s="1">
        <v>2809.0</v>
      </c>
      <c r="L781" s="1" t="s">
        <v>2946</v>
      </c>
      <c r="M781" s="6" t="s">
        <v>2947</v>
      </c>
      <c r="N781" s="7" t="str">
        <f>VLOOKUP(A781, avaliacoes!A:G, 5, FALSE)</f>
        <v>Good work,super quality,Good mouse. Handy for work from home.,Good Mouse for Laptop,very nice to use and soundless,Good,At this price, it's definitely best. Good working and functioning.,Good</v>
      </c>
      <c r="O781" s="7" t="str">
        <f>VLOOKUP(A781, avaliacoes!A:G, 6, FALSE)</f>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v>
      </c>
    </row>
    <row r="782">
      <c r="A782" s="1" t="s">
        <v>2948</v>
      </c>
      <c r="B782" s="1" t="s">
        <v>2949</v>
      </c>
      <c r="C782" s="1" t="s">
        <v>1411</v>
      </c>
      <c r="D782" s="1" t="str">
        <f t="shared" si="2"/>
        <v>Electronics</v>
      </c>
      <c r="E782" s="1" t="str">
        <f t="shared" si="3"/>
        <v>Headphones,Earbuds&amp;Accessories</v>
      </c>
      <c r="F782" s="2">
        <v>1199.0</v>
      </c>
      <c r="G782" s="2">
        <v>7999.0</v>
      </c>
      <c r="H782" s="3">
        <f t="shared" si="4"/>
        <v>0.8501062633</v>
      </c>
      <c r="I782" s="4">
        <f>IFERROR(__xludf.DUMMYFUNCTION("GOOGLEFINANCE(""CURRENCY:INRBRL"")*F782"),71.5543090372)</f>
        <v>71.55430904</v>
      </c>
      <c r="J782" s="1">
        <v>4.51</v>
      </c>
      <c r="K782" s="1">
        <v>2591.0</v>
      </c>
      <c r="L782" s="1" t="s">
        <v>2950</v>
      </c>
      <c r="M782" s="6" t="s">
        <v>2951</v>
      </c>
      <c r="N782" s="7" t="str">
        <f>VLOOKUP(A782, avaliacoes!A:G, 5, FALSE)</f>
        <v>Worst product😡,Ok product,Good product 👍,Good. Does the Job,Fitting Issue and Charging issue,Not working.,Superb I love it,It's ok nice..but not up to the mark</v>
      </c>
      <c r="O782" s="7" t="str">
        <f>VLOOKUP(A782, avaliacoes!A:G, 6, FALSE)</f>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v>
      </c>
    </row>
    <row r="783">
      <c r="A783" s="1" t="s">
        <v>2952</v>
      </c>
      <c r="B783" s="1" t="s">
        <v>2953</v>
      </c>
      <c r="C783" s="1" t="s">
        <v>2274</v>
      </c>
      <c r="D783" s="1" t="str">
        <f t="shared" si="2"/>
        <v>Computers&amp;Accessories</v>
      </c>
      <c r="E783" s="1" t="str">
        <f t="shared" si="3"/>
        <v>Accessories&amp;Peripherals</v>
      </c>
      <c r="F783" s="2">
        <v>235.0</v>
      </c>
      <c r="G783" s="2">
        <v>1599.0</v>
      </c>
      <c r="H783" s="3">
        <f t="shared" si="4"/>
        <v>0.8530331457</v>
      </c>
      <c r="I783" s="4">
        <f>IFERROR(__xludf.DUMMYFUNCTION("GOOGLEFINANCE(""CURRENCY:INRBRL"")*F783"),14.024405858)</f>
        <v>14.02440586</v>
      </c>
      <c r="J783" s="1">
        <v>4.51</v>
      </c>
      <c r="K783" s="1">
        <v>1173.0</v>
      </c>
      <c r="L783" s="1" t="s">
        <v>2954</v>
      </c>
      <c r="M783" s="6" t="s">
        <v>2955</v>
      </c>
      <c r="N783" s="7" t="str">
        <f>VLOOKUP(A783, avaliacoes!A:G, 5, FALSE)</f>
        <v>Brightness effect,Birthday Gift for my nephew...,Product damage,Very good !,Nice product,Very good product,Just Ok Ok type Quality and costly, Not a Standard Quality Product.,Good quality product</v>
      </c>
      <c r="O783" s="7" t="str">
        <f>VLOOKUP(A783, avaliacoes!A:G, 6, FALSE)</f>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v>
      </c>
    </row>
    <row r="784">
      <c r="A784" s="1" t="s">
        <v>2956</v>
      </c>
      <c r="B784" s="1" t="s">
        <v>2957</v>
      </c>
      <c r="C784" s="1" t="s">
        <v>2283</v>
      </c>
      <c r="D784" s="1" t="str">
        <f t="shared" si="2"/>
        <v>Computers&amp;Accessories</v>
      </c>
      <c r="E784" s="1" t="str">
        <f t="shared" si="3"/>
        <v>Accessories&amp;Peripherals</v>
      </c>
      <c r="F784" s="2">
        <v>549.0</v>
      </c>
      <c r="G784" s="2">
        <v>1999.0</v>
      </c>
      <c r="H784" s="3">
        <f t="shared" si="4"/>
        <v>0.7253626813</v>
      </c>
      <c r="I784" s="4">
        <f>IFERROR(__xludf.DUMMYFUNCTION("GOOGLEFINANCE(""CURRENCY:INRBRL"")*F784"),32.763399217199996)</f>
        <v>32.76339922</v>
      </c>
      <c r="J784" s="1">
        <v>4.51</v>
      </c>
      <c r="K784" s="1">
        <v>6422.0</v>
      </c>
      <c r="L784" s="1" t="s">
        <v>2958</v>
      </c>
      <c r="M784" s="6" t="s">
        <v>2959</v>
      </c>
      <c r="N784" s="7" t="str">
        <f>VLOOKUP(A784, avaliacoes!A:G, 5, FALSE)</f>
        <v>No any specific,Ok, in this price !,Write karte samay vibrate hota hai,Good but little hard to use on bed because of curvy edge,Poorly designed product,All over good product,Poor Stability,Good</v>
      </c>
      <c r="O784" s="7" t="str">
        <f>VLOOKUP(A784, avaliacoes!A:G, 6, FALSE)</f>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v>
      </c>
    </row>
    <row r="785">
      <c r="A785" s="1" t="s">
        <v>2960</v>
      </c>
      <c r="B785" s="1" t="s">
        <v>2961</v>
      </c>
      <c r="C785" s="1" t="s">
        <v>2688</v>
      </c>
      <c r="D785" s="1" t="str">
        <f t="shared" si="2"/>
        <v>Computers&amp;Accessories</v>
      </c>
      <c r="E785" s="1" t="str">
        <f t="shared" si="3"/>
        <v>Accessories&amp;Peripherals</v>
      </c>
      <c r="F785" s="2">
        <v>89.0</v>
      </c>
      <c r="G785" s="2">
        <v>99.0</v>
      </c>
      <c r="H785" s="3">
        <f t="shared" si="4"/>
        <v>0.101010101</v>
      </c>
      <c r="I785" s="4">
        <f>IFERROR(__xludf.DUMMYFUNCTION("GOOGLEFINANCE(""CURRENCY:INRBRL"")*F785"),5.311370729199999)</f>
        <v>5.311370729</v>
      </c>
      <c r="J785" s="1">
        <v>4.5</v>
      </c>
      <c r="K785" s="1">
        <v>241.0</v>
      </c>
      <c r="L785" s="1" t="s">
        <v>2962</v>
      </c>
      <c r="M785" s="6" t="s">
        <v>2963</v>
      </c>
      <c r="N785" s="7" t="str">
        <f>VLOOKUP(A785, avaliacoes!A:G, 5, FALSE)</f>
        <v>Good &amp; attractive,Very versatile,Good,Good Product....,Good night light at 5Volt.,Pretty good product,Good,Nice bt it should be in direct plug not in usb</v>
      </c>
      <c r="O785" s="7" t="str">
        <f>VLOOKUP(A785, avaliacoes!A:G, 6, FALSE)</f>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v>
      </c>
    </row>
    <row r="786">
      <c r="A786" s="1" t="s">
        <v>134</v>
      </c>
      <c r="B786" s="1" t="s">
        <v>135</v>
      </c>
      <c r="C786" s="1" t="s">
        <v>21</v>
      </c>
      <c r="D786" s="1" t="str">
        <f t="shared" si="2"/>
        <v>Computers&amp;Accessories</v>
      </c>
      <c r="E786" s="1" t="str">
        <f t="shared" si="3"/>
        <v>Accessories&amp;Peripherals</v>
      </c>
      <c r="F786" s="2">
        <v>970.0</v>
      </c>
      <c r="G786" s="2">
        <v>1999.0</v>
      </c>
      <c r="H786" s="3">
        <f t="shared" si="4"/>
        <v>0.5147573787</v>
      </c>
      <c r="I786" s="4">
        <f>IFERROR(__xludf.DUMMYFUNCTION("GOOGLEFINANCE(""CURRENCY:INRBRL"")*F786"),57.887973116)</f>
        <v>57.88797312</v>
      </c>
      <c r="J786" s="1">
        <v>4.5</v>
      </c>
      <c r="K786" s="1">
        <v>184.0</v>
      </c>
      <c r="L786" s="1" t="s">
        <v>136</v>
      </c>
      <c r="M786" s="6" t="s">
        <v>2964</v>
      </c>
      <c r="N786" s="7" t="str">
        <f>VLOOKUP(A786, avaliacoes!A:G, 5, FALSE)</f>
        <v>Very good product.,Using as a spare cable in car,Sturdy, Durable, Fast Charging!,Good brand,It’s like original apple cable,One of the best wire ..,Super well build. Quality product worth the money,Good product</v>
      </c>
      <c r="O786" s="7" t="str">
        <f>VLOOKUP(A786, avaliacoes!A:G,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row>
    <row r="787">
      <c r="A787" s="1" t="s">
        <v>2965</v>
      </c>
      <c r="B787" s="1" t="s">
        <v>2966</v>
      </c>
      <c r="C787" s="1" t="s">
        <v>1411</v>
      </c>
      <c r="D787" s="1" t="str">
        <f t="shared" si="2"/>
        <v>Electronics</v>
      </c>
      <c r="E787" s="1" t="str">
        <f t="shared" si="3"/>
        <v>Headphones,Earbuds&amp;Accessories</v>
      </c>
      <c r="F787" s="2">
        <v>1299.0</v>
      </c>
      <c r="G787" s="2">
        <v>2999.0</v>
      </c>
      <c r="H787" s="3">
        <f t="shared" si="4"/>
        <v>0.5668556185</v>
      </c>
      <c r="I787" s="4">
        <f>IFERROR(__xludf.DUMMYFUNCTION("GOOGLEFINANCE(""CURRENCY:INRBRL"")*F787"),77.5221413172)</f>
        <v>77.52214132</v>
      </c>
      <c r="J787" s="1">
        <v>4.51</v>
      </c>
      <c r="K787" s="1">
        <v>14629.0</v>
      </c>
      <c r="L787" s="1" t="s">
        <v>2967</v>
      </c>
      <c r="M787" s="6" t="s">
        <v>2968</v>
      </c>
      <c r="N787" s="7" t="str">
        <f>VLOOKUP(A787, avaliacoes!A:G, 5, FALSE)</f>
        <v>[Updated] decent tws for under 1k,Sound clarity.,Good Product,Buds are very good Quality.,Nothing,Budget Friendly,Amazing sound,Good product...</v>
      </c>
      <c r="O787" s="7" t="str">
        <f>VLOOKUP(A787, avaliacoes!A:G, 6, FALSE)</f>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v>
      </c>
    </row>
    <row r="788">
      <c r="A788" s="1" t="s">
        <v>2969</v>
      </c>
      <c r="B788" s="1" t="s">
        <v>2970</v>
      </c>
      <c r="C788" s="1" t="s">
        <v>2484</v>
      </c>
      <c r="D788" s="1" t="str">
        <f t="shared" si="2"/>
        <v>Computers&amp;Accessories</v>
      </c>
      <c r="E788" s="1" t="str">
        <f t="shared" si="3"/>
        <v>Accessories&amp;Peripherals</v>
      </c>
      <c r="F788" s="2">
        <v>230.0</v>
      </c>
      <c r="G788" s="2">
        <v>999.0</v>
      </c>
      <c r="H788" s="3">
        <f t="shared" si="4"/>
        <v>0.7697697698</v>
      </c>
      <c r="I788" s="4">
        <f>IFERROR(__xludf.DUMMYFUNCTION("GOOGLEFINANCE(""CURRENCY:INRBRL"")*F788"),13.726014243999998)</f>
        <v>13.72601424</v>
      </c>
      <c r="J788" s="1">
        <v>4.5</v>
      </c>
      <c r="K788" s="1">
        <v>1528.0</v>
      </c>
      <c r="L788" s="1" t="s">
        <v>2971</v>
      </c>
      <c r="M788" s="6" t="s">
        <v>2972</v>
      </c>
      <c r="N788" s="7" t="str">
        <f>VLOOKUP(A788, avaliacoes!A:G, 5, FALSE)</f>
        <v>Worth the proce,Can't complain for the price,Good product,An Affordable Mouse Pad,Office only,Badiya,Worth it just for the cost to quality ratio.,Good.. But could've been excellent.</v>
      </c>
      <c r="O788" s="7" t="str">
        <f>VLOOKUP(A788, avaliacoes!A:G, 6, FALSE)</f>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v>
      </c>
    </row>
    <row r="789">
      <c r="A789" s="1" t="s">
        <v>2973</v>
      </c>
      <c r="B789" s="1" t="s">
        <v>2974</v>
      </c>
      <c r="C789" s="1" t="s">
        <v>2975</v>
      </c>
      <c r="D789" s="1" t="str">
        <f t="shared" si="2"/>
        <v>Electronics</v>
      </c>
      <c r="E789" s="1" t="str">
        <f t="shared" si="3"/>
        <v>Headphones,Earbuds&amp;Accessories</v>
      </c>
      <c r="F789" s="2">
        <v>119.0</v>
      </c>
      <c r="G789" s="2">
        <v>499.0</v>
      </c>
      <c r="H789" s="3">
        <f t="shared" si="4"/>
        <v>0.7615230461</v>
      </c>
      <c r="I789" s="4">
        <f>IFERROR(__xludf.DUMMYFUNCTION("GOOGLEFINANCE(""CURRENCY:INRBRL"")*F789"),7.1017204132)</f>
        <v>7.101720413</v>
      </c>
      <c r="J789" s="1">
        <v>4.5</v>
      </c>
      <c r="K789" s="1">
        <v>15032.0</v>
      </c>
      <c r="L789" s="1" t="s">
        <v>2976</v>
      </c>
      <c r="M789" s="6" t="s">
        <v>2977</v>
      </c>
      <c r="N789" s="7" t="str">
        <f>VLOOKUP(A789, avaliacoes!A:G, 5, FALSE)</f>
        <v>Good quality,Good quality product,Must Go For It 🥰,Great case to carry charger or manage cabled products,Good,Rugged, compact. Would have been better with a loop to hold.,best for your earphones,Good</v>
      </c>
      <c r="O789" s="7" t="str">
        <f>VLOOKUP(A789, avaliacoes!A:G, 6, FALSE)</f>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v>
      </c>
    </row>
    <row r="790">
      <c r="A790" s="1" t="s">
        <v>2978</v>
      </c>
      <c r="B790" s="1" t="s">
        <v>2979</v>
      </c>
      <c r="C790" s="1" t="s">
        <v>2980</v>
      </c>
      <c r="D790" s="1" t="str">
        <f t="shared" si="2"/>
        <v>Electronics</v>
      </c>
      <c r="E790" s="1" t="str">
        <f t="shared" si="3"/>
        <v>Accessories</v>
      </c>
      <c r="F790" s="2">
        <v>449.0</v>
      </c>
      <c r="G790" s="2">
        <v>800.0</v>
      </c>
      <c r="H790" s="3">
        <f t="shared" si="4"/>
        <v>0.43875</v>
      </c>
      <c r="I790" s="4">
        <f>IFERROR(__xludf.DUMMYFUNCTION("GOOGLEFINANCE(""CURRENCY:INRBRL"")*F790"),26.795566937199997)</f>
        <v>26.79556694</v>
      </c>
      <c r="J790" s="1">
        <v>4.5</v>
      </c>
      <c r="K790" s="1">
        <v>69585.0</v>
      </c>
      <c r="L790" s="1" t="s">
        <v>2981</v>
      </c>
      <c r="M790" s="6" t="s">
        <v>2982</v>
      </c>
      <c r="N790" s="7" t="str">
        <f>VLOOKUP(A790, avaliacoes!A:G, 5, FALSE)</f>
        <v>Good Product But Spped Upto 30mbps,Nice,Regarding Card,Excellent SDCARD,Good,Fake product,Good,working fine read/write speed is good</v>
      </c>
      <c r="O790" s="7" t="str">
        <f>VLOOKUP(A790, avaliacoes!A:G, 6, FALSE)</f>
        <v>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v>
      </c>
    </row>
    <row r="791">
      <c r="A791" s="1" t="s">
        <v>2983</v>
      </c>
      <c r="B791" s="1" t="s">
        <v>2984</v>
      </c>
      <c r="C791" s="1" t="s">
        <v>2985</v>
      </c>
      <c r="D791" s="1" t="str">
        <f t="shared" si="2"/>
        <v>Electronics</v>
      </c>
      <c r="E791" s="1" t="str">
        <f t="shared" si="3"/>
        <v>Mobiles&amp;Accessories</v>
      </c>
      <c r="F791" s="2">
        <v>1699.0</v>
      </c>
      <c r="G791" s="2">
        <v>3495.0</v>
      </c>
      <c r="H791" s="3">
        <f t="shared" si="4"/>
        <v>0.5138769671</v>
      </c>
      <c r="I791" s="4">
        <f>IFERROR(__xludf.DUMMYFUNCTION("GOOGLEFINANCE(""CURRENCY:INRBRL"")*F791"),101.3934704372)</f>
        <v>101.3934704</v>
      </c>
      <c r="J791" s="1">
        <v>4.49</v>
      </c>
      <c r="K791" s="1">
        <v>14371.0</v>
      </c>
      <c r="L791" s="1" t="s">
        <v>2986</v>
      </c>
      <c r="M791" s="6" t="s">
        <v>2987</v>
      </c>
      <c r="N791" s="7" t="str">
        <f>VLOOKUP(A791, avaliacoes!A:G, 5, FALSE)</f>
        <v>Worst Quality Stand,Very productive product and value for money.,Good,It is functioning good,Product is good but RGB is of no use - RECOMMENDED FOR WHITE LIGHT,Nice,Worth for money,Good product for it's price range</v>
      </c>
      <c r="O791" s="7" t="str">
        <f>VLOOKUP(A791, avaliacoes!A:G, 6, FALSE)</f>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v>
      </c>
    </row>
    <row r="792">
      <c r="A792" s="1" t="s">
        <v>2988</v>
      </c>
      <c r="B792" s="1" t="s">
        <v>2989</v>
      </c>
      <c r="C792" s="1" t="s">
        <v>2880</v>
      </c>
      <c r="D792" s="1" t="str">
        <f t="shared" si="2"/>
        <v>OfficeProducts</v>
      </c>
      <c r="E792" s="1" t="str">
        <f t="shared" si="3"/>
        <v>OfficePaperProducts</v>
      </c>
      <c r="F792" s="2">
        <v>561.0</v>
      </c>
      <c r="G792" s="2">
        <v>720.0</v>
      </c>
      <c r="H792" s="3">
        <f t="shared" si="4"/>
        <v>0.2208333333</v>
      </c>
      <c r="I792" s="4">
        <f>IFERROR(__xludf.DUMMYFUNCTION("GOOGLEFINANCE(""CURRENCY:INRBRL"")*F792"),33.479539090799996)</f>
        <v>33.47953909</v>
      </c>
      <c r="J792" s="1">
        <v>4.5</v>
      </c>
      <c r="K792" s="1">
        <v>3182.0</v>
      </c>
      <c r="L792" s="1" t="s">
        <v>2990</v>
      </c>
      <c r="M792" s="6" t="s">
        <v>2991</v>
      </c>
      <c r="N792" s="7" t="str">
        <f>VLOOKUP(A792, avaliacoes!A:G, 5, FALSE)</f>
        <v>Good 👍,Product is Good,VALUE FOR MONEY,Worth it,Notebook is good and paking in very bad,Very nice book and good packaging,Nice set of 12 Lovely 😍 Books 📚,The books are beautiful</v>
      </c>
      <c r="O792" s="7" t="str">
        <f>VLOOKUP(A792, avaliacoes!A:G, 6, FALSE)</f>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v>
      </c>
    </row>
    <row r="793">
      <c r="A793" s="1" t="s">
        <v>2992</v>
      </c>
      <c r="B793" s="1" t="s">
        <v>2993</v>
      </c>
      <c r="C793" s="1" t="s">
        <v>2269</v>
      </c>
      <c r="D793" s="1" t="str">
        <f t="shared" si="2"/>
        <v>Computers&amp;Accessories</v>
      </c>
      <c r="E793" s="1" t="str">
        <f t="shared" si="3"/>
        <v>Accessories&amp;Peripherals</v>
      </c>
      <c r="F793" s="2">
        <v>289.0</v>
      </c>
      <c r="G793" s="2">
        <v>590.0</v>
      </c>
      <c r="H793" s="3">
        <f t="shared" si="4"/>
        <v>0.5101694915</v>
      </c>
      <c r="I793" s="4">
        <f>IFERROR(__xludf.DUMMYFUNCTION("GOOGLEFINANCE(""CURRENCY:INRBRL"")*F793"),17.2470352892)</f>
        <v>17.24703529</v>
      </c>
      <c r="J793" s="1">
        <v>4.5</v>
      </c>
      <c r="K793" s="1">
        <v>25886.0</v>
      </c>
      <c r="L793" s="1" t="s">
        <v>2994</v>
      </c>
      <c r="M793" s="6" t="s">
        <v>2995</v>
      </c>
      <c r="N793" s="7" t="str">
        <f>VLOOKUP(A793, avaliacoes!A:G, 5, FALSE)</f>
        <v>worth buying this mouse!,Good,Traditional mouse that does the job,nice,GOOD PRODUCT AND GOOD QUALITY,Worth the price money and amazing built quality,Compact mouse,super comfortable</v>
      </c>
      <c r="O793" s="7" t="str">
        <f>VLOOKUP(A793, avaliacoes!A:G, 6, FALSE)</f>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v>
      </c>
    </row>
    <row r="794">
      <c r="A794" s="1" t="s">
        <v>2996</v>
      </c>
      <c r="B794" s="1" t="s">
        <v>2997</v>
      </c>
      <c r="C794" s="1" t="s">
        <v>2294</v>
      </c>
      <c r="D794" s="1" t="str">
        <f t="shared" si="2"/>
        <v>Computers&amp;Accessories</v>
      </c>
      <c r="E794" s="1" t="str">
        <f t="shared" si="3"/>
        <v>Accessories&amp;Peripherals</v>
      </c>
      <c r="F794" s="2">
        <v>599.0</v>
      </c>
      <c r="G794" s="2">
        <v>1999.0</v>
      </c>
      <c r="H794" s="3">
        <f t="shared" si="4"/>
        <v>0.7003501751</v>
      </c>
      <c r="I794" s="4">
        <f>IFERROR(__xludf.DUMMYFUNCTION("GOOGLEFINANCE(""CURRENCY:INRBRL"")*F794"),35.747315357199994)</f>
        <v>35.74731536</v>
      </c>
      <c r="J794" s="1">
        <v>4.5</v>
      </c>
      <c r="K794" s="1">
        <v>4736.0</v>
      </c>
      <c r="L794" s="1" t="s">
        <v>2998</v>
      </c>
      <c r="M794" s="6" t="s">
        <v>2999</v>
      </c>
      <c r="N794" s="7" t="str">
        <f>VLOOKUP(A794, avaliacoes!A:G, 5, FALSE)</f>
        <v>Price wise the best in Category,Laptop is not sitting properly on the stand.,Product Quality,A good product.,Awesome product,Not that good for heavy 17 inches laptops,Good product can be better,Value for money and compact</v>
      </c>
      <c r="O794" s="7" t="str">
        <f>VLOOKUP(A794, avaliacoes!A:G, 6, FALSE)</f>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v>
      </c>
    </row>
    <row r="795">
      <c r="A795" s="1" t="s">
        <v>3000</v>
      </c>
      <c r="B795" s="1" t="s">
        <v>3001</v>
      </c>
      <c r="C795" s="1" t="s">
        <v>2383</v>
      </c>
      <c r="D795" s="1" t="str">
        <f t="shared" si="2"/>
        <v>Computers&amp;Accessories</v>
      </c>
      <c r="E795" s="1" t="str">
        <f t="shared" si="3"/>
        <v>ExternalDevices&amp;DataStorage</v>
      </c>
      <c r="F795" s="2">
        <v>5599.0</v>
      </c>
      <c r="G795" s="2">
        <v>7350.0</v>
      </c>
      <c r="H795" s="3">
        <f t="shared" si="4"/>
        <v>0.2382312925</v>
      </c>
      <c r="I795" s="4">
        <f>IFERROR(__xludf.DUMMYFUNCTION("GOOGLEFINANCE(""CURRENCY:INRBRL"")*F795"),334.13892935719997)</f>
        <v>334.1389294</v>
      </c>
      <c r="J795" s="1">
        <v>4.5</v>
      </c>
      <c r="K795" s="1">
        <v>73005.0</v>
      </c>
      <c r="L795" s="1" t="s">
        <v>3002</v>
      </c>
      <c r="M795" s="6" t="s">
        <v>3003</v>
      </c>
      <c r="N795" s="7" t="str">
        <f>VLOOKUP(A795, avaliacoes!A:G, 5, FALSE)</f>
        <v>Good enough for now.. Could be better..,Amzon better then Flipcart &amp; Others,Compact and Reliable 2TB External HDD: A Must-Have for Storing and Backing Up Your Data,💝👍One of the best available mechanical external hard disks,Nice,Woth Money,Good product,Heating problem</v>
      </c>
      <c r="O795" s="7" t="str">
        <f>VLOOKUP(A795, avaliacoes!A:G, 6, FALSE)</f>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v>
      </c>
    </row>
    <row r="796">
      <c r="A796" s="1" t="s">
        <v>3004</v>
      </c>
      <c r="B796" s="1" t="s">
        <v>3005</v>
      </c>
      <c r="C796" s="1" t="s">
        <v>3006</v>
      </c>
      <c r="D796" s="1" t="str">
        <f t="shared" si="2"/>
        <v>Computers&amp;Accessories</v>
      </c>
      <c r="E796" s="1" t="str">
        <f t="shared" si="3"/>
        <v>Accessories&amp;Peripherals</v>
      </c>
      <c r="F796" s="2">
        <v>1999.0</v>
      </c>
      <c r="G796" s="2">
        <v>2595.0</v>
      </c>
      <c r="H796" s="3">
        <f t="shared" si="4"/>
        <v>0.229672447</v>
      </c>
      <c r="I796" s="4">
        <f>IFERROR(__xludf.DUMMYFUNCTION("GOOGLEFINANCE(""CURRENCY:INRBRL"")*F796"),119.2969672772)</f>
        <v>119.2969673</v>
      </c>
      <c r="J796" s="1">
        <v>4.5</v>
      </c>
      <c r="K796" s="1">
        <v>20398.0</v>
      </c>
      <c r="L796" s="1" t="s">
        <v>3007</v>
      </c>
      <c r="M796" s="6" t="s">
        <v>3008</v>
      </c>
      <c r="N796" s="7" t="str">
        <f>VLOOKUP(A796, avaliacoes!A:G, 5, FALSE)</f>
        <v>Amazing Product!,Good product at in this range.,Thik thak photo aa jata hai.,Good product,Review,Nice hd webcam,Not all of Logitech's products are excellent.,Decent buy for the price.</v>
      </c>
      <c r="O796" s="7" t="str">
        <f>VLOOKUP(A796, avaliacoes!A:G, 6, FALSE)</f>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v>
      </c>
    </row>
    <row r="797">
      <c r="A797" s="1" t="s">
        <v>3009</v>
      </c>
      <c r="B797" s="1" t="s">
        <v>3010</v>
      </c>
      <c r="C797" s="1" t="s">
        <v>2806</v>
      </c>
      <c r="D797" s="1" t="str">
        <f t="shared" si="2"/>
        <v>Computers&amp;Accessories</v>
      </c>
      <c r="E797" s="1" t="str">
        <f t="shared" si="3"/>
        <v>Accessories&amp;Peripherals</v>
      </c>
      <c r="F797" s="2">
        <v>499.0</v>
      </c>
      <c r="G797" s="2">
        <v>799.0</v>
      </c>
      <c r="H797" s="3">
        <f t="shared" si="4"/>
        <v>0.3754693367</v>
      </c>
      <c r="I797" s="4">
        <f>IFERROR(__xludf.DUMMYFUNCTION("GOOGLEFINANCE(""CURRENCY:INRBRL"")*F797"),29.7794830772)</f>
        <v>29.77948308</v>
      </c>
      <c r="J797" s="1">
        <v>4.5</v>
      </c>
      <c r="K797" s="1">
        <v>2125.0</v>
      </c>
      <c r="L797" s="1" t="s">
        <v>3011</v>
      </c>
      <c r="M797" s="6" t="s">
        <v>3012</v>
      </c>
      <c r="N797" s="7" t="str">
        <f>VLOOKUP(A797, avaliacoes!A:G, 5, FALSE)</f>
        <v>Nice product,It works!,Indoor device, not for field use!,Does the job,Value for money product.,Good product,Till now...Using since 7 days..It's good,Useful USB multiplier</v>
      </c>
      <c r="O797" s="7" t="str">
        <f>VLOOKUP(A797, avaliacoes!A:G, 6, FALSE)</f>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v>
      </c>
    </row>
    <row r="798">
      <c r="A798" s="1" t="s">
        <v>3013</v>
      </c>
      <c r="B798" s="1" t="s">
        <v>3014</v>
      </c>
      <c r="C798" s="1" t="s">
        <v>2849</v>
      </c>
      <c r="D798" s="1" t="str">
        <f t="shared" si="2"/>
        <v>Computers&amp;Accessories</v>
      </c>
      <c r="E798" s="1" t="str">
        <f t="shared" si="3"/>
        <v>Accessories&amp;Peripherals</v>
      </c>
      <c r="F798" s="2">
        <v>449.0</v>
      </c>
      <c r="G798" s="2">
        <v>999.0</v>
      </c>
      <c r="H798" s="3">
        <f t="shared" si="4"/>
        <v>0.5505505506</v>
      </c>
      <c r="I798" s="4">
        <f>IFERROR(__xludf.DUMMYFUNCTION("GOOGLEFINANCE(""CURRENCY:INRBRL"")*F798"),26.795566937199997)</f>
        <v>26.79556694</v>
      </c>
      <c r="J798" s="1">
        <v>4.5</v>
      </c>
      <c r="K798" s="1">
        <v>1133.0</v>
      </c>
      <c r="L798" s="1" t="s">
        <v>3015</v>
      </c>
      <c r="M798" s="6" t="s">
        <v>3016</v>
      </c>
      <c r="N798" s="7" t="str">
        <f>VLOOKUP(A798, avaliacoes!A:G, 5, FALSE)</f>
        <v>Decent Prodyuct,Normal,Good product,Great product,Good product,perfect,Built quality of product is excellent,Excellent</v>
      </c>
      <c r="O798" s="7" t="str">
        <f>VLOOKUP(A798, avaliacoes!A:G, 6, FALSE)</f>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v>
      </c>
    </row>
    <row r="799">
      <c r="A799" s="1" t="s">
        <v>3017</v>
      </c>
      <c r="B799" s="1" t="s">
        <v>3018</v>
      </c>
      <c r="C799" s="1" t="s">
        <v>3019</v>
      </c>
      <c r="D799" s="1" t="str">
        <f t="shared" si="2"/>
        <v>Computers&amp;Accessories</v>
      </c>
      <c r="E799" s="1" t="str">
        <f t="shared" si="3"/>
        <v>Accessories&amp;Peripherals</v>
      </c>
      <c r="F799" s="2">
        <v>999.0</v>
      </c>
      <c r="G799" s="2">
        <v>1999.0</v>
      </c>
      <c r="H799" s="3">
        <f t="shared" si="4"/>
        <v>0.5002501251</v>
      </c>
      <c r="I799" s="4">
        <f>IFERROR(__xludf.DUMMYFUNCTION("GOOGLEFINANCE(""CURRENCY:INRBRL"")*F799"),59.61864447719999)</f>
        <v>59.61864448</v>
      </c>
      <c r="J799" s="1">
        <v>4.5</v>
      </c>
      <c r="K799" s="1">
        <v>27441.0</v>
      </c>
      <c r="L799" s="1" t="s">
        <v>3020</v>
      </c>
      <c r="M799" s="6" t="s">
        <v>3021</v>
      </c>
      <c r="N799" s="7" t="str">
        <f>VLOOKUP(A799, avaliacoes!A:G, 5, FALSE)</f>
        <v>Good for cooling,Not good for gaming,quality n performance,Good product,Nice performance,ABOVE AVERAGE,Good at this price (999),Works fine</v>
      </c>
      <c r="O799" s="7" t="str">
        <f>VLOOKUP(A799, avaliacoes!A:G, 6, FALSE)</f>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v>
      </c>
    </row>
    <row r="800">
      <c r="A800" s="1" t="s">
        <v>3022</v>
      </c>
      <c r="B800" s="1" t="s">
        <v>3023</v>
      </c>
      <c r="C800" s="1" t="s">
        <v>2090</v>
      </c>
      <c r="D800" s="1" t="str">
        <f t="shared" si="2"/>
        <v>Computers&amp;Accessories</v>
      </c>
      <c r="E800" s="1" t="str">
        <f t="shared" si="3"/>
        <v>Accessories&amp;Peripherals</v>
      </c>
      <c r="F800" s="2">
        <v>69.0</v>
      </c>
      <c r="G800" s="2">
        <v>299.0</v>
      </c>
      <c r="H800" s="3">
        <f t="shared" si="4"/>
        <v>0.7692307692</v>
      </c>
      <c r="I800" s="4">
        <f>IFERROR(__xludf.DUMMYFUNCTION("GOOGLEFINANCE(""CURRENCY:INRBRL"")*F800"),4.1178042732)</f>
        <v>4.117804273</v>
      </c>
      <c r="J800" s="1">
        <v>4.5</v>
      </c>
      <c r="K800" s="1">
        <v>255.0</v>
      </c>
      <c r="L800" s="1" t="s">
        <v>3024</v>
      </c>
      <c r="M800" s="6" t="s">
        <v>3025</v>
      </c>
      <c r="N800" s="7" t="str">
        <f>VLOOKUP(A800, avaliacoes!A:G, 5, FALSE)</f>
        <v>Good,Decent purchase,Awesome product,Worth,Does exactly what it meant to do !!!,Good product,Good,Worth buying</v>
      </c>
      <c r="O800" s="7" t="str">
        <f>VLOOKUP(A800, avaliacoes!A:G, 6, FALSE)</f>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v>
      </c>
    </row>
    <row r="801">
      <c r="A801" s="1" t="s">
        <v>3026</v>
      </c>
      <c r="B801" s="1" t="s">
        <v>3027</v>
      </c>
      <c r="C801" s="1" t="s">
        <v>2269</v>
      </c>
      <c r="D801" s="1" t="str">
        <f t="shared" si="2"/>
        <v>Computers&amp;Accessories</v>
      </c>
      <c r="E801" s="1" t="str">
        <f t="shared" si="3"/>
        <v>Accessories&amp;Peripherals</v>
      </c>
      <c r="F801" s="2">
        <v>899.0</v>
      </c>
      <c r="G801" s="2">
        <v>1499.0</v>
      </c>
      <c r="H801" s="3">
        <f t="shared" si="4"/>
        <v>0.4002668446</v>
      </c>
      <c r="I801" s="4">
        <f>IFERROR(__xludf.DUMMYFUNCTION("GOOGLEFINANCE(""CURRENCY:INRBRL"")*F801"),53.6508121972)</f>
        <v>53.6508122</v>
      </c>
      <c r="J801" s="1">
        <v>4.5</v>
      </c>
      <c r="K801" s="1">
        <v>23174.0</v>
      </c>
      <c r="L801" s="1" t="s">
        <v>3028</v>
      </c>
      <c r="M801" s="6" t="s">
        <v>3029</v>
      </c>
      <c r="N801" s="7" t="str">
        <f>VLOOKUP(A801, avaliacoes!A:G, 5, FALSE)</f>
        <v>Could be better.,Nice for office use,Good,Nice but little small,Nice mouse for office work not for gaming.,Good,Performance i good...,sleek n smooth</v>
      </c>
      <c r="O801" s="7" t="str">
        <f>VLOOKUP(A801, avaliacoes!A:G, 6, FALSE)</f>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v>
      </c>
    </row>
    <row r="802">
      <c r="A802" s="1" t="s">
        <v>3030</v>
      </c>
      <c r="B802" s="1" t="s">
        <v>3031</v>
      </c>
      <c r="C802" s="1" t="s">
        <v>2345</v>
      </c>
      <c r="D802" s="1" t="str">
        <f t="shared" si="2"/>
        <v>MusicalInstruments</v>
      </c>
      <c r="E802" s="1" t="str">
        <f t="shared" si="3"/>
        <v>Microphones</v>
      </c>
      <c r="F802" s="2">
        <v>478.0</v>
      </c>
      <c r="G802" s="2">
        <v>699.0</v>
      </c>
      <c r="H802" s="3">
        <f t="shared" si="4"/>
        <v>0.3161659514</v>
      </c>
      <c r="I802" s="4">
        <f>IFERROR(__xludf.DUMMYFUNCTION("GOOGLEFINANCE(""CURRENCY:INRBRL"")*F802"),28.5262382984)</f>
        <v>28.5262383</v>
      </c>
      <c r="J802" s="1">
        <v>4.51</v>
      </c>
      <c r="K802" s="1">
        <v>20218.0</v>
      </c>
      <c r="L802" s="1" t="s">
        <v>3032</v>
      </c>
      <c r="M802" s="6" t="s">
        <v>3033</v>
      </c>
      <c r="N802" s="7" t="str">
        <f>VLOOKUP(A802, avaliacoes!A:G, 5, FALSE)</f>
        <v>loud &amp; clear,Avrage in budget range,Best for beginners,Good for price,Very nice mic in this price range,In budget,Product Good, Packaging damaged.,Gzzzbbbbb mic 🎤</v>
      </c>
      <c r="O802" s="7" t="str">
        <f>VLOOKUP(A802, avaliacoes!A:G, 6, FALSE)</f>
        <v>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v>
      </c>
    </row>
    <row r="803">
      <c r="A803" s="1" t="s">
        <v>3034</v>
      </c>
      <c r="B803" s="1" t="s">
        <v>3035</v>
      </c>
      <c r="C803" s="1" t="s">
        <v>3036</v>
      </c>
      <c r="D803" s="1" t="str">
        <f t="shared" si="2"/>
        <v>Computers&amp;Accessories</v>
      </c>
      <c r="E803" s="1" t="str">
        <f t="shared" si="3"/>
        <v>Accessories&amp;Peripherals</v>
      </c>
      <c r="F803" s="2">
        <v>1399.0</v>
      </c>
      <c r="G803" s="2">
        <v>2499.0</v>
      </c>
      <c r="H803" s="3">
        <f t="shared" si="4"/>
        <v>0.4401760704</v>
      </c>
      <c r="I803" s="4">
        <f>IFERROR(__xludf.DUMMYFUNCTION("GOOGLEFINANCE(""CURRENCY:INRBRL"")*F803"),83.48997359719999)</f>
        <v>83.4899736</v>
      </c>
      <c r="J803" s="1">
        <v>4.5</v>
      </c>
      <c r="K803" s="1">
        <v>11074.0</v>
      </c>
      <c r="L803" s="1" t="s">
        <v>3037</v>
      </c>
      <c r="M803" s="6" t="s">
        <v>3038</v>
      </c>
      <c r="N803" s="7" t="str">
        <f>VLOOKUP(A803, avaliacoes!A:G, 5, FALSE)</f>
        <v>Not sturdy enough but good.,Product looks good for the price,Good One,Good quality in this range....,Budget buy,Good,2 problems i noticed,Incorrect steps order</v>
      </c>
      <c r="O803" s="7" t="str">
        <f>VLOOKUP(A803, avaliacoes!A:G, 6, FALSE)</f>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v>
      </c>
    </row>
    <row r="804">
      <c r="A804" s="1" t="s">
        <v>142</v>
      </c>
      <c r="B804" s="1" t="s">
        <v>143</v>
      </c>
      <c r="C804" s="1" t="s">
        <v>21</v>
      </c>
      <c r="D804" s="1" t="str">
        <f t="shared" si="2"/>
        <v>Computers&amp;Accessories</v>
      </c>
      <c r="E804" s="1" t="str">
        <f t="shared" si="3"/>
        <v>Accessories&amp;Peripherals</v>
      </c>
      <c r="F804" s="2">
        <v>199.0</v>
      </c>
      <c r="G804" s="2">
        <v>750.0</v>
      </c>
      <c r="H804" s="3">
        <f t="shared" si="4"/>
        <v>0.7346666667</v>
      </c>
      <c r="I804" s="4">
        <f>IFERROR(__xludf.DUMMYFUNCTION("GOOGLEFINANCE(""CURRENCY:INRBRL"")*F804"),11.8759862372)</f>
        <v>11.87598624</v>
      </c>
      <c r="J804" s="1">
        <v>4.51</v>
      </c>
      <c r="K804" s="1">
        <v>74976.0</v>
      </c>
      <c r="L804" s="1" t="s">
        <v>144</v>
      </c>
      <c r="M804" s="6" t="s">
        <v>3039</v>
      </c>
      <c r="N804" s="7" t="str">
        <f>VLOOKUP(A804, avaliacoes!A:G, 5, FALSE)</f>
        <v>Nice,good,Paisa vassol,Sturdy and long.,Good for the price and great quality.,Works as expected,Good,Good</v>
      </c>
      <c r="O804" s="7" t="str">
        <f>VLOOKUP(A804, avaliacoes!A:G,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row>
    <row r="805">
      <c r="A805" s="1" t="s">
        <v>3040</v>
      </c>
      <c r="B805" s="1" t="s">
        <v>3041</v>
      </c>
      <c r="C805" s="1" t="s">
        <v>3042</v>
      </c>
      <c r="D805" s="1" t="str">
        <f t="shared" si="2"/>
        <v>Computers&amp;Accessories</v>
      </c>
      <c r="E805" s="1" t="str">
        <f t="shared" si="3"/>
        <v>Accessories&amp;Peripherals</v>
      </c>
      <c r="F805" s="2">
        <v>149.0</v>
      </c>
      <c r="G805" s="2">
        <v>499.0</v>
      </c>
      <c r="H805" s="3">
        <f t="shared" si="4"/>
        <v>0.7014028056</v>
      </c>
      <c r="I805" s="4">
        <f>IFERROR(__xludf.DUMMYFUNCTION("GOOGLEFINANCE(""CURRENCY:INRBRL"")*F805"),8.8920700972)</f>
        <v>8.892070097</v>
      </c>
      <c r="J805" s="1">
        <v>4.49</v>
      </c>
      <c r="K805" s="1">
        <v>25607.0</v>
      </c>
      <c r="L805" s="1" t="s">
        <v>3043</v>
      </c>
      <c r="M805" s="6" t="s">
        <v>3044</v>
      </c>
      <c r="N805" s="7" t="str">
        <f>VLOOKUP(A805, avaliacoes!A:G, 5, FALSE)</f>
        <v>Okay product in picture,Good for students,Nice product,Portability,Great product at this price,Just working,Nice,Good</v>
      </c>
      <c r="O805" s="7" t="str">
        <f>VLOOKUP(A805, avaliacoes!A:G, 6, FALSE)</f>
        <v>When you use its okay product.,I am using and don't find any problem 🤠,Nice product, good quality and easy to manage,The best thing about it is that its super light weight and small.. so its wasy to carry almost everything,Go for itGood for landscape mode,I liked low price.,Nice,Ok</v>
      </c>
    </row>
    <row r="806">
      <c r="A806" s="1" t="s">
        <v>3045</v>
      </c>
      <c r="B806" s="1" t="s">
        <v>3046</v>
      </c>
      <c r="C806" s="1" t="s">
        <v>2553</v>
      </c>
      <c r="D806" s="1" t="str">
        <f t="shared" si="2"/>
        <v>Electronics</v>
      </c>
      <c r="E806" s="1" t="str">
        <f t="shared" si="3"/>
        <v>HomeAudio</v>
      </c>
      <c r="F806" s="2">
        <v>1799.0</v>
      </c>
      <c r="G806" s="2">
        <v>4999.0</v>
      </c>
      <c r="H806" s="3">
        <f t="shared" si="4"/>
        <v>0.6401280256</v>
      </c>
      <c r="I806" s="4">
        <f>IFERROR(__xludf.DUMMYFUNCTION("GOOGLEFINANCE(""CURRENCY:INRBRL"")*F806"),107.36130271719999)</f>
        <v>107.3613027</v>
      </c>
      <c r="J806" s="1">
        <v>4.5</v>
      </c>
      <c r="K806" s="1">
        <v>41226.0</v>
      </c>
      <c r="L806" s="1" t="s">
        <v>3047</v>
      </c>
      <c r="M806" s="6" t="s">
        <v>3048</v>
      </c>
      <c r="N806" s="7" t="str">
        <f>VLOOKUP(A806, avaliacoes!A:G, 5, FALSE)</f>
        <v>Sound Quality : Boat Stone 650 vs Nakamichi Speck vs Boat Stone 200,It's just a speaker with less sound,Okay to buy,Sound is not much loud in maximum volume,Boat rocks always,Excellent 👌,VFM PRODUCT BUT THERE'S MORE TO IT. READ ON!,Excellent sound quality, i like this speaker sooooooo much 👌👌👌</v>
      </c>
      <c r="O806" s="7" t="str">
        <f>VLOOKUP(A806, avaliacoes!A:G, 6, FALSE)</f>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v>
      </c>
    </row>
    <row r="807">
      <c r="A807" s="1" t="s">
        <v>3049</v>
      </c>
      <c r="B807" s="1" t="s">
        <v>3050</v>
      </c>
      <c r="C807" s="1" t="s">
        <v>3051</v>
      </c>
      <c r="D807" s="1" t="str">
        <f t="shared" si="2"/>
        <v>HomeImprovement</v>
      </c>
      <c r="E807" s="1" t="str">
        <f t="shared" si="3"/>
        <v>Electrical</v>
      </c>
      <c r="F807" s="2">
        <v>425.0</v>
      </c>
      <c r="G807" s="2">
        <v>999.0</v>
      </c>
      <c r="H807" s="3">
        <f t="shared" si="4"/>
        <v>0.5745745746</v>
      </c>
      <c r="I807" s="4">
        <f>IFERROR(__xludf.DUMMYFUNCTION("GOOGLEFINANCE(""CURRENCY:INRBRL"")*F807"),25.363287189999998)</f>
        <v>25.36328719</v>
      </c>
      <c r="J807" s="1">
        <v>4.0</v>
      </c>
      <c r="K807" s="1">
        <v>2581.0</v>
      </c>
      <c r="L807" s="1" t="s">
        <v>3052</v>
      </c>
      <c r="M807" s="6" t="s">
        <v>3053</v>
      </c>
      <c r="N807" s="7" t="str">
        <f>VLOOKUP(A807, avaliacoes!A:G, 5, FALSE)</f>
        <v>Material not worth,Stable for use,Overall product is good,Durable, travel friendly,Adapter,Useful product for international travellers,Doubtful for Durability and sturdiness,very good product</v>
      </c>
      <c r="O807" s="7" t="str">
        <f>VLOOKUP(A807, avaliacoes!A:G, 6, FALSE)</f>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v>
      </c>
    </row>
    <row r="808">
      <c r="A808" s="1" t="s">
        <v>3054</v>
      </c>
      <c r="B808" s="1" t="s">
        <v>3055</v>
      </c>
      <c r="C808" s="1" t="s">
        <v>2844</v>
      </c>
      <c r="D808" s="1" t="str">
        <f t="shared" si="2"/>
        <v>Electronics</v>
      </c>
      <c r="E808" s="1" t="str">
        <f t="shared" si="3"/>
        <v>HomeAudio</v>
      </c>
      <c r="F808" s="2">
        <v>999.0</v>
      </c>
      <c r="G808" s="2">
        <v>2499.0</v>
      </c>
      <c r="H808" s="3">
        <f t="shared" si="4"/>
        <v>0.600240096</v>
      </c>
      <c r="I808" s="4">
        <f>IFERROR(__xludf.DUMMYFUNCTION("GOOGLEFINANCE(""CURRENCY:INRBRL"")*F808"),59.61864447719999)</f>
        <v>59.61864448</v>
      </c>
      <c r="J808" s="1">
        <v>4.49</v>
      </c>
      <c r="K808" s="1">
        <v>18331.0</v>
      </c>
      <c r="L808" s="1" t="s">
        <v>3056</v>
      </c>
      <c r="M808" s="6" t="s">
        <v>3057</v>
      </c>
      <c r="N808" s="7" t="str">
        <f>VLOOKUP(A808, avaliacoes!A:G, 5, FALSE)</f>
        <v>Stone 180 is good as a portable speaker.,Good but not that much ok sound,Nice,Battery life,Poor battery life,Not have loud sound,Value for money...,Average</v>
      </c>
      <c r="O808" s="7" t="str">
        <f>VLOOKUP(A808, avaliacoes!A:G, 6, FALSE)</f>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v>
      </c>
    </row>
    <row r="809">
      <c r="A809" s="1" t="s">
        <v>3058</v>
      </c>
      <c r="B809" s="1" t="s">
        <v>3059</v>
      </c>
      <c r="C809" s="1" t="s">
        <v>2274</v>
      </c>
      <c r="D809" s="1" t="str">
        <f t="shared" si="2"/>
        <v>Computers&amp;Accessories</v>
      </c>
      <c r="E809" s="1" t="str">
        <f t="shared" si="3"/>
        <v>Accessories&amp;Peripherals</v>
      </c>
      <c r="F809" s="2">
        <v>378.0</v>
      </c>
      <c r="G809" s="2">
        <v>999.0</v>
      </c>
      <c r="H809" s="3">
        <f t="shared" si="4"/>
        <v>0.6216216216</v>
      </c>
      <c r="I809" s="4">
        <f>IFERROR(__xludf.DUMMYFUNCTION("GOOGLEFINANCE(""CURRENCY:INRBRL"")*F809"),22.5584060184)</f>
        <v>22.55840602</v>
      </c>
      <c r="J809" s="1">
        <v>4.49</v>
      </c>
      <c r="K809" s="1">
        <v>1779.0</v>
      </c>
      <c r="L809" s="1" t="s">
        <v>3060</v>
      </c>
      <c r="M809" s="6" t="s">
        <v>3061</v>
      </c>
      <c r="N809" s="7" t="str">
        <f>VLOOKUP(A809, avaliacoes!A:G, 5, FALSE)</f>
        <v>Average,Value for money product,Nice product,very nice product... screen should be little bit more bright,Product looks Good,Nice product, easy to use and perfect delivery,Overall nice,Good</v>
      </c>
      <c r="O809" s="7" t="str">
        <f>VLOOKUP(A809, avaliacoes!A:G, 6, FALSE)</f>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v>
      </c>
    </row>
    <row r="810">
      <c r="A810" s="1" t="s">
        <v>3062</v>
      </c>
      <c r="B810" s="1" t="s">
        <v>3063</v>
      </c>
      <c r="C810" s="1" t="s">
        <v>3064</v>
      </c>
      <c r="D810" s="1" t="str">
        <f t="shared" si="2"/>
        <v>OfficeProducts</v>
      </c>
      <c r="E810" s="1" t="str">
        <f t="shared" si="3"/>
        <v>OfficePaperProducts</v>
      </c>
      <c r="F810" s="2">
        <v>99.0</v>
      </c>
      <c r="G810" s="2">
        <v>99.0</v>
      </c>
      <c r="H810" s="3">
        <f t="shared" si="4"/>
        <v>0</v>
      </c>
      <c r="I810" s="4">
        <f>IFERROR(__xludf.DUMMYFUNCTION("GOOGLEFINANCE(""CURRENCY:INRBRL"")*F810"),5.9081539572)</f>
        <v>5.908153957</v>
      </c>
      <c r="J810" s="1">
        <v>4.5</v>
      </c>
      <c r="K810" s="1">
        <v>388.0</v>
      </c>
      <c r="L810" s="1" t="s">
        <v>3065</v>
      </c>
      <c r="M810" s="6" t="s">
        <v>3066</v>
      </c>
      <c r="N810" s="7" t="str">
        <f>VLOOKUP(A810, avaliacoes!A:G, 5, FALSE)</f>
        <v>Good,Heads up,Good product,Bright in color  good product 👍🏻,Nice dark colors...,black  and dark blue paper not supplied  as it should be also there making it 4x12,Quality is too good,Nice bright colour</v>
      </c>
      <c r="O810" s="7" t="str">
        <f>VLOOKUP(A810, avaliacoes!A:G, 6, FALSE)</f>
        <v>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v>
      </c>
    </row>
    <row r="811">
      <c r="A811" s="1" t="s">
        <v>3067</v>
      </c>
      <c r="B811" s="1" t="s">
        <v>3068</v>
      </c>
      <c r="C811" s="1" t="s">
        <v>2522</v>
      </c>
      <c r="D811" s="1" t="str">
        <f t="shared" si="2"/>
        <v>Computers&amp;Accessories</v>
      </c>
      <c r="E811" s="1" t="str">
        <f t="shared" si="3"/>
        <v>NetworkingDevices</v>
      </c>
      <c r="F811" s="2">
        <v>1499.0</v>
      </c>
      <c r="G811" s="2">
        <v>2999.0</v>
      </c>
      <c r="H811" s="3">
        <f t="shared" si="4"/>
        <v>0.5001667222</v>
      </c>
      <c r="I811" s="4">
        <f>IFERROR(__xludf.DUMMYFUNCTION("GOOGLEFINANCE(""CURRENCY:INRBRL"")*F811"),89.45780587719999)</f>
        <v>89.45780588</v>
      </c>
      <c r="J811" s="1">
        <v>4.51</v>
      </c>
      <c r="K811" s="1">
        <v>8656.0</v>
      </c>
      <c r="L811" s="1" t="s">
        <v>3069</v>
      </c>
      <c r="M811" s="6" t="s">
        <v>3070</v>
      </c>
      <c r="N811" s="7" t="str">
        <f>VLOOKUP(A811, avaliacoes!A:G, 5, FALSE)</f>
        <v>Cute one,Received today and installed.Observing performance.,Provides 1-30 to 2 hours backup,Perfect modem and router UPS,Nice product with some drawbacks,Shandaar Jabardast Zindaabad,As expected,Excellent product for apartments with DG backup.</v>
      </c>
      <c r="O811" s="7" t="str">
        <f>VLOOKUP(A811, avaliacoes!A:G, 6, FALSE)</f>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v>
      </c>
    </row>
    <row r="812">
      <c r="A812" s="1" t="s">
        <v>3071</v>
      </c>
      <c r="B812" s="1" t="s">
        <v>3072</v>
      </c>
      <c r="C812" s="1" t="s">
        <v>3073</v>
      </c>
      <c r="D812" s="1" t="str">
        <f t="shared" si="2"/>
        <v>Computers&amp;Accessories</v>
      </c>
      <c r="E812" s="1" t="str">
        <f t="shared" si="3"/>
        <v>Components</v>
      </c>
      <c r="F812" s="2">
        <v>1815.0</v>
      </c>
      <c r="G812" s="2">
        <v>3099.0</v>
      </c>
      <c r="H812" s="3">
        <f t="shared" si="4"/>
        <v>0.4143272023</v>
      </c>
      <c r="I812" s="4">
        <f>IFERROR(__xludf.DUMMYFUNCTION("GOOGLEFINANCE(""CURRENCY:INRBRL"")*F812"),108.31615588199999)</f>
        <v>108.3161559</v>
      </c>
      <c r="J812" s="1">
        <v>4.51</v>
      </c>
      <c r="K812" s="1">
        <v>92925.0</v>
      </c>
      <c r="L812" s="1" t="s">
        <v>3074</v>
      </c>
      <c r="M812" s="6" t="s">
        <v>3075</v>
      </c>
      <c r="N812" s="7" t="str">
        <f>VLOOKUP(A812, avaliacoes!A:G, 5, FALSE)</f>
        <v>Absolutely worth the price,Best product on low value, definitely gofor this,Works the way it says,Economical. Very light. Quite sleak. No good robust packing.,Good one!,The Best,As expected quality from a company like crucial. 4.5 Star Rating,Best in class ssd</v>
      </c>
      <c r="O812" s="7" t="str">
        <f>VLOOKUP(A812, avaliacoes!A:G, 6, FALSE)</f>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v>
      </c>
    </row>
    <row r="813">
      <c r="A813" s="1" t="s">
        <v>3076</v>
      </c>
      <c r="B813" s="1" t="s">
        <v>3077</v>
      </c>
      <c r="C813" s="1" t="s">
        <v>2880</v>
      </c>
      <c r="D813" s="1" t="str">
        <f t="shared" si="2"/>
        <v>OfficeProducts</v>
      </c>
      <c r="E813" s="1" t="str">
        <f t="shared" si="3"/>
        <v>OfficePaperProducts</v>
      </c>
      <c r="F813" s="2">
        <v>67.0</v>
      </c>
      <c r="G813" s="2">
        <v>75.0</v>
      </c>
      <c r="H813" s="3">
        <f t="shared" si="4"/>
        <v>0.1066666667</v>
      </c>
      <c r="I813" s="4">
        <f>IFERROR(__xludf.DUMMYFUNCTION("GOOGLEFINANCE(""CURRENCY:INRBRL"")*F813"),3.9984476275999996)</f>
        <v>3.998447628</v>
      </c>
      <c r="J813" s="1">
        <v>4.49</v>
      </c>
      <c r="K813" s="1">
        <v>1269.0</v>
      </c>
      <c r="L813" s="1" t="s">
        <v>3078</v>
      </c>
      <c r="M813" s="6" t="s">
        <v>3079</v>
      </c>
      <c r="N813" s="7" t="str">
        <f>VLOOKUP(A813, avaliacoes!A:G, 5, FALSE)</f>
        <v>it's nice. simple and easy.,It's good but I ordered avengers printing I got other one,Not A4 size,Nice product but not value for money,Money not wasted.,Good For Day-To-Day use,medium size notebook,Good for note</v>
      </c>
      <c r="O813" s="7" t="str">
        <f>VLOOKUP(A813, avaliacoes!A:G, 6, FALSE)</f>
        <v>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v>
      </c>
    </row>
    <row r="814">
      <c r="A814" s="1" t="s">
        <v>3080</v>
      </c>
      <c r="B814" s="1" t="s">
        <v>3081</v>
      </c>
      <c r="C814" s="1" t="s">
        <v>2283</v>
      </c>
      <c r="D814" s="1" t="str">
        <f t="shared" si="2"/>
        <v>Computers&amp;Accessories</v>
      </c>
      <c r="E814" s="1" t="str">
        <f t="shared" si="3"/>
        <v>Accessories&amp;Peripherals</v>
      </c>
      <c r="F814" s="2">
        <v>1889.0</v>
      </c>
      <c r="G814" s="2">
        <v>2699.0</v>
      </c>
      <c r="H814" s="3">
        <f t="shared" si="4"/>
        <v>0.3001111523</v>
      </c>
      <c r="I814" s="4">
        <f>IFERROR(__xludf.DUMMYFUNCTION("GOOGLEFINANCE(""CURRENCY:INRBRL"")*F814"),112.7323517692)</f>
        <v>112.7323518</v>
      </c>
      <c r="J814" s="1">
        <v>4.5</v>
      </c>
      <c r="K814" s="1">
        <v>17394.0</v>
      </c>
      <c r="L814" s="1" t="s">
        <v>3082</v>
      </c>
      <c r="M814" s="6" t="s">
        <v>3083</v>
      </c>
      <c r="N814" s="7" t="str">
        <f>VLOOKUP(A814, avaliacoes!A:G, 5, FALSE)</f>
        <v>Nice Product,Good one,Nice to have!,5 star (i gave 4 btw) just 1 con and its huge for me,Good table to work from bed,Laptop Table.,Best stand available,Like it</v>
      </c>
      <c r="O814" s="7" t="str">
        <f>VLOOKUP(A814, avaliacoes!A:G, 6, FALSE)</f>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v>
      </c>
    </row>
    <row r="815">
      <c r="A815" s="1" t="s">
        <v>3084</v>
      </c>
      <c r="B815" s="1" t="s">
        <v>3085</v>
      </c>
      <c r="C815" s="1" t="s">
        <v>1411</v>
      </c>
      <c r="D815" s="1" t="str">
        <f t="shared" si="2"/>
        <v>Electronics</v>
      </c>
      <c r="E815" s="1" t="str">
        <f t="shared" si="3"/>
        <v>Headphones,Earbuds&amp;Accessories</v>
      </c>
      <c r="F815" s="2">
        <v>499.0</v>
      </c>
      <c r="G815" s="2">
        <v>1499.0</v>
      </c>
      <c r="H815" s="3">
        <f t="shared" si="4"/>
        <v>0.6671114076</v>
      </c>
      <c r="I815" s="4">
        <f>IFERROR(__xludf.DUMMYFUNCTION("GOOGLEFINANCE(""CURRENCY:INRBRL"")*F815"),29.7794830772)</f>
        <v>29.77948308</v>
      </c>
      <c r="J815" s="1">
        <v>4.51</v>
      </c>
      <c r="K815" s="1">
        <v>9169.0</v>
      </c>
      <c r="L815" s="1" t="s">
        <v>3086</v>
      </c>
      <c r="M815" s="6" t="s">
        <v>3087</v>
      </c>
      <c r="N815" s="7" t="str">
        <f>VLOOKUP(A815, avaliacoes!A:G, 5, FALSE)</f>
        <v>Best at this price range.,Value for money,Value for money,Little bit compromise with make &amp; connectivity, rest all perfect 👌,Nice,Nice,Good,Good product</v>
      </c>
      <c r="O815" s="7" t="str">
        <f>VLOOKUP(A815, avaliacoes!A:G, 6, FALSE)</f>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v>
      </c>
    </row>
    <row r="816">
      <c r="A816" s="1" t="s">
        <v>3088</v>
      </c>
      <c r="B816" s="1" t="s">
        <v>3089</v>
      </c>
      <c r="C816" s="1" t="s">
        <v>2484</v>
      </c>
      <c r="D816" s="1" t="str">
        <f t="shared" si="2"/>
        <v>Computers&amp;Accessories</v>
      </c>
      <c r="E816" s="1" t="str">
        <f t="shared" si="3"/>
        <v>Accessories&amp;Peripherals</v>
      </c>
      <c r="F816" s="2">
        <v>499.0</v>
      </c>
      <c r="G816" s="2">
        <v>999.0</v>
      </c>
      <c r="H816" s="3">
        <f t="shared" si="4"/>
        <v>0.5005005005</v>
      </c>
      <c r="I816" s="4">
        <f>IFERROR(__xludf.DUMMYFUNCTION("GOOGLEFINANCE(""CURRENCY:INRBRL"")*F816"),29.7794830772)</f>
        <v>29.77948308</v>
      </c>
      <c r="J816" s="1">
        <v>4.5</v>
      </c>
      <c r="K816" s="1">
        <v>103.0</v>
      </c>
      <c r="L816" s="1" t="s">
        <v>3090</v>
      </c>
      <c r="M816" s="6" t="s">
        <v>3091</v>
      </c>
      <c r="N816" s="7" t="str">
        <f>VLOOKUP(A816, avaliacoes!A:G, 5, FALSE)</f>
        <v>nice design.,Worth the buy,Pretty good,Nice product.,Jordaar,The product is an averagely good product,Good enough,Awesome</v>
      </c>
      <c r="O816" s="7" t="str">
        <f>VLOOKUP(A816, avaliacoes!A:G, 6, FALSE)</f>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v>
      </c>
    </row>
    <row r="817">
      <c r="A817" s="1" t="s">
        <v>3092</v>
      </c>
      <c r="B817" s="1" t="s">
        <v>3093</v>
      </c>
      <c r="C817" s="1" t="s">
        <v>2383</v>
      </c>
      <c r="D817" s="1" t="str">
        <f t="shared" si="2"/>
        <v>Computers&amp;Accessories</v>
      </c>
      <c r="E817" s="1" t="str">
        <f t="shared" si="3"/>
        <v>ExternalDevices&amp;DataStorage</v>
      </c>
      <c r="F817" s="2">
        <v>5799.0</v>
      </c>
      <c r="G817" s="2">
        <v>7999.0</v>
      </c>
      <c r="H817" s="3">
        <f t="shared" si="4"/>
        <v>0.2750343793</v>
      </c>
      <c r="I817" s="4">
        <f>IFERROR(__xludf.DUMMYFUNCTION("GOOGLEFINANCE(""CURRENCY:INRBRL"")*F817"),346.0745939172)</f>
        <v>346.0745939</v>
      </c>
      <c r="J817" s="1">
        <v>4.51</v>
      </c>
      <c r="K817" s="1">
        <v>50273.0</v>
      </c>
      <c r="L817" s="1" t="s">
        <v>3094</v>
      </c>
      <c r="M817" s="6" t="s">
        <v>3095</v>
      </c>
      <c r="N817" s="7" t="str">
        <f>VLOOKUP(A817, avaliacoes!A:G, 5, FALSE)</f>
        <v>sometimes writes are little slow, otherwise fine,great product,Worth 100%,The only thing I was being deprived of was it's color.Instead of blue,I got a grey one.,Good product,Good product,Not with password and mailio softwares  this product not work properly,In the what u expect go for it ....</v>
      </c>
      <c r="O817" s="7" t="str">
        <f>VLOOKUP(A817, avaliacoes!A:G, 6, FALSE)</f>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v>
      </c>
    </row>
    <row r="818">
      <c r="A818" s="1" t="s">
        <v>3096</v>
      </c>
      <c r="B818" s="1" t="s">
        <v>3097</v>
      </c>
      <c r="C818" s="1" t="s">
        <v>3098</v>
      </c>
      <c r="D818" s="1" t="str">
        <f t="shared" si="2"/>
        <v>Electronics</v>
      </c>
      <c r="E818" s="1" t="str">
        <f t="shared" si="3"/>
        <v>HomeAudio</v>
      </c>
      <c r="F818" s="2">
        <v>499.0</v>
      </c>
      <c r="G818" s="2">
        <v>799.0</v>
      </c>
      <c r="H818" s="3">
        <f t="shared" si="4"/>
        <v>0.3754693367</v>
      </c>
      <c r="I818" s="4">
        <f>IFERROR(__xludf.DUMMYFUNCTION("GOOGLEFINANCE(""CURRENCY:INRBRL"")*F818"),29.7794830772)</f>
        <v>29.77948308</v>
      </c>
      <c r="J818" s="1">
        <v>4.52</v>
      </c>
      <c r="K818" s="1">
        <v>6742.0</v>
      </c>
      <c r="L818" s="1" t="s">
        <v>3099</v>
      </c>
      <c r="M818" s="6" t="s">
        <v>3100</v>
      </c>
      <c r="N818" s="7" t="str">
        <f>VLOOKUP(A818, avaliacoes!A:G, 5, FALSE)</f>
        <v>Thik thak he,wired,Sound boss,cheap and best temporary speakers,So loud,Bass,BEST QUALITY SPEAKER,Very nice</v>
      </c>
      <c r="O818" s="7" t="str">
        <f>VLOOKUP(A818, avaliacoes!A:G, 6, FALSE)</f>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v>
      </c>
    </row>
    <row r="819">
      <c r="A819" s="1" t="s">
        <v>3101</v>
      </c>
      <c r="B819" s="1" t="s">
        <v>3102</v>
      </c>
      <c r="C819" s="1" t="s">
        <v>2274</v>
      </c>
      <c r="D819" s="1" t="str">
        <f t="shared" si="2"/>
        <v>Computers&amp;Accessories</v>
      </c>
      <c r="E819" s="1" t="str">
        <f t="shared" si="3"/>
        <v>Accessories&amp;Peripherals</v>
      </c>
      <c r="F819" s="2">
        <v>249.0</v>
      </c>
      <c r="G819" s="2">
        <v>600.0</v>
      </c>
      <c r="H819" s="3">
        <f t="shared" si="4"/>
        <v>0.585</v>
      </c>
      <c r="I819" s="4">
        <f>IFERROR(__xludf.DUMMYFUNCTION("GOOGLEFINANCE(""CURRENCY:INRBRL"")*F819"),14.8599023772)</f>
        <v>14.85990238</v>
      </c>
      <c r="J819" s="1">
        <v>4.0</v>
      </c>
      <c r="K819" s="1">
        <v>1208.0</v>
      </c>
      <c r="L819" s="1" t="s">
        <v>3103</v>
      </c>
      <c r="M819" s="6" t="s">
        <v>3104</v>
      </c>
      <c r="N819" s="7" t="str">
        <f>VLOOKUP(A819, avaliacoes!A:G, 5, FALSE)</f>
        <v>Product is good,Lots of fun for the price,Good to use,Handy,Concept is good,Lightweight,Good for children,a best device for your child to make them intrested to study and practice.</v>
      </c>
      <c r="O819" s="7" t="str">
        <f>VLOOKUP(A819, avaliacoes!A:G, 6, FALSE)</f>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v>
      </c>
    </row>
    <row r="820">
      <c r="A820" s="1" t="s">
        <v>146</v>
      </c>
      <c r="B820" s="1" t="s">
        <v>147</v>
      </c>
      <c r="C820" s="1" t="s">
        <v>21</v>
      </c>
      <c r="D820" s="1" t="str">
        <f t="shared" si="2"/>
        <v>Computers&amp;Accessories</v>
      </c>
      <c r="E820" s="1" t="str">
        <f t="shared" si="3"/>
        <v>Accessories&amp;Peripherals</v>
      </c>
      <c r="F820" s="2">
        <v>179.0</v>
      </c>
      <c r="G820" s="2">
        <v>499.0</v>
      </c>
      <c r="H820" s="3">
        <f t="shared" si="4"/>
        <v>0.6412825651</v>
      </c>
      <c r="I820" s="4">
        <f>IFERROR(__xludf.DUMMYFUNCTION("GOOGLEFINANCE(""CURRENCY:INRBRL"")*F820"),10.682419781199998)</f>
        <v>10.68241978</v>
      </c>
      <c r="J820" s="1">
        <v>4.0</v>
      </c>
      <c r="K820" s="1">
        <v>1933.0</v>
      </c>
      <c r="L820" s="1" t="s">
        <v>148</v>
      </c>
      <c r="M820" s="6" t="s">
        <v>3105</v>
      </c>
      <c r="N820" s="7" t="str">
        <f>VLOOKUP(A820, avaliacoes!A:G, 5, FALSE)</f>
        <v>Good product,Good for charging, bad for data transfer,Wait  to get mexmum discount.,The cable quality is best and charging pin is at right position to stand 👍🏻,So far super,Good,Good but issues with design,Maine ₹99 me liya hai offer me or ye worth hai.</v>
      </c>
      <c r="O820" s="7" t="str">
        <f>VLOOKUP(A820, avaliacoes!A:G, 6, FALSE)</f>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v>
      </c>
    </row>
    <row r="821">
      <c r="A821" s="1" t="s">
        <v>3106</v>
      </c>
      <c r="B821" s="1" t="s">
        <v>3107</v>
      </c>
      <c r="C821" s="1" t="s">
        <v>2383</v>
      </c>
      <c r="D821" s="1" t="str">
        <f t="shared" si="2"/>
        <v>Computers&amp;Accessories</v>
      </c>
      <c r="E821" s="1" t="str">
        <f t="shared" si="3"/>
        <v>ExternalDevices&amp;DataStorage</v>
      </c>
      <c r="F821" s="2">
        <v>4449.0</v>
      </c>
      <c r="G821" s="2">
        <v>5734.0</v>
      </c>
      <c r="H821" s="3">
        <f t="shared" si="4"/>
        <v>0.2241018486</v>
      </c>
      <c r="I821" s="4">
        <f>IFERROR(__xludf.DUMMYFUNCTION("GOOGLEFINANCE(""CURRENCY:INRBRL"")*F821"),265.5088581372)</f>
        <v>265.5088581</v>
      </c>
      <c r="J821" s="1">
        <v>4.5</v>
      </c>
      <c r="K821" s="1">
        <v>25006.0</v>
      </c>
      <c r="L821" s="1" t="s">
        <v>3108</v>
      </c>
      <c r="M821" s="6" t="s">
        <v>3109</v>
      </c>
      <c r="N821" s="7" t="str">
        <f>VLOOKUP(A821, avaliacoes!A:G, 5, FALSE)</f>
        <v>Good for my work,Worth it,Hard disc is not detecting,Good hdd with a 1.5 tb storage.....really cool and fast,Faster data transfer,Nice,Reasonable price,Sleek design</v>
      </c>
      <c r="O821" s="7" t="str">
        <f>VLOOKUP(A821, avaliacoes!A:G, 6, FALSE)</f>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v>
      </c>
    </row>
    <row r="822">
      <c r="A822" s="1" t="s">
        <v>3110</v>
      </c>
      <c r="B822" s="1" t="s">
        <v>3111</v>
      </c>
      <c r="C822" s="1" t="s">
        <v>2766</v>
      </c>
      <c r="D822" s="1" t="str">
        <f t="shared" si="2"/>
        <v>Computers&amp;Accessories</v>
      </c>
      <c r="E822" s="1" t="str">
        <f t="shared" si="3"/>
        <v>Accessories&amp;Peripherals</v>
      </c>
      <c r="F822" s="2">
        <v>299.0</v>
      </c>
      <c r="G822" s="2">
        <v>550.0</v>
      </c>
      <c r="H822" s="3">
        <f t="shared" si="4"/>
        <v>0.4563636364</v>
      </c>
      <c r="I822" s="4">
        <f>IFERROR(__xludf.DUMMYFUNCTION("GOOGLEFINANCE(""CURRENCY:INRBRL"")*F822"),17.8438185172)</f>
        <v>17.84381852</v>
      </c>
      <c r="J822" s="1">
        <v>4.51</v>
      </c>
      <c r="K822" s="1">
        <v>33434.0</v>
      </c>
      <c r="L822" s="1" t="s">
        <v>3112</v>
      </c>
      <c r="M822" s="6" t="s">
        <v>3113</v>
      </c>
      <c r="N822" s="7" t="str">
        <f>VLOOKUP(A822, avaliacoes!A:G, 5, FALSE)</f>
        <v>Good product,Good quality,Good,Great mouse pad,Good worth the money.,Works flawlessly for many years,Nice mouse pad,Quality</v>
      </c>
      <c r="O822" s="7" t="str">
        <f>VLOOKUP(A822, avaliacoes!A:G, 6, FALSE)</f>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v>
      </c>
    </row>
    <row r="823">
      <c r="A823" s="1" t="s">
        <v>3114</v>
      </c>
      <c r="B823" s="1" t="s">
        <v>3115</v>
      </c>
      <c r="C823" s="1" t="s">
        <v>2269</v>
      </c>
      <c r="D823" s="1" t="str">
        <f t="shared" si="2"/>
        <v>Computers&amp;Accessories</v>
      </c>
      <c r="E823" s="1" t="str">
        <f t="shared" si="3"/>
        <v>Accessories&amp;Peripherals</v>
      </c>
      <c r="F823" s="2">
        <v>629.0</v>
      </c>
      <c r="G823" s="2">
        <v>1399.0</v>
      </c>
      <c r="H823" s="3">
        <f t="shared" si="4"/>
        <v>0.550393138</v>
      </c>
      <c r="I823" s="4">
        <f>IFERROR(__xludf.DUMMYFUNCTION("GOOGLEFINANCE(""CURRENCY:INRBRL"")*F823"),37.5376650412)</f>
        <v>37.53766504</v>
      </c>
      <c r="J823" s="1">
        <v>4.5</v>
      </c>
      <c r="K823" s="1">
        <v>6301.0</v>
      </c>
      <c r="L823" s="1" t="s">
        <v>3116</v>
      </c>
      <c r="M823" s="6" t="s">
        <v>3117</v>
      </c>
      <c r="N823" s="7" t="str">
        <f>VLOOKUP(A823, avaliacoes!A:G, 5, FALSE)</f>
        <v>Not to the mark.,Ok.,Good Product,Good but lack some features,Best quility,Nice,Good for money,Just as expected.</v>
      </c>
      <c r="O823" s="7" t="str">
        <f>VLOOKUP(A823, avaliacoes!A:G, 6, FALSE)</f>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v>
      </c>
    </row>
    <row r="824">
      <c r="A824" s="1" t="s">
        <v>3118</v>
      </c>
      <c r="B824" s="1" t="s">
        <v>3119</v>
      </c>
      <c r="C824" s="1" t="s">
        <v>2335</v>
      </c>
      <c r="D824" s="1" t="str">
        <f t="shared" si="2"/>
        <v>Computers&amp;Accessories</v>
      </c>
      <c r="E824" s="1" t="str">
        <f t="shared" si="3"/>
        <v>Accessories&amp;Peripherals</v>
      </c>
      <c r="F824" s="2">
        <v>2595.0</v>
      </c>
      <c r="G824" s="2">
        <v>3295.0</v>
      </c>
      <c r="H824" s="3">
        <f t="shared" si="4"/>
        <v>0.2124430956</v>
      </c>
      <c r="I824" s="4">
        <f>IFERROR(__xludf.DUMMYFUNCTION("GOOGLEFINANCE(""CURRENCY:INRBRL"")*F824"),154.865247666)</f>
        <v>154.8652477</v>
      </c>
      <c r="J824" s="1">
        <v>4.5</v>
      </c>
      <c r="K824" s="1">
        <v>22618.0</v>
      </c>
      <c r="L824" s="1" t="s">
        <v>3120</v>
      </c>
      <c r="M824" s="6" t="s">
        <v>3121</v>
      </c>
      <c r="N824" s="7" t="str">
        <f>VLOOKUP(A824, avaliacoes!A:G, 5, FALSE)</f>
        <v>Very very very good in terms of ergonomic,Good keyboard but have some cons,Good For Daily Use,Easy to use, hard to carry,nice,Excellent, Durable and connects to any gadgets including IPhone,Not suitable for all,Absolute Rubbish -&gt; Moderately Good Product</v>
      </c>
      <c r="O824" s="7" t="str">
        <f>VLOOKUP(A824, avaliacoes!A:G, 6, FALSE)</f>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v>
      </c>
    </row>
    <row r="825">
      <c r="A825" s="1" t="s">
        <v>150</v>
      </c>
      <c r="B825" s="1" t="s">
        <v>151</v>
      </c>
      <c r="C825" s="1" t="s">
        <v>21</v>
      </c>
      <c r="D825" s="1" t="str">
        <f t="shared" si="2"/>
        <v>Computers&amp;Accessories</v>
      </c>
      <c r="E825" s="1" t="str">
        <f t="shared" si="3"/>
        <v>Accessories&amp;Peripherals</v>
      </c>
      <c r="F825" s="2">
        <v>389.0</v>
      </c>
      <c r="G825" s="2">
        <v>1099.0</v>
      </c>
      <c r="H825" s="3">
        <f t="shared" si="4"/>
        <v>0.6460418562</v>
      </c>
      <c r="I825" s="4">
        <f>IFERROR(__xludf.DUMMYFUNCTION("GOOGLEFINANCE(""CURRENCY:INRBRL"")*F825"),23.2148675692)</f>
        <v>23.21486757</v>
      </c>
      <c r="J825" s="1">
        <v>4.5</v>
      </c>
      <c r="K825" s="1">
        <v>974.0</v>
      </c>
      <c r="L825" s="1" t="s">
        <v>152</v>
      </c>
      <c r="M825" s="6" t="s">
        <v>3122</v>
      </c>
      <c r="N825" s="7" t="str">
        <f>VLOOKUP(A825, avaliacoes!A:G, 5, FALSE)</f>
        <v>Great Cable, Charging Speeds Could Be Better,Good,A good cable.,One of the best type c cable,Works as intended.,A good buy. The extra length helps a lot.,Good,Ok</v>
      </c>
      <c r="O825" s="7" t="str">
        <f>VLOOKUP(A825, avaliacoes!A:G,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row>
    <row r="826">
      <c r="A826" s="1" t="s">
        <v>3123</v>
      </c>
      <c r="B826" s="1" t="s">
        <v>3124</v>
      </c>
      <c r="C826" s="1" t="s">
        <v>2522</v>
      </c>
      <c r="D826" s="1" t="str">
        <f t="shared" si="2"/>
        <v>Computers&amp;Accessories</v>
      </c>
      <c r="E826" s="1" t="str">
        <f t="shared" si="3"/>
        <v>NetworkingDevices</v>
      </c>
      <c r="F826" s="2">
        <v>1799.0</v>
      </c>
      <c r="G826" s="2">
        <v>2911.0</v>
      </c>
      <c r="H826" s="3">
        <f t="shared" si="4"/>
        <v>0.381999313</v>
      </c>
      <c r="I826" s="4">
        <f>IFERROR(__xludf.DUMMYFUNCTION("GOOGLEFINANCE(""CURRENCY:INRBRL"")*F826"),107.36130271719999)</f>
        <v>107.3613027</v>
      </c>
      <c r="J826" s="1">
        <v>4.5</v>
      </c>
      <c r="K826" s="1">
        <v>20342.0</v>
      </c>
      <c r="L826" s="1" t="s">
        <v>3125</v>
      </c>
      <c r="M826" s="6" t="s">
        <v>3126</v>
      </c>
      <c r="N826" s="7" t="str">
        <f>VLOOKUP(A826, avaliacoes!A:G, 5, FALSE)</f>
        <v>12V2A RouterUPS,Decent Product,Product quality,Effective and functional,Works with jio 12v 2.5A,Good product but not supported for my Wifi,Amazing product very helpful at times off power cut.,Good one to buy</v>
      </c>
      <c r="O826" s="7" t="str">
        <f>VLOOKUP(A826, avaliacoes!A:G, 6, FALSE)</f>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v>
      </c>
    </row>
    <row r="827">
      <c r="A827" s="1" t="s">
        <v>3127</v>
      </c>
      <c r="B827" s="1" t="s">
        <v>3128</v>
      </c>
      <c r="C827" s="1" t="s">
        <v>2656</v>
      </c>
      <c r="D827" s="1" t="str">
        <f t="shared" si="2"/>
        <v>OfficeProducts</v>
      </c>
      <c r="E827" s="1" t="str">
        <f t="shared" si="3"/>
        <v>OfficePaperProducts</v>
      </c>
      <c r="F827" s="2">
        <v>90.0</v>
      </c>
      <c r="G827" s="2">
        <v>175.0</v>
      </c>
      <c r="H827" s="3">
        <f t="shared" si="4"/>
        <v>0.4857142857</v>
      </c>
      <c r="I827" s="4">
        <f>IFERROR(__xludf.DUMMYFUNCTION("GOOGLEFINANCE(""CURRENCY:INRBRL"")*F827"),5.371049052)</f>
        <v>5.371049052</v>
      </c>
      <c r="J827" s="1">
        <v>4.5</v>
      </c>
      <c r="K827" s="1">
        <v>7429.0</v>
      </c>
      <c r="L827" s="1" t="s">
        <v>3129</v>
      </c>
      <c r="M827" s="6" t="s">
        <v>3130</v>
      </c>
      <c r="N827" s="7" t="str">
        <f>VLOOKUP(A827, avaliacoes!A:G, 5, FALSE)</f>
        <v>Adhesion,Good product,Does not stick,Nice sticky note,good,Not up to the mark,Worth to sticky,GREAT....</v>
      </c>
      <c r="O827" s="7" t="str">
        <f>VLOOKUP(A827, avaliacoes!A:G, 6, FALSE)</f>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v>
      </c>
    </row>
    <row r="828">
      <c r="A828" s="1" t="s">
        <v>3131</v>
      </c>
      <c r="B828" s="1" t="s">
        <v>3132</v>
      </c>
      <c r="C828" s="1" t="s">
        <v>2283</v>
      </c>
      <c r="D828" s="1" t="str">
        <f t="shared" si="2"/>
        <v>Computers&amp;Accessories</v>
      </c>
      <c r="E828" s="1" t="str">
        <f t="shared" si="3"/>
        <v>Accessories&amp;Peripherals</v>
      </c>
      <c r="F828" s="2">
        <v>599.0</v>
      </c>
      <c r="G828" s="2">
        <v>599.0</v>
      </c>
      <c r="H828" s="3">
        <f t="shared" si="4"/>
        <v>0</v>
      </c>
      <c r="I828" s="4">
        <f>IFERROR(__xludf.DUMMYFUNCTION("GOOGLEFINANCE(""CURRENCY:INRBRL"")*F828"),35.747315357199994)</f>
        <v>35.74731536</v>
      </c>
      <c r="J828" s="1">
        <v>4.0</v>
      </c>
      <c r="K828" s="1">
        <v>26423.0</v>
      </c>
      <c r="L828" s="1" t="s">
        <v>3133</v>
      </c>
      <c r="M828" s="6" t="s">
        <v>3134</v>
      </c>
      <c r="N828" s="7" t="str">
        <f>VLOOKUP(A828, avaliacoes!A:G, 5, FALSE)</f>
        <v>Value for money,Good,Everything is good but prize is higher side,It's good product, easy to use, but not for kids,Very good,Good product at this price,Very good product in very cheap price,good product,  i am satisfied</v>
      </c>
      <c r="O828" s="7" t="str">
        <f>VLOOKUP(A828, avaliacoes!A:G, 6, FALSE)</f>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v>
      </c>
    </row>
    <row r="829">
      <c r="A829" s="1" t="s">
        <v>3135</v>
      </c>
      <c r="B829" s="1" t="s">
        <v>3136</v>
      </c>
      <c r="C829" s="1" t="s">
        <v>1356</v>
      </c>
      <c r="D829" s="1" t="str">
        <f t="shared" si="2"/>
        <v>Electronics</v>
      </c>
      <c r="E829" s="1" t="str">
        <f t="shared" si="3"/>
        <v>WearableTechnology</v>
      </c>
      <c r="F829" s="2">
        <v>1999.0</v>
      </c>
      <c r="G829" s="2">
        <v>7999.0</v>
      </c>
      <c r="H829" s="3">
        <f t="shared" si="4"/>
        <v>0.7500937617</v>
      </c>
      <c r="I829" s="4">
        <f>IFERROR(__xludf.DUMMYFUNCTION("GOOGLEFINANCE(""CURRENCY:INRBRL"")*F829"),119.2969672772)</f>
        <v>119.2969673</v>
      </c>
      <c r="J829" s="1">
        <v>4.5</v>
      </c>
      <c r="K829" s="1">
        <v>31305.0</v>
      </c>
      <c r="L829" s="1" t="s">
        <v>3137</v>
      </c>
      <c r="M829" s="6" t="s">
        <v>3138</v>
      </c>
      <c r="N829" s="7" t="str">
        <f>VLOOKUP(A829, avaliacoes!A:G, 5, FALSE)</f>
        <v>Value for money Product,Watch start button,VALUE FOR MONEY,Budget smartwatch,Watch is good,Good watch.Lekin jab recive Kia,watch on tha.Alarm pm me set nhi hota hai,Only am me hota he,Good watch,Amazing watch amazing colour! Just bought yesterday, will share feedback again after the usage.</v>
      </c>
      <c r="O829" s="7" t="str">
        <f>VLOOKUP(A829, avaliacoes!A:G, 6, FALSE)</f>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v>
      </c>
    </row>
    <row r="830">
      <c r="A830" s="1" t="s">
        <v>3139</v>
      </c>
      <c r="B830" s="1" t="s">
        <v>3140</v>
      </c>
      <c r="C830" s="1" t="s">
        <v>3141</v>
      </c>
      <c r="D830" s="1" t="str">
        <f t="shared" si="2"/>
        <v>Computers&amp;Accessories</v>
      </c>
      <c r="E830" s="1" t="str">
        <f t="shared" si="3"/>
        <v>NetworkingDevices</v>
      </c>
      <c r="F830" s="2">
        <v>2099.0</v>
      </c>
      <c r="G830" s="2">
        <v>3249.0</v>
      </c>
      <c r="H830" s="3">
        <f t="shared" si="4"/>
        <v>0.3539550631</v>
      </c>
      <c r="I830" s="4">
        <f>IFERROR(__xludf.DUMMYFUNCTION("GOOGLEFINANCE(""CURRENCY:INRBRL"")*F830"),125.26479955719999)</f>
        <v>125.2647996</v>
      </c>
      <c r="J830" s="1">
        <v>4.51</v>
      </c>
      <c r="K830" s="1">
        <v>11213.0</v>
      </c>
      <c r="L830" s="1" t="s">
        <v>3142</v>
      </c>
      <c r="M830" s="6" t="s">
        <v>3143</v>
      </c>
      <c r="N830" s="7" t="str">
        <f>VLOOKUP(A830, avaliacoes!A:G, 5, FALSE)</f>
        <v>Missing Cable, User Manual and Weak Network,Good,Nice,Home use product only,Good,Not usable for office work,Easy to use.,Bad experience</v>
      </c>
      <c r="O830" s="7" t="str">
        <f>VLOOKUP(A830, avaliacoes!A:G, 6, FALSE)</f>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v>
      </c>
    </row>
    <row r="831">
      <c r="A831" s="1" t="s">
        <v>3144</v>
      </c>
      <c r="B831" s="1" t="s">
        <v>3145</v>
      </c>
      <c r="C831" s="1" t="s">
        <v>3146</v>
      </c>
      <c r="D831" s="1" t="str">
        <f t="shared" si="2"/>
        <v>Computers&amp;Accessories</v>
      </c>
      <c r="E831" s="1" t="str">
        <f t="shared" si="3"/>
        <v>Accessories&amp;Peripherals</v>
      </c>
      <c r="F831" s="2">
        <v>179.0</v>
      </c>
      <c r="G831" s="2">
        <v>499.0</v>
      </c>
      <c r="H831" s="3">
        <f t="shared" si="4"/>
        <v>0.6412825651</v>
      </c>
      <c r="I831" s="4">
        <f>IFERROR(__xludf.DUMMYFUNCTION("GOOGLEFINANCE(""CURRENCY:INRBRL"")*F831"),10.682419781199998)</f>
        <v>10.68241978</v>
      </c>
      <c r="J831" s="1">
        <v>4.49</v>
      </c>
      <c r="K831" s="1">
        <v>10174.0</v>
      </c>
      <c r="L831" s="1" t="s">
        <v>3147</v>
      </c>
      <c r="M831" s="6" t="s">
        <v>3148</v>
      </c>
      <c r="N831" s="7" t="str">
        <f>VLOOKUP(A831, avaliacoes!A:G, 5, FALSE)</f>
        <v>Good product, Cheap and works well,good one,Nice charging power.,Nice,Good,It's a cable,Durable,Laptop cord</v>
      </c>
      <c r="O831" s="7" t="str">
        <f>VLOOKUP(A831, avaliacoes!A:G, 6, FALSE)</f>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v>
      </c>
    </row>
    <row r="832">
      <c r="A832" s="1" t="s">
        <v>3149</v>
      </c>
      <c r="B832" s="1" t="s">
        <v>3150</v>
      </c>
      <c r="C832" s="1" t="s">
        <v>2375</v>
      </c>
      <c r="D832" s="1" t="str">
        <f t="shared" si="2"/>
        <v>Computers&amp;Accessories</v>
      </c>
      <c r="E832" s="1" t="str">
        <f t="shared" si="3"/>
        <v>Accessories&amp;Peripherals</v>
      </c>
      <c r="F832" s="2">
        <v>1345.0</v>
      </c>
      <c r="G832" s="2">
        <v>2295.0</v>
      </c>
      <c r="H832" s="3">
        <f t="shared" si="4"/>
        <v>0.4139433551</v>
      </c>
      <c r="I832" s="4">
        <f>IFERROR(__xludf.DUMMYFUNCTION("GOOGLEFINANCE(""CURRENCY:INRBRL"")*F832"),80.267344166)</f>
        <v>80.26734417</v>
      </c>
      <c r="J832" s="1">
        <v>4.5</v>
      </c>
      <c r="K832" s="1">
        <v>17413.0</v>
      </c>
      <c r="L832" s="1" t="s">
        <v>3151</v>
      </c>
      <c r="M832" s="6" t="s">
        <v>3152</v>
      </c>
      <c r="N832" s="7" t="str">
        <f>VLOOKUP(A832, avaliacoes!A:G, 5, FALSE)</f>
        <v>Great keyboard, average mouse.,Good for daily use,Mouse is too small in size to use and getting pain,Must buy this for normal use,Noisy and not Ergonomic,Great Product,Well suited for ordinary and official usage.,Nice Product</v>
      </c>
      <c r="O832" s="7" t="str">
        <f>VLOOKUP(A832, avaliacoes!A:G, 6, FALSE)</f>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v>
      </c>
    </row>
    <row r="833">
      <c r="A833" s="1" t="s">
        <v>3153</v>
      </c>
      <c r="B833" s="1" t="s">
        <v>3154</v>
      </c>
      <c r="C833" s="1" t="s">
        <v>2436</v>
      </c>
      <c r="D833" s="1" t="str">
        <f t="shared" si="2"/>
        <v>Electronics</v>
      </c>
      <c r="E833" s="1" t="str">
        <f t="shared" si="3"/>
        <v>Cameras&amp;Photography</v>
      </c>
      <c r="F833" s="2">
        <v>349.0</v>
      </c>
      <c r="G833" s="2">
        <v>995.0</v>
      </c>
      <c r="H833" s="3">
        <f t="shared" si="4"/>
        <v>0.6492462312</v>
      </c>
      <c r="I833" s="4">
        <f>IFERROR(__xludf.DUMMYFUNCTION("GOOGLEFINANCE(""CURRENCY:INRBRL"")*F833"),20.827734657199997)</f>
        <v>20.82773466</v>
      </c>
      <c r="J833" s="1">
        <v>4.5</v>
      </c>
      <c r="K833" s="1">
        <v>6676.0</v>
      </c>
      <c r="L833" s="1" t="s">
        <v>3155</v>
      </c>
      <c r="M833" s="6" t="s">
        <v>3156</v>
      </c>
      <c r="N833" s="7" t="str">
        <f>VLOOKUP(A833, avaliacoes!A:G, 5, FALSE)</f>
        <v>Good for office and watching movie,Product review,It's worthy to buy,It's fine,nice item,Overall Good,Best for Beginners,Small size but still sturdy strong . Useful for bigeners.</v>
      </c>
      <c r="O833" s="7" t="str">
        <f>VLOOKUP(A833, avaliacoes!A:G, 6, FALSE)</f>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v>
      </c>
    </row>
    <row r="834">
      <c r="A834" s="1" t="s">
        <v>3157</v>
      </c>
      <c r="B834" s="1" t="s">
        <v>3158</v>
      </c>
      <c r="C834" s="1" t="s">
        <v>2908</v>
      </c>
      <c r="D834" s="1" t="str">
        <f t="shared" si="2"/>
        <v>Computers&amp;Accessories</v>
      </c>
      <c r="E834" s="1" t="str">
        <f t="shared" si="3"/>
        <v>Accessories&amp;Peripherals</v>
      </c>
      <c r="F834" s="2">
        <v>287.0</v>
      </c>
      <c r="G834" s="2">
        <v>499.0</v>
      </c>
      <c r="H834" s="3">
        <f t="shared" si="4"/>
        <v>0.4248496994</v>
      </c>
      <c r="I834" s="4">
        <f>IFERROR(__xludf.DUMMYFUNCTION("GOOGLEFINANCE(""CURRENCY:INRBRL"")*F834"),17.1276786436)</f>
        <v>17.12767864</v>
      </c>
      <c r="J834" s="1">
        <v>4.5</v>
      </c>
      <c r="K834" s="1">
        <v>8076.0</v>
      </c>
      <c r="L834" s="1" t="s">
        <v>3159</v>
      </c>
      <c r="M834" s="6" t="s">
        <v>3160</v>
      </c>
      <c r="N834" s="7" t="str">
        <f>VLOOKUP(A834, avaliacoes!A:G, 5, FALSE)</f>
        <v>Very good performance,It's been more than a month and it's been working good till now,good quality,Good,Nice one,Excellent,Cable outer surface is oily based,Genuine and good cable👍</v>
      </c>
      <c r="O834" s="7" t="str">
        <f>VLOOKUP(A834, avaliacoes!A:G, 6, FALSE)</f>
        <v>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v>
      </c>
    </row>
    <row r="835">
      <c r="A835" s="1" t="s">
        <v>154</v>
      </c>
      <c r="B835" s="1" t="s">
        <v>155</v>
      </c>
      <c r="C835" s="1" t="s">
        <v>21</v>
      </c>
      <c r="D835" s="1" t="str">
        <f t="shared" si="2"/>
        <v>Computers&amp;Accessories</v>
      </c>
      <c r="E835" s="1" t="str">
        <f t="shared" si="3"/>
        <v>Accessories&amp;Peripherals</v>
      </c>
      <c r="F835" s="2">
        <v>599.0</v>
      </c>
      <c r="G835" s="2">
        <v>599.0</v>
      </c>
      <c r="H835" s="3">
        <f t="shared" si="4"/>
        <v>0</v>
      </c>
      <c r="I835" s="4">
        <f>IFERROR(__xludf.DUMMYFUNCTION("GOOGLEFINANCE(""CURRENCY:INRBRL"")*F835"),35.747315357199994)</f>
        <v>35.74731536</v>
      </c>
      <c r="J835" s="1">
        <v>4.5</v>
      </c>
      <c r="K835" s="1">
        <v>355.0</v>
      </c>
      <c r="L835" s="1" t="s">
        <v>156</v>
      </c>
      <c r="M835" s="6" t="s">
        <v>3161</v>
      </c>
      <c r="N835" s="7" t="str">
        <f>VLOOKUP(A835, avaliacoes!A:G, 5, FALSE)</f>
        <v>Good,Genuine product,Not first charge this cabil,,Nice cable but known durability,Got a used type c to c cable and the xable was damaged,The product is Genuine and Good,Abdul kadir,Good</v>
      </c>
      <c r="O835" s="7" t="str">
        <f>VLOOKUP(A835, avaliacoes!A:G, 6, FALSE)</f>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v>
      </c>
    </row>
    <row r="836">
      <c r="A836" s="1" t="s">
        <v>3162</v>
      </c>
      <c r="B836" s="1" t="s">
        <v>3163</v>
      </c>
      <c r="C836" s="1" t="s">
        <v>2264</v>
      </c>
      <c r="D836" s="1" t="str">
        <f t="shared" si="2"/>
        <v>Computers&amp;Accessories</v>
      </c>
      <c r="E836" s="1" t="str">
        <f t="shared" si="3"/>
        <v>ExternalDevices&amp;DataStorage</v>
      </c>
      <c r="F836" s="2">
        <v>349.0</v>
      </c>
      <c r="G836" s="2">
        <v>450.0</v>
      </c>
      <c r="H836" s="3">
        <f t="shared" si="4"/>
        <v>0.2244444444</v>
      </c>
      <c r="I836" s="4">
        <f>IFERROR(__xludf.DUMMYFUNCTION("GOOGLEFINANCE(""CURRENCY:INRBRL"")*F836"),20.827734657199997)</f>
        <v>20.82773466</v>
      </c>
      <c r="J836" s="1">
        <v>4.49</v>
      </c>
      <c r="K836" s="1">
        <v>18656.0</v>
      </c>
      <c r="L836" s="1" t="s">
        <v>3164</v>
      </c>
      <c r="M836" s="6" t="s">
        <v>3165</v>
      </c>
      <c r="N836" s="7" t="str">
        <f>VLOOKUP(A836, avaliacoes!A:G, 5, FALSE)</f>
        <v>BEST VALUE,Good product,Good,Good,Very good product by Kingston. But size of pen drive may reduce.,Nice product with 5 years warranty in 250 rupees,Good product,Not up to the it's Specs</v>
      </c>
      <c r="O836" s="7" t="str">
        <f>VLOOKUP(A836, avaliacoes!A:G, 6, FALSE)</f>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v>
      </c>
    </row>
    <row r="837">
      <c r="A837" s="1" t="s">
        <v>3166</v>
      </c>
      <c r="B837" s="1" t="s">
        <v>3167</v>
      </c>
      <c r="C837" s="1" t="s">
        <v>2351</v>
      </c>
      <c r="D837" s="1" t="str">
        <f t="shared" si="2"/>
        <v>Electronics</v>
      </c>
      <c r="E837" s="1" t="str">
        <f t="shared" si="3"/>
        <v>GeneralPurposeBatteries&amp;BatteryChargers</v>
      </c>
      <c r="F837" s="2">
        <v>879.0</v>
      </c>
      <c r="G837" s="2">
        <v>1109.0</v>
      </c>
      <c r="H837" s="3">
        <f t="shared" si="4"/>
        <v>0.2073940487</v>
      </c>
      <c r="I837" s="4">
        <f>IFERROR(__xludf.DUMMYFUNCTION("GOOGLEFINANCE(""CURRENCY:INRBRL"")*F837"),52.4572457412)</f>
        <v>52.45724574</v>
      </c>
      <c r="J837" s="1">
        <v>4.5</v>
      </c>
      <c r="K837" s="1">
        <v>31599.0</v>
      </c>
      <c r="L837" s="1" t="s">
        <v>3168</v>
      </c>
      <c r="M837" s="6" t="s">
        <v>3169</v>
      </c>
      <c r="N837" s="7" t="str">
        <f>VLOOKUP(A837, avaliacoes!A:G, 5, FALSE)</f>
        <v>Good performance,Good backup,Good,Slightly larger than ordinary AA,Good product,Good product,Less durable,2 Year Old Product Delivered..</v>
      </c>
      <c r="O837" s="7" t="str">
        <f>VLOOKUP(A837, avaliacoes!A:G, 6, FALSE)</f>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v>
      </c>
    </row>
    <row r="838">
      <c r="A838" s="1" t="s">
        <v>158</v>
      </c>
      <c r="B838" s="1" t="s">
        <v>159</v>
      </c>
      <c r="C838" s="1" t="s">
        <v>21</v>
      </c>
      <c r="D838" s="1" t="str">
        <f t="shared" si="2"/>
        <v>Computers&amp;Accessories</v>
      </c>
      <c r="E838" s="1" t="str">
        <f t="shared" si="3"/>
        <v>Accessories&amp;Peripherals</v>
      </c>
      <c r="F838" s="2">
        <v>199.0</v>
      </c>
      <c r="G838" s="2">
        <v>999.0</v>
      </c>
      <c r="H838" s="3">
        <f t="shared" si="4"/>
        <v>0.8008008008</v>
      </c>
      <c r="I838" s="4">
        <f>IFERROR(__xludf.DUMMYFUNCTION("GOOGLEFINANCE(""CURRENCY:INRBRL"")*F838"),11.8759862372)</f>
        <v>11.87598624</v>
      </c>
      <c r="J838" s="1">
        <v>4.52</v>
      </c>
      <c r="K838" s="1">
        <v>1075.0</v>
      </c>
      <c r="L838" s="1" t="s">
        <v>160</v>
      </c>
      <c r="M838" s="6" t="s">
        <v>3170</v>
      </c>
      <c r="N838" s="7" t="str">
        <f>VLOOKUP(A838,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838" s="7" t="str">
        <f>VLOOKUP(A838, avaliacoes!A:G,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row>
    <row r="839">
      <c r="A839" s="1" t="s">
        <v>3171</v>
      </c>
      <c r="B839" s="1" t="s">
        <v>3172</v>
      </c>
      <c r="C839" s="1" t="s">
        <v>2610</v>
      </c>
      <c r="D839" s="1" t="str">
        <f t="shared" si="2"/>
        <v>Electronics</v>
      </c>
      <c r="E839" s="1" t="str">
        <f t="shared" si="3"/>
        <v>GeneralPurposeBatteries&amp;BatteryChargers</v>
      </c>
      <c r="F839" s="2">
        <v>250.0</v>
      </c>
      <c r="G839" s="2">
        <v>250.0</v>
      </c>
      <c r="H839" s="3">
        <f t="shared" si="4"/>
        <v>0</v>
      </c>
      <c r="I839" s="4">
        <f>IFERROR(__xludf.DUMMYFUNCTION("GOOGLEFINANCE(""CURRENCY:INRBRL"")*F839"),14.9195807)</f>
        <v>14.9195807</v>
      </c>
      <c r="J839" s="1">
        <v>4.52</v>
      </c>
      <c r="K839" s="1">
        <v>13971.0</v>
      </c>
      <c r="L839" s="1" t="s">
        <v>3173</v>
      </c>
      <c r="M839" s="6" t="s">
        <v>3174</v>
      </c>
      <c r="N839" s="7" t="str">
        <f>VLOOKUP(A839, avaliacoes!A:G, 5, FALSE)</f>
        <v>कुछ खास नहीं बस ठीक ठाक है,Not good for regular use,pathetic battery back up,good,Does as it should,Very pathetic battery - never buy,Worth buy,Good, but 1.2 v please check when buying</v>
      </c>
      <c r="O839" s="7" t="str">
        <f>VLOOKUP(A839, avaliacoes!A:G, 6, FALSE)</f>
        <v>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v>
      </c>
    </row>
    <row r="840">
      <c r="A840" s="1" t="s">
        <v>3175</v>
      </c>
      <c r="B840" s="1" t="s">
        <v>3176</v>
      </c>
      <c r="C840" s="1" t="s">
        <v>1411</v>
      </c>
      <c r="D840" s="1" t="str">
        <f t="shared" si="2"/>
        <v>Electronics</v>
      </c>
      <c r="E840" s="1" t="str">
        <f t="shared" si="3"/>
        <v>Headphones,Earbuds&amp;Accessories</v>
      </c>
      <c r="F840" s="2">
        <v>199.0</v>
      </c>
      <c r="G840" s="2">
        <v>499.0</v>
      </c>
      <c r="H840" s="3">
        <f t="shared" si="4"/>
        <v>0.6012024048</v>
      </c>
      <c r="I840" s="4">
        <f>IFERROR(__xludf.DUMMYFUNCTION("GOOGLEFINANCE(""CURRENCY:INRBRL"")*F840"),11.8759862372)</f>
        <v>11.87598624</v>
      </c>
      <c r="J840" s="1">
        <v>4.51</v>
      </c>
      <c r="K840" s="1">
        <v>2492.0</v>
      </c>
      <c r="L840" s="1" t="s">
        <v>3177</v>
      </c>
      <c r="M840" s="6" t="s">
        <v>3178</v>
      </c>
      <c r="N840" s="7" t="str">
        <f>VLOOKUP(A840, avaliacoes!A:G, 5, FALSE)</f>
        <v>You want to buy an apple-like earpods w/o having to pay the apple price.,Fragile!,Nice auido quality but poor build quality,LOW BUDGET PERFECT CHOICE,It's good,decent purchase,Worth it,Good for the price.</v>
      </c>
      <c r="O840" s="7" t="str">
        <f>VLOOKUP(A840, avaliacoes!A:G, 6, FALSE)</f>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v>
      </c>
    </row>
    <row r="841">
      <c r="A841" s="1" t="s">
        <v>166</v>
      </c>
      <c r="B841" s="1" t="s">
        <v>167</v>
      </c>
      <c r="C841" s="1" t="s">
        <v>21</v>
      </c>
      <c r="D841" s="1" t="str">
        <f t="shared" si="2"/>
        <v>Computers&amp;Accessories</v>
      </c>
      <c r="E841" s="1" t="str">
        <f t="shared" si="3"/>
        <v>Accessories&amp;Peripherals</v>
      </c>
      <c r="F841" s="2">
        <v>899.0</v>
      </c>
      <c r="G841" s="2">
        <v>1899.0</v>
      </c>
      <c r="H841" s="3">
        <f t="shared" si="4"/>
        <v>0.5265929437</v>
      </c>
      <c r="I841" s="4">
        <f>IFERROR(__xludf.DUMMYFUNCTION("GOOGLEFINANCE(""CURRENCY:INRBRL"")*F841"),53.6508121972)</f>
        <v>53.6508122</v>
      </c>
      <c r="J841" s="1">
        <v>4.5</v>
      </c>
      <c r="K841" s="1">
        <v>13552.0</v>
      </c>
      <c r="L841" s="1" t="s">
        <v>168</v>
      </c>
      <c r="M841" s="6" t="s">
        <v>3179</v>
      </c>
      <c r="N841" s="7" t="str">
        <f>VLOOKUP(A841, avaliacoes!A:G, 5, FALSE)</f>
        <v>Good,Worth to buy,Great value for price,Good product,Nice product.,Reliable and worth it!,Much more sturdy and durable than Apple cable,Good</v>
      </c>
      <c r="O841" s="7" t="str">
        <f>VLOOKUP(A841,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row>
    <row r="842">
      <c r="A842" s="1" t="s">
        <v>170</v>
      </c>
      <c r="B842" s="1" t="s">
        <v>171</v>
      </c>
      <c r="C842" s="1" t="s">
        <v>21</v>
      </c>
      <c r="D842" s="1" t="str">
        <f t="shared" si="2"/>
        <v>Computers&amp;Accessories</v>
      </c>
      <c r="E842" s="1" t="str">
        <f t="shared" si="3"/>
        <v>Accessories&amp;Peripherals</v>
      </c>
      <c r="F842" s="2">
        <v>199.0</v>
      </c>
      <c r="G842" s="2">
        <v>999.0</v>
      </c>
      <c r="H842" s="3">
        <f t="shared" si="4"/>
        <v>0.8008008008</v>
      </c>
      <c r="I842" s="4">
        <f>IFERROR(__xludf.DUMMYFUNCTION("GOOGLEFINANCE(""CURRENCY:INRBRL"")*F842"),11.8759862372)</f>
        <v>11.87598624</v>
      </c>
      <c r="J842" s="1">
        <v>4.0</v>
      </c>
      <c r="K842" s="1">
        <v>575.0</v>
      </c>
      <c r="L842" s="1" t="s">
        <v>172</v>
      </c>
      <c r="M842" s="6" t="s">
        <v>3180</v>
      </c>
      <c r="N842" s="7" t="str">
        <f>VLOOKUP(A842, avaliacoes!A:G, 5, FALSE)</f>
        <v>Worth it!,Good one,Robust and effective.,Good,Good,It's a good product under 199 rupees It's neatly packed and has good quality built,Nice product,Worth the price</v>
      </c>
      <c r="O842" s="7" t="str">
        <f>VLOOKUP(A842, avaliacoes!A:G, 6, FALSE)</f>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v>
      </c>
    </row>
    <row r="843">
      <c r="A843" s="1" t="s">
        <v>3181</v>
      </c>
      <c r="B843" s="1" t="s">
        <v>3182</v>
      </c>
      <c r="C843" s="1" t="s">
        <v>3146</v>
      </c>
      <c r="D843" s="1" t="str">
        <f t="shared" si="2"/>
        <v>Computers&amp;Accessories</v>
      </c>
      <c r="E843" s="1" t="str">
        <f t="shared" si="3"/>
        <v>Accessories&amp;Peripherals</v>
      </c>
      <c r="F843" s="2">
        <v>149.0</v>
      </c>
      <c r="G843" s="2">
        <v>999.0</v>
      </c>
      <c r="H843" s="3">
        <f t="shared" si="4"/>
        <v>0.8508508509</v>
      </c>
      <c r="I843" s="4">
        <f>IFERROR(__xludf.DUMMYFUNCTION("GOOGLEFINANCE(""CURRENCY:INRBRL"")*F843"),8.8920700972)</f>
        <v>8.892070097</v>
      </c>
      <c r="J843" s="1">
        <v>4.5</v>
      </c>
      <c r="K843" s="1">
        <v>2523.0</v>
      </c>
      <c r="L843" s="1" t="s">
        <v>3183</v>
      </c>
      <c r="M843" s="6" t="s">
        <v>3184</v>
      </c>
      <c r="N843" s="7" t="str">
        <f>VLOOKUP(A843, avaliacoes!A:G, 5, FALSE)</f>
        <v>very good product,The replaced item is fine and working good,Nice experience,Good Product For PlayStation,Poor insulation,Nice,Serves the purpose,One of the pins were broken</v>
      </c>
      <c r="O843" s="7" t="str">
        <f>VLOOKUP(A843, avaliacoes!A:G, 6, FALSE)</f>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v>
      </c>
    </row>
    <row r="844">
      <c r="A844" s="1" t="s">
        <v>3185</v>
      </c>
      <c r="B844" s="1" t="s">
        <v>3186</v>
      </c>
      <c r="C844" s="1" t="s">
        <v>2274</v>
      </c>
      <c r="D844" s="1" t="str">
        <f t="shared" si="2"/>
        <v>Computers&amp;Accessories</v>
      </c>
      <c r="E844" s="1" t="str">
        <f t="shared" si="3"/>
        <v>Accessories&amp;Peripherals</v>
      </c>
      <c r="F844" s="2">
        <v>469.0</v>
      </c>
      <c r="G844" s="2">
        <v>1499.0</v>
      </c>
      <c r="H844" s="3">
        <f t="shared" si="4"/>
        <v>0.6871247498</v>
      </c>
      <c r="I844" s="4">
        <f>IFERROR(__xludf.DUMMYFUNCTION("GOOGLEFINANCE(""CURRENCY:INRBRL"")*F844"),27.9891333932)</f>
        <v>27.98913339</v>
      </c>
      <c r="J844" s="1">
        <v>4.49</v>
      </c>
      <c r="K844" s="1">
        <v>352.0</v>
      </c>
      <c r="L844" s="1" t="s">
        <v>3187</v>
      </c>
      <c r="M844" s="6" t="s">
        <v>3188</v>
      </c>
      <c r="N844" s="7" t="str">
        <f>VLOOKUP(A844, avaliacoes!A:G, 5, FALSE)</f>
        <v>Fine for beginners but brightness is low ...increase brightness ..,Good,Size and brightness,It is good for rough work,Very nice &amp; satisfactory,Very low brightness,Na,Nice product for this price</v>
      </c>
      <c r="O844" s="7" t="str">
        <f>VLOOKUP(A844, avaliacoes!A:G, 6, FALSE)</f>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v>
      </c>
    </row>
    <row r="845">
      <c r="A845" s="1" t="s">
        <v>3189</v>
      </c>
      <c r="B845" s="1" t="s">
        <v>3190</v>
      </c>
      <c r="C845" s="1" t="s">
        <v>2806</v>
      </c>
      <c r="D845" s="1" t="str">
        <f t="shared" si="2"/>
        <v>Computers&amp;Accessories</v>
      </c>
      <c r="E845" s="1" t="str">
        <f t="shared" si="3"/>
        <v>Accessories&amp;Peripherals</v>
      </c>
      <c r="F845" s="2">
        <v>1187.0</v>
      </c>
      <c r="G845" s="2">
        <v>1929.0</v>
      </c>
      <c r="H845" s="3">
        <f t="shared" si="4"/>
        <v>0.3846552618</v>
      </c>
      <c r="I845" s="4">
        <f>IFERROR(__xludf.DUMMYFUNCTION("GOOGLEFINANCE(""CURRENCY:INRBRL"")*F845"),70.8381691636)</f>
        <v>70.83816916</v>
      </c>
      <c r="J845" s="1">
        <v>4.49</v>
      </c>
      <c r="K845" s="1">
        <v>1662.0</v>
      </c>
      <c r="L845" s="1" t="s">
        <v>3191</v>
      </c>
      <c r="M845" s="6" t="s">
        <v>3192</v>
      </c>
      <c r="N845" s="7" t="str">
        <f>VLOOKUP(A845, avaliacoes!A:G, 5, FALSE)</f>
        <v>Value for money.,Value for money,Price could be lesser,Ideal for new MacBooks,Average and overpriced,Meet the expectations,So I got the product on 11th August 2022. This is the initial impression of the product.,Ok ok product</v>
      </c>
      <c r="O845" s="7" t="str">
        <f>VLOOKUP(A845, avaliacoes!A:G, 6, FALSE)</f>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v>
      </c>
    </row>
    <row r="846">
      <c r="A846" s="1" t="s">
        <v>3193</v>
      </c>
      <c r="B846" s="1" t="s">
        <v>3194</v>
      </c>
      <c r="C846" s="1" t="s">
        <v>3195</v>
      </c>
      <c r="D846" s="1" t="str">
        <f t="shared" si="2"/>
        <v>Computers&amp;Accessories</v>
      </c>
      <c r="E846" s="1" t="str">
        <f t="shared" si="3"/>
        <v>Accessories&amp;Peripherals</v>
      </c>
      <c r="F846" s="2">
        <v>849.0</v>
      </c>
      <c r="G846" s="2">
        <v>1499.0</v>
      </c>
      <c r="H846" s="3">
        <f t="shared" si="4"/>
        <v>0.4336224149</v>
      </c>
      <c r="I846" s="4">
        <f>IFERROR(__xludf.DUMMYFUNCTION("GOOGLEFINANCE(""CURRENCY:INRBRL"")*F846"),50.6668960572)</f>
        <v>50.66689606</v>
      </c>
      <c r="J846" s="1">
        <v>4.0</v>
      </c>
      <c r="K846" s="1">
        <v>7352.0</v>
      </c>
      <c r="L846" s="1" t="s">
        <v>3196</v>
      </c>
      <c r="M846" s="6" t="s">
        <v>3197</v>
      </c>
      <c r="N846" s="7" t="str">
        <f>VLOOKUP(A846, avaliacoes!A:G, 5, FALSE)</f>
        <v>Nice product from Zebronics... Using for laptop,Gr8 product need more sound quality,Sound,Best Product 👍,Sound bass,Value for money. Wired and aux quality is poor,Compact speakers for PC/Laptop,Worthy for our money</v>
      </c>
      <c r="O846" s="7" t="str">
        <f>VLOOKUP(A846, avaliacoes!A:G, 6, FALSE)</f>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v>
      </c>
    </row>
    <row r="847">
      <c r="A847" s="1" t="s">
        <v>3198</v>
      </c>
      <c r="B847" s="1" t="s">
        <v>3199</v>
      </c>
      <c r="C847" s="1" t="s">
        <v>2269</v>
      </c>
      <c r="D847" s="1" t="str">
        <f t="shared" si="2"/>
        <v>Computers&amp;Accessories</v>
      </c>
      <c r="E847" s="1" t="str">
        <f t="shared" si="3"/>
        <v>Accessories&amp;Peripherals</v>
      </c>
      <c r="F847" s="2">
        <v>328.0</v>
      </c>
      <c r="G847" s="2">
        <v>399.0</v>
      </c>
      <c r="H847" s="3">
        <f t="shared" si="4"/>
        <v>0.1779448622</v>
      </c>
      <c r="I847" s="4">
        <f>IFERROR(__xludf.DUMMYFUNCTION("GOOGLEFINANCE(""CURRENCY:INRBRL"")*F847"),19.574489878399998)</f>
        <v>19.57448988</v>
      </c>
      <c r="J847" s="1">
        <v>4.49</v>
      </c>
      <c r="K847" s="1">
        <v>3441.0</v>
      </c>
      <c r="L847" s="1" t="s">
        <v>3200</v>
      </c>
      <c r="M847" s="6" t="s">
        <v>3201</v>
      </c>
      <c r="N847" s="7" t="str">
        <f>VLOOKUP(A847, avaliacoes!A:G, 5, FALSE)</f>
        <v>Good Quality Mouse,good,Good product for its price and warranty.,Not the best but does the job,Okayish,Go for it,really a good mouse in 250,not proper size ,it should be Littel big</v>
      </c>
      <c r="O847" s="7" t="str">
        <f>VLOOKUP(A847, avaliacoes!A:G, 6, FALSE)</f>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v>
      </c>
    </row>
    <row r="848">
      <c r="A848" s="1" t="s">
        <v>3202</v>
      </c>
      <c r="B848" s="1" t="s">
        <v>3203</v>
      </c>
      <c r="C848" s="1" t="s">
        <v>2283</v>
      </c>
      <c r="D848" s="1" t="str">
        <f t="shared" si="2"/>
        <v>Computers&amp;Accessories</v>
      </c>
      <c r="E848" s="1" t="str">
        <f t="shared" si="3"/>
        <v>Accessories&amp;Peripherals</v>
      </c>
      <c r="F848" s="2">
        <v>269.0</v>
      </c>
      <c r="G848" s="2">
        <v>699.0</v>
      </c>
      <c r="H848" s="3">
        <f t="shared" si="4"/>
        <v>0.6151645207</v>
      </c>
      <c r="I848" s="4">
        <f>IFERROR(__xludf.DUMMYFUNCTION("GOOGLEFINANCE(""CURRENCY:INRBRL"")*F848"),16.0534688332)</f>
        <v>16.05346883</v>
      </c>
      <c r="J848" s="1">
        <v>4.0</v>
      </c>
      <c r="K848" s="1">
        <v>93.0</v>
      </c>
      <c r="L848" s="1" t="s">
        <v>3204</v>
      </c>
      <c r="M848" s="6" t="s">
        <v>3205</v>
      </c>
      <c r="N848" s="7" t="str">
        <f>VLOOKUP(A848, avaliacoes!A:G, 5, FALSE)</f>
        <v>Honest review,Cushion grip is coming out,Mast h ! Jaisi dikh rhi same ayi ,majboot bhi h,PHONE HOLDER IS USELESS,product quality is good as per price u can buy it,Go for it!!!,This bed table is very good. Go for it.,Not sturdy on the bed. Cheap material used</v>
      </c>
      <c r="O848" s="7" t="str">
        <f>VLOOKUP(A848, avaliacoes!A:G, 6, FALSE)</f>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v>
      </c>
    </row>
    <row r="849">
      <c r="A849" s="1" t="s">
        <v>3206</v>
      </c>
      <c r="B849" s="1" t="s">
        <v>3207</v>
      </c>
      <c r="C849" s="1" t="s">
        <v>3208</v>
      </c>
      <c r="D849" s="1" t="str">
        <f t="shared" si="2"/>
        <v>Electronics</v>
      </c>
      <c r="E849" s="1" t="str">
        <f t="shared" si="3"/>
        <v>Cameras&amp;Photography</v>
      </c>
      <c r="F849" s="2">
        <v>299.0</v>
      </c>
      <c r="G849" s="2">
        <v>400.0</v>
      </c>
      <c r="H849" s="3">
        <f t="shared" si="4"/>
        <v>0.2525</v>
      </c>
      <c r="I849" s="4">
        <f>IFERROR(__xludf.DUMMYFUNCTION("GOOGLEFINANCE(""CURRENCY:INRBRL"")*F849"),17.8438185172)</f>
        <v>17.84381852</v>
      </c>
      <c r="J849" s="1">
        <v>4.51</v>
      </c>
      <c r="K849" s="1">
        <v>40895.0</v>
      </c>
      <c r="L849" s="1" t="s">
        <v>3209</v>
      </c>
      <c r="M849" s="6" t="s">
        <v>3210</v>
      </c>
      <c r="N849" s="7" t="str">
        <f>VLOOKUP(A849, avaliacoes!A:G, 5, FALSE)</f>
        <v>Not as per Description,It's not a 2800mAh battery. It's 1800mAh. They are fooling you with the name,Design problem of getting overheated,It is good medium speed charger,Good,Ok Chinese?,Good,Fast Charging</v>
      </c>
      <c r="O849" s="7" t="str">
        <f>VLOOKUP(A849, avaliacoes!A:G, 6, FALSE)</f>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v>
      </c>
    </row>
    <row r="850">
      <c r="A850" s="1" t="s">
        <v>3211</v>
      </c>
      <c r="B850" s="1" t="s">
        <v>3212</v>
      </c>
      <c r="C850" s="1" t="s">
        <v>3213</v>
      </c>
      <c r="D850" s="1" t="str">
        <f t="shared" si="2"/>
        <v>Computers&amp;Accessories</v>
      </c>
      <c r="E850" s="1" t="str">
        <f t="shared" si="3"/>
        <v>Accessories&amp;Peripherals</v>
      </c>
      <c r="F850" s="2">
        <v>549.0</v>
      </c>
      <c r="G850" s="2">
        <v>1499.0</v>
      </c>
      <c r="H850" s="3">
        <f t="shared" si="4"/>
        <v>0.6337558372</v>
      </c>
      <c r="I850" s="4">
        <f>IFERROR(__xludf.DUMMYFUNCTION("GOOGLEFINANCE(""CURRENCY:INRBRL"")*F850"),32.763399217199996)</f>
        <v>32.76339922</v>
      </c>
      <c r="J850" s="1">
        <v>4.5</v>
      </c>
      <c r="K850" s="1">
        <v>11006.0</v>
      </c>
      <c r="L850" s="1" t="s">
        <v>3214</v>
      </c>
      <c r="M850" s="6" t="s">
        <v>3215</v>
      </c>
      <c r="N850" s="7" t="str">
        <f>VLOOKUP(A850, avaliacoes!A:G, 5, FALSE)</f>
        <v>Nice cover,Value for money product.,Good,Worthy,Snug fit 😃,Fits perfectly | Looks stylish | Lightweight,Nice flip case,Beautiful product received</v>
      </c>
      <c r="O850" s="7" t="str">
        <f>VLOOKUP(A850, avaliacoes!A:G, 6, FALSE)</f>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v>
      </c>
    </row>
    <row r="851">
      <c r="A851" s="1" t="s">
        <v>3216</v>
      </c>
      <c r="B851" s="1" t="s">
        <v>3217</v>
      </c>
      <c r="C851" s="1" t="s">
        <v>2599</v>
      </c>
      <c r="D851" s="1" t="str">
        <f t="shared" si="2"/>
        <v>OfficeProducts</v>
      </c>
      <c r="E851" s="1" t="str">
        <f t="shared" si="3"/>
        <v>OfficePaperProducts</v>
      </c>
      <c r="F851" s="2">
        <v>114.0</v>
      </c>
      <c r="G851" s="2">
        <v>120.0</v>
      </c>
      <c r="H851" s="3">
        <f t="shared" si="4"/>
        <v>0.05</v>
      </c>
      <c r="I851" s="4">
        <f>IFERROR(__xludf.DUMMYFUNCTION("GOOGLEFINANCE(""CURRENCY:INRBRL"")*F851"),6.803328799199999)</f>
        <v>6.803328799</v>
      </c>
      <c r="J851" s="1">
        <v>4.5</v>
      </c>
      <c r="K851" s="1">
        <v>8938.0</v>
      </c>
      <c r="L851" s="1" t="s">
        <v>3218</v>
      </c>
      <c r="M851" s="6" t="s">
        <v>3219</v>
      </c>
      <c r="N851" s="7" t="str">
        <f>VLOOKUP(A851, avaliacoes!A:G, 5, FALSE)</f>
        <v>Great Build Quality!,Great condition,Nice,Good experience,Good purchase,Just not A4.,GOOD ONE,It useful but buy it only when the price is under 100. Then u will get the profit.</v>
      </c>
      <c r="O851" s="7" t="str">
        <f>VLOOKUP(A851, avaliacoes!A:G, 6, FALSE)</f>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v>
      </c>
    </row>
    <row r="852">
      <c r="A852" s="1" t="s">
        <v>3220</v>
      </c>
      <c r="B852" s="1" t="s">
        <v>3221</v>
      </c>
      <c r="C852" s="1" t="s">
        <v>3222</v>
      </c>
      <c r="D852" s="1" t="str">
        <f t="shared" si="2"/>
        <v>OfficeProducts</v>
      </c>
      <c r="E852" s="1" t="str">
        <f t="shared" si="3"/>
        <v>OfficePaperProducts</v>
      </c>
      <c r="F852" s="2">
        <v>120.0</v>
      </c>
      <c r="G852" s="2">
        <v>120.0</v>
      </c>
      <c r="H852" s="3">
        <f t="shared" si="4"/>
        <v>0</v>
      </c>
      <c r="I852" s="4">
        <f>IFERROR(__xludf.DUMMYFUNCTION("GOOGLEFINANCE(""CURRENCY:INRBRL"")*F852"),7.161398736)</f>
        <v>7.161398736</v>
      </c>
      <c r="J852" s="1">
        <v>4.49</v>
      </c>
      <c r="K852" s="1">
        <v>4308.0</v>
      </c>
      <c r="L852" s="1" t="s">
        <v>3223</v>
      </c>
      <c r="M852" s="6" t="s">
        <v>3224</v>
      </c>
      <c r="N852" s="7" t="str">
        <f>VLOOKUP(A852, avaliacoes!A:G, 5, FALSE)</f>
        <v>Average,I like the 'Pentonic' pens,which is why I had made the purchase.,Useful,Liked it,Nice,Penatoni pen is good work,worth it,Useful</v>
      </c>
      <c r="O852" s="7" t="str">
        <f>VLOOKUP(A852, avaliacoes!A:G, 6, FALSE)</f>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v>
      </c>
    </row>
    <row r="853">
      <c r="A853" s="1" t="s">
        <v>178</v>
      </c>
      <c r="B853" s="1" t="s">
        <v>179</v>
      </c>
      <c r="C853" s="1" t="s">
        <v>21</v>
      </c>
      <c r="D853" s="1" t="str">
        <f t="shared" si="2"/>
        <v>Computers&amp;Accessories</v>
      </c>
      <c r="E853" s="1" t="str">
        <f t="shared" si="3"/>
        <v>Accessories&amp;Peripherals</v>
      </c>
      <c r="F853" s="2">
        <v>970.0</v>
      </c>
      <c r="G853" s="2">
        <v>1999.0</v>
      </c>
      <c r="H853" s="3">
        <f t="shared" si="4"/>
        <v>0.5147573787</v>
      </c>
      <c r="I853" s="4">
        <f>IFERROR(__xludf.DUMMYFUNCTION("GOOGLEFINANCE(""CURRENCY:INRBRL"")*F853"),57.887973116)</f>
        <v>57.88797312</v>
      </c>
      <c r="J853" s="1">
        <v>4.5</v>
      </c>
      <c r="K853" s="1">
        <v>462.0</v>
      </c>
      <c r="L853" s="1" t="s">
        <v>180</v>
      </c>
      <c r="M853" s="6" t="s">
        <v>3225</v>
      </c>
      <c r="N853" s="7" t="str">
        <f>VLOOKUP(A853, avaliacoes!A:G, 5, FALSE)</f>
        <v>Product is as expected,Cable has problem with samsung galaxy s8 ultra tablet,Quality and service is good.,It's perfect, definitely what i needed,Worth buying this cable,Just awesome 👌,fast charge, sturdy build quality, absolute value for money product, 2yrs warranty, just go for it,Good</v>
      </c>
      <c r="O853" s="7" t="str">
        <f>VLOOKUP(A853, avaliacoes!A:G, 6, FALSE)</f>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v>
      </c>
    </row>
    <row r="854">
      <c r="A854" s="1" t="s">
        <v>182</v>
      </c>
      <c r="B854" s="1" t="s">
        <v>183</v>
      </c>
      <c r="C854" s="1" t="s">
        <v>21</v>
      </c>
      <c r="D854" s="1" t="str">
        <f t="shared" si="2"/>
        <v>Computers&amp;Accessories</v>
      </c>
      <c r="E854" s="1" t="str">
        <f t="shared" si="3"/>
        <v>Accessories&amp;Peripherals</v>
      </c>
      <c r="F854" s="2">
        <v>209.0</v>
      </c>
      <c r="G854" s="2">
        <v>695.0</v>
      </c>
      <c r="H854" s="3">
        <f t="shared" si="4"/>
        <v>0.6992805755</v>
      </c>
      <c r="I854" s="4">
        <f>IFERROR(__xludf.DUMMYFUNCTION("GOOGLEFINANCE(""CURRENCY:INRBRL"")*F854"),12.472769465199999)</f>
        <v>12.47276947</v>
      </c>
      <c r="J854" s="1">
        <v>4.51</v>
      </c>
      <c r="K854" s="1">
        <v>1070686.0</v>
      </c>
      <c r="L854" s="1" t="s">
        <v>184</v>
      </c>
      <c r="M854" s="6" t="s">
        <v>3226</v>
      </c>
      <c r="N854" s="7" t="str">
        <f>VLOOKUP(A854, avaliacoes!A:G, 5, FALSE)</f>
        <v>Functionality as described,Working,Great USB in budget,Good,Good,It just works,Works with my Casio ct-x700 well,Still working after 3 months</v>
      </c>
      <c r="O854" s="7" t="str">
        <f>VLOOKUP(A854, avaliacoes!A:G, 6, FALSE)</f>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v>
      </c>
    </row>
    <row r="855">
      <c r="A855" s="1" t="s">
        <v>3227</v>
      </c>
      <c r="B855" s="1" t="s">
        <v>3228</v>
      </c>
      <c r="C855" s="1" t="s">
        <v>2269</v>
      </c>
      <c r="D855" s="1" t="str">
        <f t="shared" si="2"/>
        <v>Computers&amp;Accessories</v>
      </c>
      <c r="E855" s="1" t="str">
        <f t="shared" si="3"/>
        <v>Accessories&amp;Peripherals</v>
      </c>
      <c r="F855" s="2">
        <v>1499.0</v>
      </c>
      <c r="G855" s="2">
        <v>2295.0</v>
      </c>
      <c r="H855" s="3">
        <f t="shared" si="4"/>
        <v>0.3468409586</v>
      </c>
      <c r="I855" s="4">
        <f>IFERROR(__xludf.DUMMYFUNCTION("GOOGLEFINANCE(""CURRENCY:INRBRL"")*F855"),89.45780587719999)</f>
        <v>89.45780588</v>
      </c>
      <c r="J855" s="1">
        <v>4.51</v>
      </c>
      <c r="K855" s="1">
        <v>10652.0</v>
      </c>
      <c r="L855" s="1" t="s">
        <v>3229</v>
      </c>
      <c r="M855" s="6" t="s">
        <v>3230</v>
      </c>
      <c r="N855" s="7" t="str">
        <f>VLOOKUP(A855, avaliacoes!A:G, 5, FALSE)</f>
        <v>Sleek and battery efficient!,It's made for ergonomic and lighter use and a silent one.,Good one.,Great product,Cute, but colour mismatcg,Best for Daily use,Good product,This Pebble mouse is just mesmerising to use</v>
      </c>
      <c r="O855" s="7" t="str">
        <f>VLOOKUP(A855, avaliacoes!A:G, 6, FALSE)</f>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v>
      </c>
    </row>
    <row r="856">
      <c r="A856" s="1" t="s">
        <v>3231</v>
      </c>
      <c r="B856" s="1" t="s">
        <v>3232</v>
      </c>
      <c r="C856" s="1" t="s">
        <v>3233</v>
      </c>
      <c r="D856" s="1" t="str">
        <f t="shared" si="2"/>
        <v>Home&amp;Kitchen</v>
      </c>
      <c r="E856" s="1" t="str">
        <f t="shared" si="3"/>
        <v>CraftMaterials</v>
      </c>
      <c r="F856" s="2">
        <v>99.0</v>
      </c>
      <c r="G856" s="2">
        <v>99.0</v>
      </c>
      <c r="H856" s="3">
        <f t="shared" si="4"/>
        <v>0</v>
      </c>
      <c r="I856" s="4">
        <f>IFERROR(__xludf.DUMMYFUNCTION("GOOGLEFINANCE(""CURRENCY:INRBRL"")*F856"),5.9081539572)</f>
        <v>5.908153957</v>
      </c>
      <c r="J856" s="1">
        <v>4.5</v>
      </c>
      <c r="K856" s="1">
        <v>5036.0</v>
      </c>
      <c r="L856" s="1" t="s">
        <v>3234</v>
      </c>
      <c r="M856" s="6" t="s">
        <v>3235</v>
      </c>
      <c r="N856" s="7" t="str">
        <f>VLOOKUP(A856, avaliacoes!A:G, 5, FALSE)</f>
        <v>Great,Don't but space pencil,Ok,Best pencil,Nice pencil,It is ok,MRP on the box is 95,Best in its class!</v>
      </c>
      <c r="O856" s="7" t="str">
        <f>VLOOKUP(A856, avaliacoes!A:G, 6, FALSE)</f>
        <v>Value of Money ...,Amazing apsara changed my son is left handed it changed his handwriting good but space pencil is litte ok,Ok,Value for money.,Nice pencil,It is ok,https://m.media-amazon.com/images/I/71QfDO96QaL._SY88.jpg,One of the best option to save money.</v>
      </c>
    </row>
    <row r="857">
      <c r="A857" s="1" t="s">
        <v>3236</v>
      </c>
      <c r="B857" s="1" t="s">
        <v>3237</v>
      </c>
      <c r="C857" s="1" t="s">
        <v>2269</v>
      </c>
      <c r="D857" s="1" t="str">
        <f t="shared" si="2"/>
        <v>Computers&amp;Accessories</v>
      </c>
      <c r="E857" s="1" t="str">
        <f t="shared" si="3"/>
        <v>Accessories&amp;Peripherals</v>
      </c>
      <c r="F857" s="2">
        <v>149.0</v>
      </c>
      <c r="G857" s="2">
        <v>249.0</v>
      </c>
      <c r="H857" s="3">
        <f t="shared" si="4"/>
        <v>0.4016064257</v>
      </c>
      <c r="I857" s="4">
        <f>IFERROR(__xludf.DUMMYFUNCTION("GOOGLEFINANCE(""CURRENCY:INRBRL"")*F857"),8.8920700972)</f>
        <v>8.892070097</v>
      </c>
      <c r="J857" s="1">
        <v>4.0</v>
      </c>
      <c r="K857" s="1">
        <v>5057.0</v>
      </c>
      <c r="L857" s="1" t="s">
        <v>3238</v>
      </c>
      <c r="M857" s="6" t="s">
        <v>3239</v>
      </c>
      <c r="N857" s="7" t="str">
        <f>VLOOKUP(A857, avaliacoes!A:G, 5, FALSE)</f>
        <v>Good product with less money,At this price ok ok.,Good product,Good mouse at this price range,Good,Good for daily use ke liye,Good,Good</v>
      </c>
      <c r="O857" s="7" t="str">
        <f>VLOOKUP(A857, avaliacoes!A:G, 6, FALSE)</f>
        <v>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v>
      </c>
    </row>
    <row r="858">
      <c r="A858" s="1" t="s">
        <v>3240</v>
      </c>
      <c r="B858" s="1" t="s">
        <v>3241</v>
      </c>
      <c r="C858" s="1" t="s">
        <v>2474</v>
      </c>
      <c r="D858" s="1" t="str">
        <f t="shared" si="2"/>
        <v>Computers&amp;Accessories</v>
      </c>
      <c r="E858" s="1" t="str">
        <f t="shared" si="3"/>
        <v>Accessories&amp;Peripherals</v>
      </c>
      <c r="F858" s="2">
        <v>575.0</v>
      </c>
      <c r="G858" s="2">
        <v>2799.0</v>
      </c>
      <c r="H858" s="3">
        <f t="shared" si="4"/>
        <v>0.7945694891</v>
      </c>
      <c r="I858" s="4">
        <f>IFERROR(__xludf.DUMMYFUNCTION("GOOGLEFINANCE(""CURRENCY:INRBRL"")*F858"),34.315035609999995)</f>
        <v>34.31503561</v>
      </c>
      <c r="J858" s="1">
        <v>4.5</v>
      </c>
      <c r="K858" s="1">
        <v>8537.0</v>
      </c>
      <c r="L858" s="1" t="s">
        <v>3242</v>
      </c>
      <c r="M858" s="6" t="s">
        <v>3243</v>
      </c>
      <c r="N858" s="7" t="str">
        <f>VLOOKUP(A858, avaliacoes!A:G, 5, FALSE)</f>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v>
      </c>
      <c r="O858" s="7" t="str">
        <f>VLOOKUP(A858, avaliacoes!A:G, 6, FALSE)</f>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v>
      </c>
    </row>
    <row r="859">
      <c r="A859" s="1" t="s">
        <v>202</v>
      </c>
      <c r="B859" s="1" t="s">
        <v>203</v>
      </c>
      <c r="C859" s="1" t="s">
        <v>21</v>
      </c>
      <c r="D859" s="1" t="str">
        <f t="shared" si="2"/>
        <v>Computers&amp;Accessories</v>
      </c>
      <c r="E859" s="1" t="str">
        <f t="shared" si="3"/>
        <v>Accessories&amp;Peripherals</v>
      </c>
      <c r="F859" s="2">
        <v>333.0</v>
      </c>
      <c r="G859" s="2">
        <v>999.0</v>
      </c>
      <c r="H859" s="3">
        <f t="shared" si="4"/>
        <v>0.6666666667</v>
      </c>
      <c r="I859" s="4">
        <f>IFERROR(__xludf.DUMMYFUNCTION("GOOGLEFINANCE(""CURRENCY:INRBRL"")*F859"),19.872881492399998)</f>
        <v>19.87288149</v>
      </c>
      <c r="J859" s="1">
        <v>4.5</v>
      </c>
      <c r="K859" s="1">
        <v>9792.0</v>
      </c>
      <c r="L859" s="1" t="s">
        <v>204</v>
      </c>
      <c r="M859" s="6" t="s">
        <v>3244</v>
      </c>
      <c r="N859" s="7" t="str">
        <f>VLOOKUP(A859, avaliacoes!A:G, 5, FALSE)</f>
        <v>Its slow in charging,Ok product,Looks good, but charges slow,very slow charing.,Poor quality, iPhone part will last for two months only, other two are ok,Charger,Product ok,Slow charging</v>
      </c>
      <c r="O859" s="7" t="str">
        <f>VLOOKUP(A859, avaliacoes!A:G, 6, FALSE)</f>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v>
      </c>
    </row>
    <row r="860">
      <c r="A860" s="1" t="s">
        <v>3245</v>
      </c>
      <c r="B860" s="1" t="s">
        <v>3246</v>
      </c>
      <c r="C860" s="1" t="s">
        <v>2897</v>
      </c>
      <c r="D860" s="1" t="str">
        <f t="shared" si="2"/>
        <v>OfficeProducts</v>
      </c>
      <c r="E860" s="1" t="str">
        <f t="shared" si="3"/>
        <v>OfficePaperProducts</v>
      </c>
      <c r="F860" s="2">
        <v>178.0</v>
      </c>
      <c r="G860" s="2">
        <v>210.0</v>
      </c>
      <c r="H860" s="3">
        <f t="shared" si="4"/>
        <v>0.1523809524</v>
      </c>
      <c r="I860" s="4">
        <f>IFERROR(__xludf.DUMMYFUNCTION("GOOGLEFINANCE(""CURRENCY:INRBRL"")*F860"),10.622741458399998)</f>
        <v>10.62274146</v>
      </c>
      <c r="J860" s="1">
        <v>4.5</v>
      </c>
      <c r="K860" s="1">
        <v>245.0</v>
      </c>
      <c r="L860" s="1" t="s">
        <v>3247</v>
      </c>
      <c r="M860" s="6" t="s">
        <v>3248</v>
      </c>
      <c r="N860" s="7" t="str">
        <f>VLOOKUP(A860, avaliacoes!A:G, 5, FALSE)</f>
        <v>It's good,Good,One of the few items on amazon that are original,Awesome!,Nice quality products 👍,Best price,Nice pen,Good pen</v>
      </c>
      <c r="O860" s="7" t="str">
        <f>VLOOKUP(A860, avaliacoes!A:G, 6, FALSE)</f>
        <v>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v>
      </c>
    </row>
    <row r="861">
      <c r="A861" s="1" t="s">
        <v>3249</v>
      </c>
      <c r="B861" s="1" t="s">
        <v>3250</v>
      </c>
      <c r="C861" s="1" t="s">
        <v>1411</v>
      </c>
      <c r="D861" s="1" t="str">
        <f t="shared" si="2"/>
        <v>Electronics</v>
      </c>
      <c r="E861" s="1" t="str">
        <f t="shared" si="3"/>
        <v>Headphones,Earbuds&amp;Accessories</v>
      </c>
      <c r="F861" s="2">
        <v>1599.0</v>
      </c>
      <c r="G861" s="2">
        <v>3499.0</v>
      </c>
      <c r="H861" s="3">
        <f t="shared" si="4"/>
        <v>0.5430122892</v>
      </c>
      <c r="I861" s="4">
        <f>IFERROR(__xludf.DUMMYFUNCTION("GOOGLEFINANCE(""CURRENCY:INRBRL"")*F861"),95.4256381572)</f>
        <v>95.42563816</v>
      </c>
      <c r="J861" s="1">
        <v>4.51</v>
      </c>
      <c r="K861" s="1">
        <v>676.0</v>
      </c>
      <c r="L861" s="1" t="s">
        <v>3251</v>
      </c>
      <c r="M861" s="6" t="s">
        <v>3252</v>
      </c>
      <c r="N861" s="7" t="str">
        <f>VLOOKUP(A861, avaliacoes!A:G, 5, FALSE)</f>
        <v>Good for gaming.,Worst earbuds,Not upto Expectation mark,Good enough,Worth it,Not suitable for long use,Ear pain,Sound quality and build quality is good 2022 its a best choise</v>
      </c>
      <c r="O861" s="7" t="str">
        <f>VLOOKUP(A861, avaliacoes!A:G, 6, FALSE)</f>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v>
      </c>
    </row>
    <row r="862">
      <c r="A862" s="1" t="s">
        <v>3253</v>
      </c>
      <c r="B862" s="1" t="s">
        <v>3254</v>
      </c>
      <c r="C862" s="1" t="s">
        <v>1411</v>
      </c>
      <c r="D862" s="1" t="str">
        <f t="shared" si="2"/>
        <v>Electronics</v>
      </c>
      <c r="E862" s="1" t="str">
        <f t="shared" si="3"/>
        <v>Headphones,Earbuds&amp;Accessories</v>
      </c>
      <c r="F862" s="2">
        <v>499.0</v>
      </c>
      <c r="G862" s="2">
        <v>1299.0</v>
      </c>
      <c r="H862" s="3">
        <f t="shared" si="4"/>
        <v>0.6158583526</v>
      </c>
      <c r="I862" s="4">
        <f>IFERROR(__xludf.DUMMYFUNCTION("GOOGLEFINANCE(""CURRENCY:INRBRL"")*F862"),29.7794830772)</f>
        <v>29.77948308</v>
      </c>
      <c r="J862" s="1">
        <v>4.52</v>
      </c>
      <c r="K862" s="1">
        <v>1173.0</v>
      </c>
      <c r="L862" s="1" t="s">
        <v>3255</v>
      </c>
      <c r="M862" s="6" t="s">
        <v>3256</v>
      </c>
      <c r="N862" s="7" t="str">
        <f>VLOOKUP(A862, avaliacoes!A:G, 5, FALSE)</f>
        <v>Does its job for the price,Not for music but calling,Good product - value for money,Not for Music Lovers, good otherwise,It not working now,Great look and light weight,Good earphones,Average performance</v>
      </c>
      <c r="O862" s="7" t="str">
        <f>VLOOKUP(A862, avaliacoes!A:G, 6, FALSE)</f>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v>
      </c>
    </row>
    <row r="863">
      <c r="A863" s="1" t="s">
        <v>3257</v>
      </c>
      <c r="B863" s="1" t="s">
        <v>3258</v>
      </c>
      <c r="C863" s="1" t="s">
        <v>2484</v>
      </c>
      <c r="D863" s="1" t="str">
        <f t="shared" si="2"/>
        <v>Computers&amp;Accessories</v>
      </c>
      <c r="E863" s="1" t="str">
        <f t="shared" si="3"/>
        <v>Accessories&amp;Peripherals</v>
      </c>
      <c r="F863" s="2">
        <v>199.0</v>
      </c>
      <c r="G863" s="2">
        <v>499.0</v>
      </c>
      <c r="H863" s="3">
        <f t="shared" si="4"/>
        <v>0.6012024048</v>
      </c>
      <c r="I863" s="4">
        <f>IFERROR(__xludf.DUMMYFUNCTION("GOOGLEFINANCE(""CURRENCY:INRBRL"")*F863"),11.8759862372)</f>
        <v>11.87598624</v>
      </c>
      <c r="J863" s="1">
        <v>4.5</v>
      </c>
      <c r="K863" s="1">
        <v>9998.0</v>
      </c>
      <c r="L863" s="1" t="s">
        <v>3259</v>
      </c>
      <c r="M863" s="6" t="s">
        <v>3260</v>
      </c>
      <c r="N863" s="7" t="str">
        <f>VLOOKUP(A863, avaliacoes!A:G, 5, FALSE)</f>
        <v>Very nice quality,Good one for office use,Good,Try na cool.,avearage,Nicee,अच्छा है,ABC</v>
      </c>
      <c r="O863" s="7" t="str">
        <f>VLOOKUP(A863, avaliacoes!A:G, 6, FALSE)</f>
        <v>I wanted it for my shop laptop , i am using it on a grass mat, quality is nice, working very nice.,Good 👍,, print colour also still there,Useful and easy to handle 😜,Happy ENDING.,it is ok,Very Good,अच्छा की,ABC</v>
      </c>
    </row>
    <row r="864">
      <c r="A864" s="1" t="s">
        <v>3261</v>
      </c>
      <c r="B864" s="1" t="s">
        <v>3262</v>
      </c>
      <c r="C864" s="1" t="s">
        <v>1356</v>
      </c>
      <c r="D864" s="1" t="str">
        <f t="shared" si="2"/>
        <v>Electronics</v>
      </c>
      <c r="E864" s="1" t="str">
        <f t="shared" si="3"/>
        <v>WearableTechnology</v>
      </c>
      <c r="F864" s="2">
        <v>2499.0</v>
      </c>
      <c r="G864" s="2">
        <v>5999.0</v>
      </c>
      <c r="H864" s="3">
        <f t="shared" si="4"/>
        <v>0.5834305718</v>
      </c>
      <c r="I864" s="4">
        <f>IFERROR(__xludf.DUMMYFUNCTION("GOOGLEFINANCE(""CURRENCY:INRBRL"")*F864"),149.1361286772)</f>
        <v>149.1361287</v>
      </c>
      <c r="J864" s="1">
        <v>4.49</v>
      </c>
      <c r="K864" s="1">
        <v>5852.0</v>
      </c>
      <c r="L864" s="1" t="s">
        <v>3263</v>
      </c>
      <c r="M864" s="6" t="s">
        <v>3264</v>
      </c>
      <c r="N864" s="7" t="str">
        <f>VLOOKUP(A864, avaliacoes!A:G, 5, FALSE)</f>
        <v>Good quality,Bindaas watch,Good,Must buy,The LCD display is much better than shown in images or videos,Love to Noise Brand,Good product battery backup good,Nice one</v>
      </c>
      <c r="O864" s="7" t="str">
        <f>VLOOKUP(A864, avaliacoes!A:G, 6, FALSE)</f>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v>
      </c>
    </row>
    <row r="865">
      <c r="A865" s="1" t="s">
        <v>3265</v>
      </c>
      <c r="B865" s="1" t="s">
        <v>3266</v>
      </c>
      <c r="C865" s="1" t="s">
        <v>3267</v>
      </c>
      <c r="D865" s="1" t="str">
        <f t="shared" si="2"/>
        <v>Computers&amp;Accessories</v>
      </c>
      <c r="E865" s="1" t="str">
        <f t="shared" si="3"/>
        <v>Components</v>
      </c>
      <c r="F865" s="2">
        <v>199.0</v>
      </c>
      <c r="G865" s="2">
        <v>999.0</v>
      </c>
      <c r="H865" s="3">
        <f t="shared" si="4"/>
        <v>0.8008008008</v>
      </c>
      <c r="I865" s="4">
        <f>IFERROR(__xludf.DUMMYFUNCTION("GOOGLEFINANCE(""CURRENCY:INRBRL"")*F865"),11.8759862372)</f>
        <v>11.87598624</v>
      </c>
      <c r="J865" s="1">
        <v>4.5</v>
      </c>
      <c r="K865" s="1">
        <v>362.0</v>
      </c>
      <c r="L865" s="1" t="s">
        <v>3268</v>
      </c>
      <c r="M865" s="6" t="s">
        <v>3269</v>
      </c>
      <c r="N865" s="7" t="str">
        <f>VLOOKUP(A865, avaliacoes!A:G, 5, FALSE)</f>
        <v>🌟🌟🌟🌟,Good product,Nice product,Product quality is good and price is also very good,Easy to install,Nice product at this rate,Not gona regret after buying it,Best caddy in the market</v>
      </c>
      <c r="O865" s="7" t="str">
        <f>VLOOKUP(A865, avaliacoes!A:G, 6, FALSE)</f>
        <v>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v>
      </c>
    </row>
    <row r="866">
      <c r="A866" s="1" t="s">
        <v>3270</v>
      </c>
      <c r="B866" s="1" t="s">
        <v>3271</v>
      </c>
      <c r="C866" s="1" t="s">
        <v>1393</v>
      </c>
      <c r="D866" s="1" t="str">
        <f t="shared" si="2"/>
        <v>Electronics</v>
      </c>
      <c r="E866" s="1" t="str">
        <f t="shared" si="3"/>
        <v>Accessories</v>
      </c>
      <c r="F866" s="2">
        <v>939.0</v>
      </c>
      <c r="G866" s="2">
        <v>1799.0</v>
      </c>
      <c r="H866" s="3">
        <f t="shared" si="4"/>
        <v>0.4780433574</v>
      </c>
      <c r="I866" s="4">
        <f>IFERROR(__xludf.DUMMYFUNCTION("GOOGLEFINANCE(""CURRENCY:INRBRL"")*F866"),56.037945109199995)</f>
        <v>56.03794511</v>
      </c>
      <c r="J866" s="1">
        <v>4.51</v>
      </c>
      <c r="K866" s="1">
        <v>2051952.0</v>
      </c>
      <c r="L866" s="1" t="s">
        <v>3272</v>
      </c>
      <c r="M866" s="6" t="s">
        <v>3273</v>
      </c>
      <c r="N866" s="7" t="str">
        <f>VLOOKUP(A866, avaliacoes!A:G, 5, FALSE)</f>
        <v>Just gets the job done. Not so fast as it says,Ok ok for value for money,Good product,Good quality at this price range,Good product,Good value for money.,Good product,Similar performance to Ultra series card</v>
      </c>
      <c r="O866" s="7" t="str">
        <f>VLOOKUP(A866, avaliacoes!A:G, 6, FALSE)</f>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v>
      </c>
    </row>
    <row r="867">
      <c r="A867" s="1" t="s">
        <v>3274</v>
      </c>
      <c r="B867" s="1" t="s">
        <v>3275</v>
      </c>
      <c r="C867" s="1" t="s">
        <v>1356</v>
      </c>
      <c r="D867" s="1" t="str">
        <f t="shared" si="2"/>
        <v>Electronics</v>
      </c>
      <c r="E867" s="1" t="str">
        <f t="shared" si="3"/>
        <v>WearableTechnology</v>
      </c>
      <c r="F867" s="2">
        <v>2499.0</v>
      </c>
      <c r="G867" s="2">
        <v>9999.0</v>
      </c>
      <c r="H867" s="3">
        <f t="shared" si="4"/>
        <v>0.7500750075</v>
      </c>
      <c r="I867" s="4">
        <f>IFERROR(__xludf.DUMMYFUNCTION("GOOGLEFINANCE(""CURRENCY:INRBRL"")*F867"),149.1361286772)</f>
        <v>149.1361287</v>
      </c>
      <c r="J867" s="1">
        <v>4.0</v>
      </c>
      <c r="K867" s="1">
        <v>909.0</v>
      </c>
      <c r="L867" s="1" t="s">
        <v>3276</v>
      </c>
      <c r="M867" s="6" t="s">
        <v>3277</v>
      </c>
      <c r="N867" s="7" t="str">
        <f>VLOOKUP(A867, avaliacoes!A:G, 5, FALSE)</f>
        <v>Its okay!,Good product,battery life is decent and call quality is impressive,battery is not good,Good product,Nice watch,Good,Not for accuracy,Good looking and beautiful display</v>
      </c>
      <c r="O867" s="7" t="str">
        <f>VLOOKUP(A867, avaliacoes!A:G, 6, FALSE)</f>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v>
      </c>
    </row>
    <row r="868">
      <c r="A868" s="1" t="s">
        <v>3278</v>
      </c>
      <c r="B868" s="1" t="s">
        <v>3279</v>
      </c>
      <c r="C868" s="1" t="s">
        <v>2269</v>
      </c>
      <c r="D868" s="1" t="str">
        <f t="shared" si="2"/>
        <v>Computers&amp;Accessories</v>
      </c>
      <c r="E868" s="1" t="str">
        <f t="shared" si="3"/>
        <v>Accessories&amp;Peripherals</v>
      </c>
      <c r="F868" s="2">
        <v>1439.0</v>
      </c>
      <c r="G868" s="2">
        <v>2899.0</v>
      </c>
      <c r="H868" s="3">
        <f t="shared" si="4"/>
        <v>0.5036219386</v>
      </c>
      <c r="I868" s="4">
        <f>IFERROR(__xludf.DUMMYFUNCTION("GOOGLEFINANCE(""CURRENCY:INRBRL"")*F868"),85.87710650919999)</f>
        <v>85.87710651</v>
      </c>
      <c r="J868" s="1">
        <v>4.51</v>
      </c>
      <c r="K868" s="1">
        <v>4099.0</v>
      </c>
      <c r="L868" s="1" t="s">
        <v>3280</v>
      </c>
      <c r="M868" s="6" t="s">
        <v>3281</v>
      </c>
      <c r="N868" s="7" t="str">
        <f>VLOOKUP(A868, avaliacoes!A:G, 5, FALSE)</f>
        <v>Must have product,silent but not fully.,Good product,great product,Best value for money,Sleek &amp; Smooth,Good buy,Just buy it !!!</v>
      </c>
      <c r="O868" s="7" t="str">
        <f>VLOOKUP(A868, avaliacoes!A:G, 6, FALSE)</f>
        <v>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v>
      </c>
    </row>
    <row r="869">
      <c r="A869" s="1" t="s">
        <v>3282</v>
      </c>
      <c r="B869" s="1" t="s">
        <v>3283</v>
      </c>
      <c r="C869" s="1" t="s">
        <v>1411</v>
      </c>
      <c r="D869" s="1" t="str">
        <f t="shared" si="2"/>
        <v>Electronics</v>
      </c>
      <c r="E869" s="1" t="str">
        <f t="shared" si="3"/>
        <v>Headphones,Earbuds&amp;Accessories</v>
      </c>
      <c r="F869" s="2">
        <v>1099.0</v>
      </c>
      <c r="G869" s="2">
        <v>5999.0</v>
      </c>
      <c r="H869" s="3">
        <f t="shared" si="4"/>
        <v>0.8168028005</v>
      </c>
      <c r="I869" s="4">
        <f>IFERROR(__xludf.DUMMYFUNCTION("GOOGLEFINANCE(""CURRENCY:INRBRL"")*F869"),65.58647675719999)</f>
        <v>65.58647676</v>
      </c>
      <c r="J869" s="1">
        <v>4.5</v>
      </c>
      <c r="K869" s="1">
        <v>12966.0</v>
      </c>
      <c r="L869" s="1" t="s">
        <v>2458</v>
      </c>
      <c r="M869" s="6" t="s">
        <v>3284</v>
      </c>
      <c r="N869" s="7" t="str">
        <f>VLOOKUP(A869, avaliacoes!A:G, 5, FALSE)</f>
        <v>Great at this price range,This propods are overall good .,Avarege but call facility bad,sometimes not working properly,Not worth it,Nice product,Good for music but not for calls,Awesome Quality TWS ✌️</v>
      </c>
      <c r="O869" s="7" t="str">
        <f>VLOOKUP(A869, avaliacoes!A:G, 6, FALSE)</f>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v>
      </c>
    </row>
    <row r="870">
      <c r="A870" s="1" t="s">
        <v>3285</v>
      </c>
      <c r="B870" s="1" t="s">
        <v>3286</v>
      </c>
      <c r="C870" s="1" t="s">
        <v>2599</v>
      </c>
      <c r="D870" s="1" t="str">
        <f t="shared" si="2"/>
        <v>OfficeProducts</v>
      </c>
      <c r="E870" s="1" t="str">
        <f t="shared" si="3"/>
        <v>OfficePaperProducts</v>
      </c>
      <c r="F870" s="2">
        <v>157.0</v>
      </c>
      <c r="G870" s="2">
        <v>160.0</v>
      </c>
      <c r="H870" s="3">
        <f t="shared" si="4"/>
        <v>0.01875</v>
      </c>
      <c r="I870" s="4">
        <f>IFERROR(__xludf.DUMMYFUNCTION("GOOGLEFINANCE(""CURRENCY:INRBRL"")*F870"),9.3694966796)</f>
        <v>9.36949668</v>
      </c>
      <c r="J870" s="1">
        <v>4.51</v>
      </c>
      <c r="K870" s="1">
        <v>4428.0</v>
      </c>
      <c r="L870" s="1" t="s">
        <v>3287</v>
      </c>
      <c r="M870" s="6" t="s">
        <v>3288</v>
      </c>
      <c r="N870" s="7" t="str">
        <f>VLOOKUP(A870, avaliacoes!A:G, 5, FALSE)</f>
        <v>minimum order quantity should be done away,Worthy,You can buy,300 pages = 150 sheets,Nothing,Awesome product,Nice product,It is a very nice notebook and worth buying and a very unique size(A5)</v>
      </c>
      <c r="O870" s="7" t="str">
        <f>VLOOKUP(A870, avaliacoes!A:G, 6, FALSE)</f>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v>
      </c>
    </row>
    <row r="871">
      <c r="A871" s="1" t="s">
        <v>194</v>
      </c>
      <c r="B871" s="1" t="s">
        <v>195</v>
      </c>
      <c r="C871" s="1" t="s">
        <v>54</v>
      </c>
      <c r="D871" s="1" t="str">
        <f t="shared" si="2"/>
        <v>Computers&amp;Accessories</v>
      </c>
      <c r="E871" s="1" t="str">
        <f t="shared" si="3"/>
        <v>NetworkingDevices</v>
      </c>
      <c r="F871" s="2">
        <v>999.0</v>
      </c>
      <c r="G871" s="2">
        <v>1599.0</v>
      </c>
      <c r="H871" s="3">
        <f t="shared" si="4"/>
        <v>0.3752345216</v>
      </c>
      <c r="I871" s="4">
        <f>IFERROR(__xludf.DUMMYFUNCTION("GOOGLEFINANCE(""CURRENCY:INRBRL"")*F871"),59.61864447719999)</f>
        <v>59.61864448</v>
      </c>
      <c r="J871" s="1">
        <v>4.5</v>
      </c>
      <c r="K871" s="1">
        <v>12093.0</v>
      </c>
      <c r="L871" s="1" t="s">
        <v>196</v>
      </c>
      <c r="M871" s="6" t="s">
        <v>3289</v>
      </c>
      <c r="N871" s="7" t="str">
        <f>VLOOKUP(A871, avaliacoes!A:G, 5, FALSE)</f>
        <v>Dual Bandwidth,It's good,Simple and effective,Easy plug and play,Only 200mbps support,Great Device for Old Laptops,Good device but be careful for a defective one.,Excellent Speeds and Coverage!</v>
      </c>
      <c r="O871" s="7" t="str">
        <f>VLOOKUP(A871, avaliacoes!A:G, 6, FALSE)</f>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v>
      </c>
    </row>
    <row r="872">
      <c r="A872" s="1" t="s">
        <v>3290</v>
      </c>
      <c r="B872" s="1" t="s">
        <v>3291</v>
      </c>
      <c r="C872" s="1" t="s">
        <v>2449</v>
      </c>
      <c r="D872" s="1" t="str">
        <f t="shared" si="2"/>
        <v>Computers&amp;Accessories</v>
      </c>
      <c r="E872" s="1" t="str">
        <f t="shared" si="3"/>
        <v>Accessories&amp;Peripherals</v>
      </c>
      <c r="F872" s="2">
        <v>115.0</v>
      </c>
      <c r="G872" s="2">
        <v>999.0</v>
      </c>
      <c r="H872" s="3">
        <f t="shared" si="4"/>
        <v>0.8848848849</v>
      </c>
      <c r="I872" s="4">
        <f>IFERROR(__xludf.DUMMYFUNCTION("GOOGLEFINANCE(""CURRENCY:INRBRL"")*F872"),6.863007121999999)</f>
        <v>6.863007122</v>
      </c>
      <c r="J872" s="1">
        <v>4.5</v>
      </c>
      <c r="K872" s="1">
        <v>5692.0</v>
      </c>
      <c r="L872" s="1" t="s">
        <v>3292</v>
      </c>
      <c r="M872" s="6" t="s">
        <v>3293</v>
      </c>
      <c r="N872" s="7" t="str">
        <f>VLOOKUP(A872, avaliacoes!A:G, 5, FALSE)</f>
        <v>Quality,It's not fitting on keyboard,Transparency is not too good,Cost worthy,Just okay,Good quality,Workable,Durability and Quality</v>
      </c>
      <c r="O872" s="7" t="str">
        <f>VLOOKUP(A872, avaliacoes!A:G, 6, FALSE)</f>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v>
      </c>
    </row>
    <row r="873">
      <c r="A873" s="1" t="s">
        <v>3294</v>
      </c>
      <c r="B873" s="1" t="s">
        <v>3295</v>
      </c>
      <c r="C873" s="1" t="s">
        <v>2274</v>
      </c>
      <c r="D873" s="1" t="str">
        <f t="shared" si="2"/>
        <v>Computers&amp;Accessories</v>
      </c>
      <c r="E873" s="1" t="str">
        <f t="shared" si="3"/>
        <v>Accessories&amp;Peripherals</v>
      </c>
      <c r="F873" s="2">
        <v>175.0</v>
      </c>
      <c r="G873" s="2">
        <v>499.0</v>
      </c>
      <c r="H873" s="3">
        <f t="shared" si="4"/>
        <v>0.6492985972</v>
      </c>
      <c r="I873" s="4">
        <f>IFERROR(__xludf.DUMMYFUNCTION("GOOGLEFINANCE(""CURRENCY:INRBRL"")*F873"),10.443706489999999)</f>
        <v>10.44370649</v>
      </c>
      <c r="J873" s="1">
        <v>4.49</v>
      </c>
      <c r="K873" s="1">
        <v>21.0</v>
      </c>
      <c r="L873" s="1" t="s">
        <v>3296</v>
      </c>
      <c r="M873" s="6" t="s">
        <v>3297</v>
      </c>
      <c r="N873" s="7" t="str">
        <f>VLOOKUP(A873, avaliacoes!A:G, 5, FALSE)</f>
        <v>Fine🤘🏻🙏🏻,Good,Best for kids,Easy clean and use,Nice product,bahut accha,Really liked this product,Erase button not working 🤬</v>
      </c>
      <c r="O873" s="7" t="str">
        <f>VLOOKUP(A873, avaliacoes!A:G, 6, FALSE)</f>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v>
      </c>
    </row>
    <row r="874">
      <c r="A874" s="1" t="s">
        <v>3298</v>
      </c>
      <c r="B874" s="1" t="s">
        <v>3299</v>
      </c>
      <c r="C874" s="1" t="s">
        <v>2720</v>
      </c>
      <c r="D874" s="1" t="str">
        <f t="shared" si="2"/>
        <v>Electronics</v>
      </c>
      <c r="E874" s="1" t="str">
        <f t="shared" si="3"/>
        <v>Cameras&amp;Photography</v>
      </c>
      <c r="F874" s="2">
        <v>1999.0</v>
      </c>
      <c r="G874" s="2">
        <v>4699.0</v>
      </c>
      <c r="H874" s="3">
        <f t="shared" si="4"/>
        <v>0.5745903384</v>
      </c>
      <c r="I874" s="4">
        <f>IFERROR(__xludf.DUMMYFUNCTION("GOOGLEFINANCE(""CURRENCY:INRBRL"")*F874"),119.2969672772)</f>
        <v>119.2969673</v>
      </c>
      <c r="J874" s="1">
        <v>4.51</v>
      </c>
      <c r="K874" s="1">
        <v>188.0</v>
      </c>
      <c r="L874" s="1" t="s">
        <v>3300</v>
      </c>
      <c r="M874" s="6" t="s">
        <v>3301</v>
      </c>
      <c r="N874" s="7" t="str">
        <f>VLOOKUP(A874, avaliacoes!A:G, 5, FALSE)</f>
        <v>Great product,Excellent,Good one,Nice product,Its worth money,2 month,Good produot,Awesome</v>
      </c>
      <c r="O874" s="7" t="str">
        <f>VLOOKUP(A874, avaliacoes!A:G, 6, FALSE)</f>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v>
      </c>
    </row>
    <row r="875">
      <c r="A875" s="1" t="s">
        <v>3302</v>
      </c>
      <c r="B875" s="1" t="s">
        <v>3303</v>
      </c>
      <c r="C875" s="1" t="s">
        <v>3304</v>
      </c>
      <c r="D875" s="1" t="str">
        <f t="shared" si="2"/>
        <v>Computers&amp;Accessories</v>
      </c>
      <c r="E875" s="1" t="str">
        <f t="shared" si="3"/>
        <v>Printers,Inks&amp;Accessories</v>
      </c>
      <c r="F875" s="2">
        <v>3999.0</v>
      </c>
      <c r="G875" s="2">
        <v>4971.0</v>
      </c>
      <c r="H875" s="3">
        <f t="shared" si="4"/>
        <v>0.1955340978</v>
      </c>
      <c r="I875" s="4">
        <f>IFERROR(__xludf.DUMMYFUNCTION("GOOGLEFINANCE(""CURRENCY:INRBRL"")*F875"),238.65361287719998)</f>
        <v>238.6536129</v>
      </c>
      <c r="J875" s="1">
        <v>4.5</v>
      </c>
      <c r="K875" s="1">
        <v>21762.0</v>
      </c>
      <c r="L875" s="1" t="s">
        <v>3305</v>
      </c>
      <c r="M875" s="6" t="s">
        <v>3306</v>
      </c>
      <c r="N875" s="7" t="str">
        <f>VLOOKUP(A875, avaliacoes!A:G, 5, FALSE)</f>
        <v>Good Product,Average,Average Printer,Package is good,Very poor quality after 1 month used printer printer print only 7-10 print on 1 refile.,Does the job, but it's damn slow. Have to wait for ages,Super,Best product at low price</v>
      </c>
      <c r="O875" s="7" t="str">
        <f>VLOOKUP(A875, avaliacoes!A:G, 6, FALSE)</f>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v>
      </c>
    </row>
    <row r="876">
      <c r="A876" s="1" t="s">
        <v>3307</v>
      </c>
      <c r="B876" s="1" t="s">
        <v>3308</v>
      </c>
      <c r="C876" s="1" t="s">
        <v>2522</v>
      </c>
      <c r="D876" s="1" t="str">
        <f t="shared" si="2"/>
        <v>Computers&amp;Accessories</v>
      </c>
      <c r="E876" s="1" t="str">
        <f t="shared" si="3"/>
        <v>NetworkingDevices</v>
      </c>
      <c r="F876" s="2">
        <v>899.0</v>
      </c>
      <c r="G876" s="2">
        <v>1799.0</v>
      </c>
      <c r="H876" s="3">
        <f t="shared" si="4"/>
        <v>0.5002779322</v>
      </c>
      <c r="I876" s="4">
        <f>IFERROR(__xludf.DUMMYFUNCTION("GOOGLEFINANCE(""CURRENCY:INRBRL"")*F876"),53.6508121972)</f>
        <v>53.6508122</v>
      </c>
      <c r="J876" s="1">
        <v>4.49</v>
      </c>
      <c r="K876" s="1">
        <v>22375.0</v>
      </c>
      <c r="L876" s="1" t="s">
        <v>3309</v>
      </c>
      <c r="M876" s="6" t="s">
        <v>3310</v>
      </c>
      <c r="N876" s="7" t="str">
        <f>VLOOKUP(A876, avaliacoes!A:G, 5, FALSE)</f>
        <v>Very good,It does what it's supposed to do,Affordable,Not a original pakage,Good,Less speed,No issues,Not too much good</v>
      </c>
      <c r="O876" s="7" t="str">
        <f>VLOOKUP(A876, avaliacoes!A:G, 6, FALSE)</f>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v>
      </c>
    </row>
    <row r="877">
      <c r="A877" s="1" t="s">
        <v>3311</v>
      </c>
      <c r="B877" s="1" t="s">
        <v>3312</v>
      </c>
      <c r="C877" s="1" t="s">
        <v>2484</v>
      </c>
      <c r="D877" s="1" t="str">
        <f t="shared" si="2"/>
        <v>Computers&amp;Accessories</v>
      </c>
      <c r="E877" s="1" t="str">
        <f t="shared" si="3"/>
        <v>Accessories&amp;Peripherals</v>
      </c>
      <c r="F877" s="2">
        <v>299.0</v>
      </c>
      <c r="G877" s="2">
        <v>990.0</v>
      </c>
      <c r="H877" s="3">
        <f t="shared" si="4"/>
        <v>0.697979798</v>
      </c>
      <c r="I877" s="4">
        <f>IFERROR(__xludf.DUMMYFUNCTION("GOOGLEFINANCE(""CURRENCY:INRBRL"")*F877"),17.8438185172)</f>
        <v>17.84381852</v>
      </c>
      <c r="J877" s="1">
        <v>4.51</v>
      </c>
      <c r="K877" s="1">
        <v>2453.0</v>
      </c>
      <c r="L877" s="1" t="s">
        <v>3313</v>
      </c>
      <c r="M877" s="6" t="s">
        <v>3314</v>
      </c>
      <c r="N877" s="7" t="str">
        <f>VLOOKUP(A877, avaliacoes!A:G, 5, FALSE)</f>
        <v>Good,The smell....,fair enough looking at reasonable price,Amazing,value for money,For starter,Best as a buyer its pretty reliable,Smooth experience</v>
      </c>
      <c r="O877" s="7" t="str">
        <f>VLOOKUP(A877, avaliacoes!A:G, 6, FALSE)</f>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v>
      </c>
    </row>
    <row r="878">
      <c r="A878" s="1" t="s">
        <v>3315</v>
      </c>
      <c r="B878" s="1" t="s">
        <v>3316</v>
      </c>
      <c r="C878" s="1" t="s">
        <v>2274</v>
      </c>
      <c r="D878" s="1" t="str">
        <f t="shared" si="2"/>
        <v>Computers&amp;Accessories</v>
      </c>
      <c r="E878" s="1" t="str">
        <f t="shared" si="3"/>
        <v>Accessories&amp;Peripherals</v>
      </c>
      <c r="F878" s="2">
        <v>3303.0</v>
      </c>
      <c r="G878" s="2">
        <v>4699.0</v>
      </c>
      <c r="H878" s="3">
        <f t="shared" si="4"/>
        <v>0.2970844861</v>
      </c>
      <c r="I878" s="4">
        <f>IFERROR(__xludf.DUMMYFUNCTION("GOOGLEFINANCE(""CURRENCY:INRBRL"")*F878"),197.11750020839997)</f>
        <v>197.1175002</v>
      </c>
      <c r="J878" s="1">
        <v>4.5</v>
      </c>
      <c r="K878" s="1">
        <v>13544.0</v>
      </c>
      <c r="L878" s="1" t="s">
        <v>3317</v>
      </c>
      <c r="M878" s="6" t="s">
        <v>3318</v>
      </c>
      <c r="N878" s="7" t="str">
        <f>VLOOKUP(A878, avaliacoes!A:G, 5, FALSE)</f>
        <v>Very nice product,Damaged within 4 months,Wacom review,Value for Money,Nice,Recommend,Perfect to draw, sketch and doodle.,Nice product.</v>
      </c>
      <c r="O878" s="7" t="str">
        <f>VLOOKUP(A878, avaliacoes!A:G, 6, FALSE)</f>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v>
      </c>
    </row>
    <row r="879">
      <c r="A879" s="1" t="s">
        <v>3319</v>
      </c>
      <c r="B879" s="1" t="s">
        <v>3320</v>
      </c>
      <c r="C879" s="1" t="s">
        <v>3006</v>
      </c>
      <c r="D879" s="1" t="str">
        <f t="shared" si="2"/>
        <v>Computers&amp;Accessories</v>
      </c>
      <c r="E879" s="1" t="str">
        <f t="shared" si="3"/>
        <v>Accessories&amp;Peripherals</v>
      </c>
      <c r="F879" s="2">
        <v>1899.0</v>
      </c>
      <c r="G879" s="2">
        <v>5499.0</v>
      </c>
      <c r="H879" s="3">
        <f t="shared" si="4"/>
        <v>0.6546644845</v>
      </c>
      <c r="I879" s="4">
        <f>IFERROR(__xludf.DUMMYFUNCTION("GOOGLEFINANCE(""CURRENCY:INRBRL"")*F879"),113.32913499719999)</f>
        <v>113.329135</v>
      </c>
      <c r="J879" s="1">
        <v>4.49</v>
      </c>
      <c r="K879" s="1">
        <v>10976.0</v>
      </c>
      <c r="L879" s="1" t="s">
        <v>3321</v>
      </c>
      <c r="M879" s="6" t="s">
        <v>3322</v>
      </c>
      <c r="N879" s="7" t="str">
        <f>VLOOKUP(A879, avaliacoes!A:G, 5, FALSE)</f>
        <v>Nice product ..,Lenovo 300 camera,Very nice in the pricecrange and in budget.,Not able to connect with android TV , can you please help me out.,Good for 4 group calling fot have focusing function,Good one..,Amazing,Good product</v>
      </c>
      <c r="O879" s="7" t="str">
        <f>VLOOKUP(A879, avaliacoes!A:G, 6, FALSE)</f>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v>
      </c>
    </row>
    <row r="880">
      <c r="A880" s="1" t="s">
        <v>3323</v>
      </c>
      <c r="B880" s="1" t="s">
        <v>3324</v>
      </c>
      <c r="C880" s="1" t="s">
        <v>2863</v>
      </c>
      <c r="D880" s="1" t="str">
        <f t="shared" si="2"/>
        <v>OfficeProducts</v>
      </c>
      <c r="E880" s="1" t="str">
        <f t="shared" si="3"/>
        <v>OfficePaperProducts</v>
      </c>
      <c r="F880" s="2">
        <v>90.0</v>
      </c>
      <c r="G880" s="2">
        <v>100.0</v>
      </c>
      <c r="H880" s="3">
        <f t="shared" si="4"/>
        <v>0.1</v>
      </c>
      <c r="I880" s="4">
        <f>IFERROR(__xludf.DUMMYFUNCTION("GOOGLEFINANCE(""CURRENCY:INRBRL"")*F880"),5.371049052)</f>
        <v>5.371049052</v>
      </c>
      <c r="J880" s="1">
        <v>4.5</v>
      </c>
      <c r="K880" s="1">
        <v>3061.0</v>
      </c>
      <c r="L880" s="1" t="s">
        <v>3325</v>
      </c>
      <c r="M880" s="6" t="s">
        <v>3326</v>
      </c>
      <c r="N880" s="7" t="str">
        <f>VLOOKUP(A880, avaliacoes!A:G, 5, FALSE)</f>
        <v>Good,Best Quality product you should go for,Prince Mondal,Very good product,Good quality!,Very dark,It's dark!,Received Black quink in bottle without plastic cover at bottle neck</v>
      </c>
      <c r="O880" s="7" t="str">
        <f>VLOOKUP(A880, avaliacoes!A:G, 6, FALSE)</f>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v>
      </c>
    </row>
    <row r="881">
      <c r="A881" s="1" t="s">
        <v>3327</v>
      </c>
      <c r="B881" s="1" t="s">
        <v>3328</v>
      </c>
      <c r="C881" s="1" t="s">
        <v>1411</v>
      </c>
      <c r="D881" s="1" t="str">
        <f t="shared" si="2"/>
        <v>Electronics</v>
      </c>
      <c r="E881" s="1" t="str">
        <f t="shared" si="3"/>
        <v>Headphones,Earbuds&amp;Accessories</v>
      </c>
      <c r="F881" s="2">
        <v>1599.0</v>
      </c>
      <c r="G881" s="2">
        <v>2799.0</v>
      </c>
      <c r="H881" s="3">
        <f t="shared" si="4"/>
        <v>0.4287245445</v>
      </c>
      <c r="I881" s="4">
        <f>IFERROR(__xludf.DUMMYFUNCTION("GOOGLEFINANCE(""CURRENCY:INRBRL"")*F881"),95.4256381572)</f>
        <v>95.42563816</v>
      </c>
      <c r="J881" s="1">
        <v>4.51</v>
      </c>
      <c r="K881" s="1">
        <v>2272.0</v>
      </c>
      <c r="L881" s="1" t="s">
        <v>3329</v>
      </c>
      <c r="M881" s="6" t="s">
        <v>3330</v>
      </c>
      <c r="N881" s="7" t="str">
        <f>VLOOKUP(A881, avaliacoes!A:G, 5, FALSE)</f>
        <v>A well designed product,Rich Quality Music But Comes with compromise on Features,Grip to the ear need to improve,Good,This is for new mobile with Bluetooth 5.0 v or apple phones - don't purchase for old phones,Good sound quality,Value for money,Good quality and sound but not the best.</v>
      </c>
      <c r="O881" s="7" t="str">
        <f>VLOOKUP(A881, avaliacoes!A:G, 6, FALSE)</f>
        <v>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v>
      </c>
    </row>
    <row r="882">
      <c r="A882" s="1" t="s">
        <v>3331</v>
      </c>
      <c r="B882" s="1" t="s">
        <v>3332</v>
      </c>
      <c r="C882" s="1" t="s">
        <v>3019</v>
      </c>
      <c r="D882" s="1" t="str">
        <f t="shared" si="2"/>
        <v>Computers&amp;Accessories</v>
      </c>
      <c r="E882" s="1" t="str">
        <f t="shared" si="3"/>
        <v>Accessories&amp;Peripherals</v>
      </c>
      <c r="F882" s="2">
        <v>599.0</v>
      </c>
      <c r="G882" s="2">
        <v>999.0</v>
      </c>
      <c r="H882" s="3">
        <f t="shared" si="4"/>
        <v>0.4004004004</v>
      </c>
      <c r="I882" s="4">
        <f>IFERROR(__xludf.DUMMYFUNCTION("GOOGLEFINANCE(""CURRENCY:INRBRL"")*F882"),35.747315357199994)</f>
        <v>35.74731536</v>
      </c>
      <c r="J882" s="1">
        <v>4.0</v>
      </c>
      <c r="K882" s="1">
        <v>7601.0</v>
      </c>
      <c r="L882" s="1" t="s">
        <v>3333</v>
      </c>
      <c r="M882" s="6" t="s">
        <v>3334</v>
      </c>
      <c r="N882" s="7" t="str">
        <f>VLOOKUP(A882, avaliacoes!A:G, 5, FALSE)</f>
        <v>So far so good,Good,Keeps Laptop Super Cool and is worth the price,GOOD,Good product..but fan speed is little slow,No difference in gaming laptop temperatures,Value for money,A good product for day to day work and for regular laptops .</v>
      </c>
      <c r="O882" s="7" t="str">
        <f>VLOOKUP(A882, avaliacoes!A:G, 6, FALSE)</f>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v>
      </c>
    </row>
    <row r="883">
      <c r="A883" s="1" t="s">
        <v>206</v>
      </c>
      <c r="B883" s="1" t="s">
        <v>207</v>
      </c>
      <c r="C883" s="1" t="s">
        <v>54</v>
      </c>
      <c r="D883" s="1" t="str">
        <f t="shared" si="2"/>
        <v>Computers&amp;Accessories</v>
      </c>
      <c r="E883" s="1" t="str">
        <f t="shared" si="3"/>
        <v>NetworkingDevices</v>
      </c>
      <c r="F883" s="2">
        <v>507.0</v>
      </c>
      <c r="G883" s="2">
        <v>1208.0</v>
      </c>
      <c r="H883" s="3">
        <f t="shared" si="4"/>
        <v>0.5802980132</v>
      </c>
      <c r="I883" s="4">
        <f>IFERROR(__xludf.DUMMYFUNCTION("GOOGLEFINANCE(""CURRENCY:INRBRL"")*F883"),30.256909659599998)</f>
        <v>30.25690966</v>
      </c>
      <c r="J883" s="1">
        <v>4.49</v>
      </c>
      <c r="K883" s="1">
        <v>8131.0</v>
      </c>
      <c r="L883" s="1" t="s">
        <v>208</v>
      </c>
      <c r="M883" s="6" t="s">
        <v>3335</v>
      </c>
      <c r="N883" s="7" t="str">
        <f>VLOOKUP(A883, avaliacoes!A:G, 5, FALSE)</f>
        <v>good tool to use for,Brand is always good,Overall good and a better experience,It is useful to me.,Works well with cpplus dvr,Good,Its not plug an play u need to install the driver and will support till 2.4 Ghz not above that,Surveillance Camera In My House</v>
      </c>
      <c r="O883" s="7" t="str">
        <f>VLOOKUP(A883, avaliacoes!A:G, 6, FALSE)</f>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v>
      </c>
    </row>
    <row r="884">
      <c r="A884" s="1" t="s">
        <v>3336</v>
      </c>
      <c r="B884" s="1" t="s">
        <v>3337</v>
      </c>
      <c r="C884" s="1" t="s">
        <v>2484</v>
      </c>
      <c r="D884" s="1" t="str">
        <f t="shared" si="2"/>
        <v>Computers&amp;Accessories</v>
      </c>
      <c r="E884" s="1" t="str">
        <f t="shared" si="3"/>
        <v>Accessories&amp;Peripherals</v>
      </c>
      <c r="F884" s="2">
        <v>425.0</v>
      </c>
      <c r="G884" s="2">
        <v>899.0</v>
      </c>
      <c r="H884" s="3">
        <f t="shared" si="4"/>
        <v>0.5272525028</v>
      </c>
      <c r="I884" s="4">
        <f>IFERROR(__xludf.DUMMYFUNCTION("GOOGLEFINANCE(""CURRENCY:INRBRL"")*F884"),25.363287189999998)</f>
        <v>25.36328719</v>
      </c>
      <c r="J884" s="1">
        <v>4.51</v>
      </c>
      <c r="K884" s="1">
        <v>4219.0</v>
      </c>
      <c r="L884" s="1" t="s">
        <v>3338</v>
      </c>
      <c r="M884" s="6" t="s">
        <v>3339</v>
      </c>
      <c r="N884" s="7" t="str">
        <f>VLOOKUP(A884, avaliacoes!A:G, 5, FALSE)</f>
        <v>Decent product for the price mentioned,Will recommend for gaming too.,Jakkas mouse pad,Ergonomically designed!,Premium Product !,Great to use,good product,Very comfortable</v>
      </c>
      <c r="O884" s="7" t="str">
        <f>VLOOKUP(A884, avaliacoes!A:G, 6, FALSE)</f>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v>
      </c>
    </row>
    <row r="885">
      <c r="A885" s="1" t="s">
        <v>3340</v>
      </c>
      <c r="B885" s="1" t="s">
        <v>3341</v>
      </c>
      <c r="C885" s="1" t="s">
        <v>2077</v>
      </c>
      <c r="D885" s="1" t="str">
        <f t="shared" si="2"/>
        <v>Electronics</v>
      </c>
      <c r="E885" s="1" t="str">
        <f t="shared" si="3"/>
        <v>Headphones,Earbuds&amp;Accessories</v>
      </c>
      <c r="F885" s="2">
        <v>1499.0</v>
      </c>
      <c r="G885" s="2">
        <v>3999.0</v>
      </c>
      <c r="H885" s="3">
        <f t="shared" si="4"/>
        <v>0.6251562891</v>
      </c>
      <c r="I885" s="4">
        <f>IFERROR(__xludf.DUMMYFUNCTION("GOOGLEFINANCE(""CURRENCY:INRBRL"")*F885"),89.45780587719999)</f>
        <v>89.45780588</v>
      </c>
      <c r="J885" s="1">
        <v>4.5</v>
      </c>
      <c r="K885" s="1">
        <v>42775.0</v>
      </c>
      <c r="L885" s="1" t="s">
        <v>3342</v>
      </c>
      <c r="M885" s="6" t="s">
        <v>3343</v>
      </c>
      <c r="N885" s="7" t="str">
        <f>VLOOKUP(A885, avaliacoes!A:G, 5, FALSE)</f>
        <v>Far better then expected,Dual Connectivity Not Present,Good One,good,Good product this price,Nice sound,best for bass,good</v>
      </c>
      <c r="O885" s="7" t="str">
        <f>VLOOKUP(A885, avaliacoes!A:G, 6, FALSE)</f>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v>
      </c>
    </row>
    <row r="886">
      <c r="A886" s="1" t="s">
        <v>3344</v>
      </c>
      <c r="B886" s="1" t="s">
        <v>3345</v>
      </c>
      <c r="C886" s="1" t="s">
        <v>3213</v>
      </c>
      <c r="D886" s="1" t="str">
        <f t="shared" si="2"/>
        <v>Computers&amp;Accessories</v>
      </c>
      <c r="E886" s="1" t="str">
        <f t="shared" si="3"/>
        <v>Accessories&amp;Peripherals</v>
      </c>
      <c r="F886" s="2">
        <v>549.0</v>
      </c>
      <c r="G886" s="2">
        <v>2499.0</v>
      </c>
      <c r="H886" s="3">
        <f t="shared" si="4"/>
        <v>0.7803121248</v>
      </c>
      <c r="I886" s="4">
        <f>IFERROR(__xludf.DUMMYFUNCTION("GOOGLEFINANCE(""CURRENCY:INRBRL"")*F886"),32.763399217199996)</f>
        <v>32.76339922</v>
      </c>
      <c r="J886" s="1">
        <v>4.5</v>
      </c>
      <c r="K886" s="1">
        <v>5556.0</v>
      </c>
      <c r="L886" s="1" t="s">
        <v>3346</v>
      </c>
      <c r="M886" s="6" t="s">
        <v>3347</v>
      </c>
      <c r="N886" s="7" t="str">
        <f>VLOOKUP(A886, avaliacoes!A:G, 5, FALSE)</f>
        <v>Sleek case,Perfect fit for iPad,Waluable product,Good quality,Go for it!,Its definitely worth it,Am glad I bought this.,Quality is good</v>
      </c>
      <c r="O886" s="7" t="str">
        <f>VLOOKUP(A886, avaliacoes!A:G, 6, FALSE)</f>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v>
      </c>
    </row>
    <row r="887">
      <c r="A887" s="1" t="s">
        <v>219</v>
      </c>
      <c r="B887" s="1" t="s">
        <v>220</v>
      </c>
      <c r="C887" s="1" t="s">
        <v>21</v>
      </c>
      <c r="D887" s="1" t="str">
        <f t="shared" si="2"/>
        <v>Computers&amp;Accessories</v>
      </c>
      <c r="E887" s="1" t="str">
        <f t="shared" si="3"/>
        <v>Accessories&amp;Peripherals</v>
      </c>
      <c r="F887" s="2">
        <v>199.0</v>
      </c>
      <c r="G887" s="2">
        <v>395.0</v>
      </c>
      <c r="H887" s="3">
        <f t="shared" si="4"/>
        <v>0.4962025316</v>
      </c>
      <c r="I887" s="4">
        <f>IFERROR(__xludf.DUMMYFUNCTION("GOOGLEFINANCE(""CURRENCY:INRBRL"")*F887"),11.8759862372)</f>
        <v>11.87598624</v>
      </c>
      <c r="J887" s="1">
        <v>4.5</v>
      </c>
      <c r="K887" s="1">
        <v>92595.0</v>
      </c>
      <c r="L887" s="1" t="s">
        <v>221</v>
      </c>
      <c r="M887" s="6" t="s">
        <v>3348</v>
      </c>
      <c r="N887" s="7" t="str">
        <f>VLOOKUP(A887, avaliacoes!A:G,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887" s="7" t="str">
        <f>VLOOKUP(A887, avaliacoes!A:G,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row>
    <row r="888">
      <c r="A888" s="1" t="s">
        <v>3349</v>
      </c>
      <c r="B888" s="1" t="s">
        <v>3350</v>
      </c>
      <c r="C888" s="1" t="s">
        <v>2269</v>
      </c>
      <c r="D888" s="1" t="str">
        <f t="shared" si="2"/>
        <v>Computers&amp;Accessories</v>
      </c>
      <c r="E888" s="1" t="str">
        <f t="shared" si="3"/>
        <v>Accessories&amp;Peripherals</v>
      </c>
      <c r="F888" s="2">
        <v>1295.0</v>
      </c>
      <c r="G888" s="2">
        <v>1645.0</v>
      </c>
      <c r="H888" s="3">
        <f t="shared" si="4"/>
        <v>0.2127659574</v>
      </c>
      <c r="I888" s="4">
        <f>IFERROR(__xludf.DUMMYFUNCTION("GOOGLEFINANCE(""CURRENCY:INRBRL"")*F888"),77.283428026)</f>
        <v>77.28342803</v>
      </c>
      <c r="J888" s="1">
        <v>4.51</v>
      </c>
      <c r="K888" s="1">
        <v>12375.0</v>
      </c>
      <c r="L888" s="1" t="s">
        <v>3351</v>
      </c>
      <c r="M888" s="6" t="s">
        <v>3352</v>
      </c>
      <c r="N888" s="7" t="str">
        <f>VLOOKUP(A888, avaliacoes!A:G, 5, FALSE)</f>
        <v>Good but the scroll is now damaged,Nice,Noiseless...,It's a good one,Good.,Satisfied,Simply Superb !,Scroll wheel stopped working in 3 months</v>
      </c>
      <c r="O888" s="7" t="str">
        <f>VLOOKUP(A888, avaliacoes!A:G, 6, FALSE)</f>
        <v>-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v>
      </c>
    </row>
    <row r="889">
      <c r="A889" s="1" t="s">
        <v>3353</v>
      </c>
      <c r="B889" s="1" t="s">
        <v>3354</v>
      </c>
      <c r="C889" s="1" t="s">
        <v>2479</v>
      </c>
      <c r="D889" s="1" t="str">
        <f t="shared" si="2"/>
        <v>Home&amp;Kitchen</v>
      </c>
      <c r="E889" s="1" t="str">
        <f t="shared" si="3"/>
        <v>CraftMaterials</v>
      </c>
      <c r="F889" s="2">
        <v>310.0</v>
      </c>
      <c r="G889" s="2">
        <v>310.0</v>
      </c>
      <c r="H889" s="3">
        <f t="shared" si="4"/>
        <v>0</v>
      </c>
      <c r="I889" s="4">
        <f>IFERROR(__xludf.DUMMYFUNCTION("GOOGLEFINANCE(""CURRENCY:INRBRL"")*F889"),18.500280068)</f>
        <v>18.50028007</v>
      </c>
      <c r="J889" s="1">
        <v>4.51</v>
      </c>
      <c r="K889" s="1">
        <v>5882.0</v>
      </c>
      <c r="L889" s="1" t="s">
        <v>3355</v>
      </c>
      <c r="M889" s="6" t="s">
        <v>3356</v>
      </c>
      <c r="N889" s="7" t="str">
        <f>VLOOKUP(A889, avaliacoes!A:G, 5, FALSE)</f>
        <v>Noice,Love these.!,Good,Nice product,Good items,Drawing ke liye Maine mangvaya tha,Nice acrylic paint tubes. Good one,Smooth paste nice product</v>
      </c>
      <c r="O889" s="7" t="str">
        <f>VLOOKUP(A889, avaliacoes!A:G, 6, FALSE)</f>
        <v>https://m.media-amazon.com/images/I/715D5RP3RIL._SY88.jpg,They r super  good..Love them,Nice,Nice.,Good product,Bahut acche lagte Hain,My daughter liked these acrylic paint tunes. Nice colors,https://m.media-amazon.com/images/I/81KRMZJ2LRL._SY88.jpg</v>
      </c>
    </row>
    <row r="890">
      <c r="A890" s="1" t="s">
        <v>2088</v>
      </c>
      <c r="B890" s="1" t="s">
        <v>2089</v>
      </c>
      <c r="C890" s="1" t="s">
        <v>2090</v>
      </c>
      <c r="D890" s="1" t="str">
        <f t="shared" si="2"/>
        <v>Computers&amp;Accessories</v>
      </c>
      <c r="E890" s="1" t="str">
        <f t="shared" si="3"/>
        <v>Accessories&amp;Peripherals</v>
      </c>
      <c r="F890" s="2">
        <v>149.0</v>
      </c>
      <c r="G890" s="2">
        <v>149.0</v>
      </c>
      <c r="H890" s="3">
        <f t="shared" si="4"/>
        <v>0</v>
      </c>
      <c r="I890" s="4">
        <f>IFERROR(__xludf.DUMMYFUNCTION("GOOGLEFINANCE(""CURRENCY:INRBRL"")*F890"),8.8920700972)</f>
        <v>8.892070097</v>
      </c>
      <c r="J890" s="1">
        <v>4.5</v>
      </c>
      <c r="K890" s="1">
        <v>10833.0</v>
      </c>
      <c r="L890" s="1" t="s">
        <v>2091</v>
      </c>
      <c r="M890" s="6" t="s">
        <v>3357</v>
      </c>
      <c r="N890" s="7" t="str">
        <f>VLOOKUP(A890, avaliacoes!A:G, 5, FALSE)</f>
        <v>Merges with the device, Ultra Thin, Smooth Sliding,Good for Privacy Concerns,Good product,RESEARCH PROPERLY BEFORE BUYING! NOT SUITABLE FOR MACBOOKS!</v>
      </c>
      <c r="O890" s="7" t="str">
        <f>VLOOKUP(A890, avaliacoes!A:G, 6, FALSE)</f>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v>
      </c>
    </row>
    <row r="891">
      <c r="A891" s="1" t="s">
        <v>3358</v>
      </c>
      <c r="B891" s="1" t="s">
        <v>3359</v>
      </c>
      <c r="C891" s="1" t="s">
        <v>2375</v>
      </c>
      <c r="D891" s="1" t="str">
        <f t="shared" si="2"/>
        <v>Computers&amp;Accessories</v>
      </c>
      <c r="E891" s="1" t="str">
        <f t="shared" si="3"/>
        <v>Accessories&amp;Peripherals</v>
      </c>
      <c r="F891" s="2">
        <v>1149.0</v>
      </c>
      <c r="G891" s="2">
        <v>1499.0</v>
      </c>
      <c r="H891" s="3">
        <f t="shared" si="4"/>
        <v>0.2334889927</v>
      </c>
      <c r="I891" s="4">
        <f>IFERROR(__xludf.DUMMYFUNCTION("GOOGLEFINANCE(""CURRENCY:INRBRL"")*F891"),68.5703928972)</f>
        <v>68.5703929</v>
      </c>
      <c r="J891" s="1">
        <v>4.49</v>
      </c>
      <c r="K891" s="1">
        <v>10443.0</v>
      </c>
      <c r="L891" s="1" t="s">
        <v>3360</v>
      </c>
      <c r="M891" s="6" t="s">
        <v>3361</v>
      </c>
      <c r="N891" s="7" t="str">
        <f>VLOOKUP(A891, avaliacoes!A:G, 5, FALSE)</f>
        <v>Affordable product but poor design,Amazing,Just barely serves the purpose of the wireless keyboard and mouse.,If your budget 1K - best of best,Good comfurt,Very useful 👍,very compact easy to carry,It's really good</v>
      </c>
      <c r="O891" s="7" t="str">
        <f>VLOOKUP(A891, avaliacoes!A:G, 6, FALSE)</f>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v>
      </c>
    </row>
    <row r="892">
      <c r="A892" s="1" t="s">
        <v>3362</v>
      </c>
      <c r="B892" s="1" t="s">
        <v>3363</v>
      </c>
      <c r="C892" s="1" t="s">
        <v>2283</v>
      </c>
      <c r="D892" s="1" t="str">
        <f t="shared" si="2"/>
        <v>Computers&amp;Accessories</v>
      </c>
      <c r="E892" s="1" t="str">
        <f t="shared" si="3"/>
        <v>Accessories&amp;Peripherals</v>
      </c>
      <c r="F892" s="2">
        <v>499.0</v>
      </c>
      <c r="G892" s="2">
        <v>1299.0</v>
      </c>
      <c r="H892" s="3">
        <f t="shared" si="4"/>
        <v>0.6158583526</v>
      </c>
      <c r="I892" s="4">
        <f>IFERROR(__xludf.DUMMYFUNCTION("GOOGLEFINANCE(""CURRENCY:INRBRL"")*F892"),29.7794830772)</f>
        <v>29.77948308</v>
      </c>
      <c r="J892" s="1">
        <v>4.51</v>
      </c>
      <c r="K892" s="1">
        <v>434.0</v>
      </c>
      <c r="L892" s="1" t="s">
        <v>3364</v>
      </c>
      <c r="M892" s="6" t="s">
        <v>3365</v>
      </c>
      <c r="N892" s="7" t="str">
        <f>VLOOKUP(A892, avaliacoes!A:G, 5, FALSE)</f>
        <v>This is not suitable for 5.6 laptop,Laptop Stand,Very useful and worth product to buy,Nice good quality for laptop use upto 10-14 kg,Very good product at a reasonable price.,I believe that this will help my work better ergonomically.,Good and Comfortable stand,Satisfy</v>
      </c>
      <c r="O892" s="7" t="str">
        <f>VLOOKUP(A892, avaliacoes!A:G, 6, FALSE)</f>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v>
      </c>
    </row>
    <row r="893">
      <c r="A893" s="1" t="s">
        <v>3366</v>
      </c>
      <c r="B893" s="1" t="s">
        <v>3367</v>
      </c>
      <c r="C893" s="1" t="s">
        <v>1411</v>
      </c>
      <c r="D893" s="1" t="str">
        <f t="shared" si="2"/>
        <v>Electronics</v>
      </c>
      <c r="E893" s="1" t="str">
        <f t="shared" si="3"/>
        <v>Headphones,Earbuds&amp;Accessories</v>
      </c>
      <c r="F893" s="2">
        <v>999.0</v>
      </c>
      <c r="G893" s="2">
        <v>4199.0</v>
      </c>
      <c r="H893" s="3">
        <f t="shared" si="4"/>
        <v>0.762086211</v>
      </c>
      <c r="I893" s="4">
        <f>IFERROR(__xludf.DUMMYFUNCTION("GOOGLEFINANCE(""CURRENCY:INRBRL"")*F893"),59.61864447719999)</f>
        <v>59.61864448</v>
      </c>
      <c r="J893" s="1">
        <v>4.5</v>
      </c>
      <c r="K893" s="1">
        <v>1913.0</v>
      </c>
      <c r="L893" s="1" t="s">
        <v>3368</v>
      </c>
      <c r="M893" s="6" t="s">
        <v>3369</v>
      </c>
      <c r="N893" s="7" t="str">
        <f>VLOOKUP(A893, avaliacoes!A:G, 5, FALSE)</f>
        <v>Good price good quality,Good for Music, Bad for calls,Calling experience is bad. Person on other end don't get clear voice,Ok for music,Decent quality !,Good quality and sound average bit expensive,Ok product,Not bad</v>
      </c>
      <c r="O893" s="7" t="str">
        <f>VLOOKUP(A893, avaliacoes!A:G, 6, FALSE)</f>
        <v>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v>
      </c>
    </row>
    <row r="894">
      <c r="A894" s="1" t="s">
        <v>3370</v>
      </c>
      <c r="B894" s="1" t="s">
        <v>3371</v>
      </c>
      <c r="C894" s="1" t="s">
        <v>3073</v>
      </c>
      <c r="D894" s="1" t="str">
        <f t="shared" si="2"/>
        <v>Computers&amp;Accessories</v>
      </c>
      <c r="E894" s="1" t="str">
        <f t="shared" si="3"/>
        <v>Components</v>
      </c>
      <c r="F894" s="2">
        <v>1709.0</v>
      </c>
      <c r="G894" s="2">
        <v>3999.0</v>
      </c>
      <c r="H894" s="3">
        <f t="shared" si="4"/>
        <v>0.5726431608</v>
      </c>
      <c r="I894" s="4">
        <f>IFERROR(__xludf.DUMMYFUNCTION("GOOGLEFINANCE(""CURRENCY:INRBRL"")*F894"),101.99025366519999)</f>
        <v>101.9902537</v>
      </c>
      <c r="J894" s="1">
        <v>4.5</v>
      </c>
      <c r="K894" s="1">
        <v>3029.0</v>
      </c>
      <c r="L894" s="1" t="s">
        <v>3372</v>
      </c>
      <c r="M894" s="6" t="s">
        <v>3373</v>
      </c>
      <c r="N894" s="7" t="str">
        <f>VLOOKUP(A894, avaliacoes!A:G, 5, FALSE)</f>
        <v>WD not interrupt,good,Lightening fast,Package was good yet working fine. Need to check some more time,SDD for laptop,SSD + WD + attractive price,best product ,I personally recommend use best product.,Affordable price</v>
      </c>
      <c r="O894" s="7" t="str">
        <f>VLOOKUP(A894, avaliacoes!A:G, 6, FALSE)</f>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v>
      </c>
    </row>
    <row r="895">
      <c r="A895" s="1" t="s">
        <v>3374</v>
      </c>
      <c r="B895" s="1" t="s">
        <v>3375</v>
      </c>
      <c r="C895" s="1" t="s">
        <v>2356</v>
      </c>
      <c r="D895" s="1" t="str">
        <f t="shared" si="2"/>
        <v>OfficeProducts</v>
      </c>
      <c r="E895" s="1" t="str">
        <f t="shared" si="3"/>
        <v>OfficePaperProducts</v>
      </c>
      <c r="F895" s="2">
        <v>250.0</v>
      </c>
      <c r="G895" s="2">
        <v>250.0</v>
      </c>
      <c r="H895" s="3">
        <f t="shared" si="4"/>
        <v>0</v>
      </c>
      <c r="I895" s="4">
        <f>IFERROR(__xludf.DUMMYFUNCTION("GOOGLEFINANCE(""CURRENCY:INRBRL"")*F895"),14.9195807)</f>
        <v>14.9195807</v>
      </c>
      <c r="J895" s="1">
        <v>4.5</v>
      </c>
      <c r="K895" s="1">
        <v>2628.0</v>
      </c>
      <c r="L895" s="1" t="s">
        <v>3376</v>
      </c>
      <c r="M895" s="6" t="s">
        <v>3377</v>
      </c>
      <c r="N895" s="7" t="str">
        <f>VLOOKUP(A895, avaliacoes!A:G, 5, FALSE)</f>
        <v>Good product,Best gel pens,👍👍👍,Decent,Feels cheated,Nice product,Good,Only 20 pens</v>
      </c>
      <c r="O895" s="7" t="str">
        <f>VLOOKUP(A895, avaliacoes!A:G, 6, FALSE)</f>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v>
      </c>
    </row>
    <row r="896">
      <c r="A896" s="1" t="s">
        <v>223</v>
      </c>
      <c r="B896" s="1" t="s">
        <v>224</v>
      </c>
      <c r="C896" s="1" t="s">
        <v>54</v>
      </c>
      <c r="D896" s="1" t="str">
        <f t="shared" si="2"/>
        <v>Computers&amp;Accessories</v>
      </c>
      <c r="E896" s="1" t="str">
        <f t="shared" si="3"/>
        <v>NetworkingDevices</v>
      </c>
      <c r="F896" s="2">
        <v>1199.0</v>
      </c>
      <c r="G896" s="2">
        <v>2199.0</v>
      </c>
      <c r="H896" s="3">
        <f t="shared" si="4"/>
        <v>0.4547521601</v>
      </c>
      <c r="I896" s="4">
        <f>IFERROR(__xludf.DUMMYFUNCTION("GOOGLEFINANCE(""CURRENCY:INRBRL"")*F896"),71.5543090372)</f>
        <v>71.55430904</v>
      </c>
      <c r="J896" s="1">
        <v>4.5</v>
      </c>
      <c r="K896" s="1">
        <v>2478.0</v>
      </c>
      <c r="L896" s="1" t="s">
        <v>225</v>
      </c>
      <c r="M896" s="6" t="s">
        <v>3378</v>
      </c>
      <c r="N896" s="7" t="str">
        <f>VLOOKUP(A896, avaliacoes!A:G, 5, FALSE)</f>
        <v>Works flawlessly on Ubuntu 22.04 (if installed correctly),Best for kali. Do not read another review.,Nice product,From 0 to 70 …,Good External Wifi Signal Provider,Superb,Awesome and easy to use,Good product</v>
      </c>
      <c r="O896" s="7" t="str">
        <f>VLOOKUP(A896, avaliacoes!A:G,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row>
    <row r="897">
      <c r="A897" s="1" t="s">
        <v>3379</v>
      </c>
      <c r="B897" s="1" t="s">
        <v>3380</v>
      </c>
      <c r="C897" s="1" t="s">
        <v>3381</v>
      </c>
      <c r="D897" s="1" t="str">
        <f t="shared" si="2"/>
        <v>Home&amp;Kitchen</v>
      </c>
      <c r="E897" s="1" t="str">
        <f t="shared" si="3"/>
        <v>CraftMaterials</v>
      </c>
      <c r="F897" s="2">
        <v>90.0</v>
      </c>
      <c r="G897" s="2">
        <v>100.0</v>
      </c>
      <c r="H897" s="3">
        <f t="shared" si="4"/>
        <v>0.1</v>
      </c>
      <c r="I897" s="4">
        <f>IFERROR(__xludf.DUMMYFUNCTION("GOOGLEFINANCE(""CURRENCY:INRBRL"")*F897"),5.371049052)</f>
        <v>5.371049052</v>
      </c>
      <c r="J897" s="1">
        <v>4.5</v>
      </c>
      <c r="K897" s="1">
        <v>10718.0</v>
      </c>
      <c r="L897" s="1" t="s">
        <v>3382</v>
      </c>
      <c r="M897" s="6" t="s">
        <v>3383</v>
      </c>
      <c r="N897" s="7" t="str">
        <f>VLOOKUP(A897, avaliacoes!A:G, 5, FALSE)</f>
        <v>Very good,WORTH TO BUY.,Writes neat but smells bad,Like ok ok,Nice,👍,Amajin!,One pen is missing. Silver colour pen is missing</v>
      </c>
      <c r="O897" s="7" t="str">
        <f>VLOOKUP(A897, avaliacoes!A:G, 6, FALSE)</f>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v>
      </c>
    </row>
    <row r="898">
      <c r="A898" s="1" t="s">
        <v>3384</v>
      </c>
      <c r="B898" s="1" t="s">
        <v>3385</v>
      </c>
      <c r="C898" s="1" t="s">
        <v>1809</v>
      </c>
      <c r="D898" s="1" t="str">
        <f t="shared" si="2"/>
        <v>Electronics</v>
      </c>
      <c r="E898" s="1" t="str">
        <f t="shared" si="3"/>
        <v>Mobiles&amp;Accessories</v>
      </c>
      <c r="F898" s="2">
        <v>2025.0</v>
      </c>
      <c r="G898" s="2">
        <v>5999.0</v>
      </c>
      <c r="H898" s="3">
        <f t="shared" si="4"/>
        <v>0.6624437406</v>
      </c>
      <c r="I898" s="4">
        <f>IFERROR(__xludf.DUMMYFUNCTION("GOOGLEFINANCE(""CURRENCY:INRBRL"")*F898"),120.84860366999999)</f>
        <v>120.8486037</v>
      </c>
      <c r="J898" s="1">
        <v>4.5</v>
      </c>
      <c r="K898" s="1">
        <v>6233.0</v>
      </c>
      <c r="L898" s="1" t="s">
        <v>3386</v>
      </c>
      <c r="M898" s="6" t="s">
        <v>3387</v>
      </c>
      <c r="N898" s="7" t="str">
        <f>VLOOKUP(A898, avaliacoes!A:G, 5, FALSE)</f>
        <v>Good,Its a good alternative apple pencil,Good,Value for money,Ok,Good performance,perfect fit for AMAZON BASICS (Pencil),Functional for casual use</v>
      </c>
      <c r="O898" s="7" t="str">
        <f>VLOOKUP(A898, avaliacoes!A:G, 6, FALSE)</f>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v>
      </c>
    </row>
    <row r="899">
      <c r="A899" s="1" t="s">
        <v>3388</v>
      </c>
      <c r="B899" s="1" t="s">
        <v>3389</v>
      </c>
      <c r="C899" s="1" t="s">
        <v>2474</v>
      </c>
      <c r="D899" s="1" t="str">
        <f t="shared" si="2"/>
        <v>Computers&amp;Accessories</v>
      </c>
      <c r="E899" s="1" t="str">
        <f t="shared" si="3"/>
        <v>Accessories&amp;Peripherals</v>
      </c>
      <c r="F899" s="2">
        <v>1495.0</v>
      </c>
      <c r="G899" s="2">
        <v>1995.0</v>
      </c>
      <c r="H899" s="3">
        <f t="shared" si="4"/>
        <v>0.2506265664</v>
      </c>
      <c r="I899" s="4">
        <f>IFERROR(__xludf.DUMMYFUNCTION("GOOGLEFINANCE(""CURRENCY:INRBRL"")*F899"),89.21909258599999)</f>
        <v>89.21909259</v>
      </c>
      <c r="J899" s="1">
        <v>4.51</v>
      </c>
      <c r="K899" s="1">
        <v>10541.0</v>
      </c>
      <c r="L899" s="1" t="s">
        <v>3390</v>
      </c>
      <c r="M899" s="6" t="s">
        <v>3391</v>
      </c>
      <c r="N899" s="7" t="str">
        <f>VLOOKUP(A899, avaliacoes!A:G, 5, FALSE)</f>
        <v>Go for it, but there can be issues!,Amazing mouse but not for gaming.,Comfortable, precise &amp; liggt weight,in 1499/- just perfect,Nice,One of the best mouse you can buy at this price range,Good mouse with bad wire,It’s little big</v>
      </c>
      <c r="O899" s="7" t="str">
        <f>VLOOKUP(A899, avaliacoes!A:G, 6, FALSE)</f>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v>
      </c>
    </row>
    <row r="900">
      <c r="A900" s="1" t="s">
        <v>231</v>
      </c>
      <c r="B900" s="1" t="s">
        <v>232</v>
      </c>
      <c r="C900" s="1" t="s">
        <v>21</v>
      </c>
      <c r="D900" s="1" t="str">
        <f t="shared" si="2"/>
        <v>Computers&amp;Accessories</v>
      </c>
      <c r="E900" s="1" t="str">
        <f t="shared" si="3"/>
        <v>Accessories&amp;Peripherals</v>
      </c>
      <c r="F900" s="2">
        <v>799.0</v>
      </c>
      <c r="G900" s="2">
        <v>2099.0</v>
      </c>
      <c r="H900" s="3">
        <f t="shared" si="4"/>
        <v>0.6193425441</v>
      </c>
      <c r="I900" s="4">
        <f>IFERROR(__xludf.DUMMYFUNCTION("GOOGLEFINANCE(""CURRENCY:INRBRL"")*F900"),47.682979917199994)</f>
        <v>47.68297992</v>
      </c>
      <c r="J900" s="1">
        <v>4.5</v>
      </c>
      <c r="K900" s="1">
        <v>8188.0</v>
      </c>
      <c r="L900" s="1" t="s">
        <v>233</v>
      </c>
      <c r="M900" s="6" t="s">
        <v>3392</v>
      </c>
      <c r="N900" s="7" t="str">
        <f>VLOOKUP(A900, avaliacoes!A:G, 5, FALSE)</f>
        <v>Good product but costly,It’s really long n sturdy no homo 🔥,Takes longer to charge than the regular cable,Quality is really good,iPhone X pink charging cable long one ☝️,A good purchase,It charges fine for me,Absolutely fantastic USB👍👍👍</v>
      </c>
      <c r="O900" s="7" t="str">
        <f>VLOOKUP(A900, avaliacoes!A:G,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row>
    <row r="901">
      <c r="A901" s="1" t="s">
        <v>3393</v>
      </c>
      <c r="B901" s="1" t="s">
        <v>3394</v>
      </c>
      <c r="C901" s="1" t="s">
        <v>2553</v>
      </c>
      <c r="D901" s="1" t="str">
        <f t="shared" si="2"/>
        <v>Electronics</v>
      </c>
      <c r="E901" s="1" t="str">
        <f t="shared" si="3"/>
        <v>HomeAudio</v>
      </c>
      <c r="F901" s="2">
        <v>899.0</v>
      </c>
      <c r="G901" s="2">
        <v>1199.0</v>
      </c>
      <c r="H901" s="3">
        <f t="shared" si="4"/>
        <v>0.2502085071</v>
      </c>
      <c r="I901" s="4">
        <f>IFERROR(__xludf.DUMMYFUNCTION("GOOGLEFINANCE(""CURRENCY:INRBRL"")*F901"),53.6508121972)</f>
        <v>53.6508122</v>
      </c>
      <c r="J901" s="1">
        <v>4.51</v>
      </c>
      <c r="K901" s="1">
        <v>10751.0</v>
      </c>
      <c r="L901" s="1" t="s">
        <v>3395</v>
      </c>
      <c r="M901" s="6" t="s">
        <v>3396</v>
      </c>
      <c r="N901" s="7" t="str">
        <f>VLOOKUP(A901, avaliacoes!A:G, 5, FALSE)</f>
        <v>Saunde quality is assumed,Value for money,Charging Point Has Some Problem Like Loose Connection.,Sounds like very good👍,Sound Quality is good but not louder with 10 w Speaker.,Quality of product is okay..,Good one with less budget,Actually its a good effective speaker</v>
      </c>
      <c r="O901" s="7" t="str">
        <f>VLOOKUP(A901, avaliacoes!A:G, 6, FALSE)</f>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v>
      </c>
    </row>
    <row r="902">
      <c r="A902" s="1" t="s">
        <v>3397</v>
      </c>
      <c r="B902" s="1" t="s">
        <v>3398</v>
      </c>
      <c r="C902" s="1" t="s">
        <v>3399</v>
      </c>
      <c r="D902" s="1" t="str">
        <f t="shared" si="2"/>
        <v>Computers&amp;Accessories</v>
      </c>
      <c r="E902" s="1" t="str">
        <f t="shared" si="3"/>
        <v>Accessories&amp;Peripherals</v>
      </c>
      <c r="F902" s="2">
        <v>349.0</v>
      </c>
      <c r="G902" s="2">
        <v>999.0</v>
      </c>
      <c r="H902" s="3">
        <f t="shared" si="4"/>
        <v>0.6506506507</v>
      </c>
      <c r="I902" s="4">
        <f>IFERROR(__xludf.DUMMYFUNCTION("GOOGLEFINANCE(""CURRENCY:INRBRL"")*F902"),20.827734657199997)</f>
        <v>20.82773466</v>
      </c>
      <c r="J902" s="1">
        <v>4.52</v>
      </c>
      <c r="K902" s="1">
        <v>817.0</v>
      </c>
      <c r="L902" s="1" t="s">
        <v>3400</v>
      </c>
      <c r="M902" s="6" t="s">
        <v>3401</v>
      </c>
      <c r="N902" s="7" t="str">
        <f>VLOOKUP(A902, avaliacoes!A:G, 5, FALSE)</f>
        <v>Compatible with laptop SSD,Good to connect say SSD or SATA drives to computer via USB,You get what you pay,Working good,Nice product,Works, But Very Flimsy,Its working fine with old Seagate hard disk,Not Bad!</v>
      </c>
      <c r="O902" s="7" t="str">
        <f>VLOOKUP(A902, avaliacoes!A:G, 6, FALSE)</f>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v>
      </c>
    </row>
    <row r="903">
      <c r="A903" s="1" t="s">
        <v>3402</v>
      </c>
      <c r="B903" s="1" t="s">
        <v>3403</v>
      </c>
      <c r="C903" s="1" t="s">
        <v>1369</v>
      </c>
      <c r="D903" s="1" t="str">
        <f t="shared" si="2"/>
        <v>Electronics</v>
      </c>
      <c r="E903" s="1" t="str">
        <f t="shared" si="3"/>
        <v>Mobiles&amp;Accessories</v>
      </c>
      <c r="F903" s="2">
        <v>900.0</v>
      </c>
      <c r="G903" s="2">
        <v>2499.0</v>
      </c>
      <c r="H903" s="3">
        <f t="shared" si="4"/>
        <v>0.6398559424</v>
      </c>
      <c r="I903" s="4">
        <f>IFERROR(__xludf.DUMMYFUNCTION("GOOGLEFINANCE(""CURRENCY:INRBRL"")*F903"),53.71049051999999)</f>
        <v>53.71049052</v>
      </c>
      <c r="J903" s="1">
        <v>4.0</v>
      </c>
      <c r="K903" s="1">
        <v>36384.0</v>
      </c>
      <c r="L903" s="1" t="s">
        <v>3404</v>
      </c>
      <c r="M903" s="6" t="s">
        <v>3405</v>
      </c>
      <c r="N903" s="7" t="str">
        <f>VLOOKUP(A903, avaliacoes!A:G, 5, FALSE)</f>
        <v>Worth the price,It is good,Not Bad,BATTERY LIFE,It melts the smart watch charger,Very good light weight,Achha laga,Can’t be repaired</v>
      </c>
      <c r="O903" s="7" t="str">
        <f>VLOOKUP(A903, avaliacoes!A:G, 6, FALSE)</f>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v>
      </c>
    </row>
    <row r="904">
      <c r="A904" s="1" t="s">
        <v>3406</v>
      </c>
      <c r="B904" s="1" t="s">
        <v>3407</v>
      </c>
      <c r="C904" s="1" t="s">
        <v>2720</v>
      </c>
      <c r="D904" s="1" t="str">
        <f t="shared" si="2"/>
        <v>Electronics</v>
      </c>
      <c r="E904" s="1" t="str">
        <f t="shared" si="3"/>
        <v>Cameras&amp;Photography</v>
      </c>
      <c r="F904" s="2">
        <v>2499.0</v>
      </c>
      <c r="G904" s="2">
        <v>3999.0</v>
      </c>
      <c r="H904" s="3">
        <f t="shared" si="4"/>
        <v>0.3750937734</v>
      </c>
      <c r="I904" s="4">
        <f>IFERROR(__xludf.DUMMYFUNCTION("GOOGLEFINANCE(""CURRENCY:INRBRL"")*F904"),149.1361286772)</f>
        <v>149.1361287</v>
      </c>
      <c r="J904" s="1">
        <v>4.49</v>
      </c>
      <c r="K904" s="1">
        <v>3606.0</v>
      </c>
      <c r="L904" s="1" t="s">
        <v>3408</v>
      </c>
      <c r="M904" s="6" t="s">
        <v>3409</v>
      </c>
      <c r="N904" s="7" t="str">
        <f>VLOOKUP(A904, avaliacoes!A:G, 5, FALSE)</f>
        <v>Excellent CCTV WiFi Camera made in India,Great Camera for keeping an eye on pets...,Working Perfectly,Great product,Decent indoor camera!!,It is a good product in all,Face detection is not so good,Great product</v>
      </c>
      <c r="O904" s="7" t="str">
        <f>VLOOKUP(A904, avaliacoes!A:G, 6, FALSE)</f>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v>
      </c>
    </row>
    <row r="905">
      <c r="A905" s="1" t="s">
        <v>3410</v>
      </c>
      <c r="B905" s="1" t="s">
        <v>3411</v>
      </c>
      <c r="C905" s="1" t="s">
        <v>3412</v>
      </c>
      <c r="D905" s="1" t="str">
        <f t="shared" si="2"/>
        <v>Electronics</v>
      </c>
      <c r="E905" s="1" t="str">
        <f t="shared" si="3"/>
        <v>#VALUE!</v>
      </c>
      <c r="F905" s="2">
        <v>116.0</v>
      </c>
      <c r="G905" s="2">
        <v>200.0</v>
      </c>
      <c r="H905" s="3">
        <f t="shared" si="4"/>
        <v>0.42</v>
      </c>
      <c r="I905" s="4">
        <f>IFERROR(__xludf.DUMMYFUNCTION("GOOGLEFINANCE(""CURRENCY:INRBRL"")*F905"),6.9226854448)</f>
        <v>6.922685445</v>
      </c>
      <c r="J905" s="1">
        <v>4.5</v>
      </c>
      <c r="K905" s="1">
        <v>357.0</v>
      </c>
      <c r="L905" s="1" t="s">
        <v>3413</v>
      </c>
      <c r="M905" s="6" t="s">
        <v>3414</v>
      </c>
      <c r="N905" s="7" t="str">
        <f>VLOOKUP(A905, avaliacoes!A:G, 5, FALSE)</f>
        <v>Very good,Worth the Buy,Good,manufacturing date is old,Great,Good, but not Great,Genuine product,Cr2025</v>
      </c>
      <c r="O905" s="7" t="str">
        <f>VLOOKUP(A905, avaliacoes!A:G, 6, FALSE)</f>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v>
      </c>
    </row>
    <row r="906">
      <c r="A906" s="1" t="s">
        <v>3415</v>
      </c>
      <c r="B906" s="1" t="s">
        <v>3416</v>
      </c>
      <c r="C906" s="1" t="s">
        <v>2479</v>
      </c>
      <c r="D906" s="1" t="str">
        <f t="shared" si="2"/>
        <v>Home&amp;Kitchen</v>
      </c>
      <c r="E906" s="1" t="str">
        <f t="shared" si="3"/>
        <v>CraftMaterials</v>
      </c>
      <c r="F906" s="2">
        <v>200.0</v>
      </c>
      <c r="G906" s="2">
        <v>230.0</v>
      </c>
      <c r="H906" s="3">
        <f t="shared" si="4"/>
        <v>0.1304347826</v>
      </c>
      <c r="I906" s="4">
        <f>IFERROR(__xludf.DUMMYFUNCTION("GOOGLEFINANCE(""CURRENCY:INRBRL"")*F906"),11.93566456)</f>
        <v>11.93566456</v>
      </c>
      <c r="J906" s="1">
        <v>4.5</v>
      </c>
      <c r="K906" s="1">
        <v>1017.0</v>
      </c>
      <c r="L906" s="1" t="s">
        <v>3417</v>
      </c>
      <c r="M906" s="6" t="s">
        <v>3418</v>
      </c>
      <c r="N906" s="7" t="str">
        <f>VLOOKUP(A906, avaliacoes!A:G, 5, FALSE)</f>
        <v>Very good product,Good product.,Good quality,Excellent,Good quality,Good,fine,Lovely</v>
      </c>
      <c r="O906" s="7" t="str">
        <f>VLOOKUP(A906, avaliacoes!A:G, 6, FALSE)</f>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v>
      </c>
    </row>
    <row r="907">
      <c r="A907" s="1" t="s">
        <v>3419</v>
      </c>
      <c r="B907" s="1" t="s">
        <v>3420</v>
      </c>
      <c r="C907" s="1" t="s">
        <v>3146</v>
      </c>
      <c r="D907" s="1" t="str">
        <f t="shared" si="2"/>
        <v>Computers&amp;Accessories</v>
      </c>
      <c r="E907" s="1" t="str">
        <f t="shared" si="3"/>
        <v>Accessories&amp;Peripherals</v>
      </c>
      <c r="F907" s="2">
        <v>1249.0</v>
      </c>
      <c r="G907" s="2">
        <v>2796.0</v>
      </c>
      <c r="H907" s="3">
        <f t="shared" si="4"/>
        <v>0.5532904149</v>
      </c>
      <c r="I907" s="4">
        <f>IFERROR(__xludf.DUMMYFUNCTION("GOOGLEFINANCE(""CURRENCY:INRBRL"")*F907"),74.53822517719999)</f>
        <v>74.53822518</v>
      </c>
      <c r="J907" s="1">
        <v>4.5</v>
      </c>
      <c r="K907" s="1">
        <v>4598.0</v>
      </c>
      <c r="L907" s="1" t="s">
        <v>3421</v>
      </c>
      <c r="M907" s="6" t="s">
        <v>3422</v>
      </c>
      <c r="N907" s="7" t="str">
        <f>VLOOKUP(A907, avaliacoes!A:G, 5, FALSE)</f>
        <v>value for money,Great Product,Best charger,Genuine charger at a low price,Genuine and Good,It's Orginal Lenovo charger.. Should buy it,Same as original,Amazing charger , giving good charging in limited time. It really worth and nice product.</v>
      </c>
      <c r="O907" s="7" t="str">
        <f>VLOOKUP(A907, avaliacoes!A:G, 6, FALSE)</f>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v>
      </c>
    </row>
    <row r="908">
      <c r="A908" s="1" t="s">
        <v>3423</v>
      </c>
      <c r="B908" s="1" t="s">
        <v>3424</v>
      </c>
      <c r="C908" s="1" t="s">
        <v>3425</v>
      </c>
      <c r="D908" s="1" t="str">
        <f t="shared" si="2"/>
        <v>Computers&amp;Accessories</v>
      </c>
      <c r="E908" s="1" t="str">
        <f t="shared" si="3"/>
        <v>Accessories&amp;Peripherals</v>
      </c>
      <c r="F908" s="2">
        <v>649.0</v>
      </c>
      <c r="G908" s="2">
        <v>999.0</v>
      </c>
      <c r="H908" s="3">
        <f t="shared" si="4"/>
        <v>0.3503503504</v>
      </c>
      <c r="I908" s="4">
        <f>IFERROR(__xludf.DUMMYFUNCTION("GOOGLEFINANCE(""CURRENCY:INRBRL"")*F908"),38.7312314972)</f>
        <v>38.7312315</v>
      </c>
      <c r="J908" s="1">
        <v>4.5</v>
      </c>
      <c r="K908" s="1">
        <v>7222.0</v>
      </c>
      <c r="L908" s="1" t="s">
        <v>3426</v>
      </c>
      <c r="M908" s="6" t="s">
        <v>3427</v>
      </c>
      <c r="N908" s="7" t="str">
        <f>VLOOKUP(A908, avaliacoes!A:G, 5, FALSE)</f>
        <v>Headset,Overall a good product. Sound quality and mic quality is quite satisfactory,An ordinary headphone, though its from HP,hp headphone,Sound quality is good.,It’s okay,It is Good product,Issuebin incomming voice</v>
      </c>
      <c r="O908" s="7" t="str">
        <f>VLOOKUP(A908, avaliacoes!A:G, 6, FALSE)</f>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v>
      </c>
    </row>
    <row r="909">
      <c r="A909" s="1" t="s">
        <v>3428</v>
      </c>
      <c r="B909" s="1" t="s">
        <v>3429</v>
      </c>
      <c r="C909" s="1" t="s">
        <v>3430</v>
      </c>
      <c r="D909" s="1" t="str">
        <f t="shared" si="2"/>
        <v>Computers&amp;Accessories</v>
      </c>
      <c r="E909" s="1" t="str">
        <f t="shared" si="3"/>
        <v>Accessories&amp;Peripherals</v>
      </c>
      <c r="F909" s="2">
        <v>2649.0</v>
      </c>
      <c r="G909" s="2">
        <v>3499.0</v>
      </c>
      <c r="H909" s="3">
        <f t="shared" si="4"/>
        <v>0.2429265504</v>
      </c>
      <c r="I909" s="4">
        <f>IFERROR(__xludf.DUMMYFUNCTION("GOOGLEFINANCE(""CURRENCY:INRBRL"")*F909"),158.0878770972)</f>
        <v>158.0878771</v>
      </c>
      <c r="J909" s="1">
        <v>4.51</v>
      </c>
      <c r="K909" s="1">
        <v>1271.0</v>
      </c>
      <c r="L909" s="1" t="s">
        <v>3431</v>
      </c>
      <c r="M909" s="6" t="s">
        <v>3432</v>
      </c>
      <c r="N909" s="7" t="str">
        <f>VLOOKUP(A909, avaliacoes!A:G, 5, FALSE)</f>
        <v>Best Budget Mechanical Gaming Keyboard Period!,AMAZING KEYBOARD! Premium, Affordable and neat layout.,Pretty good for basics,Value for money,  not very fancy but subtle!,Good keyboard but,My first mechanical keyboard!,Best mechanical keyboard,Modding is So easy!!</v>
      </c>
      <c r="O909" s="7" t="str">
        <f>VLOOKUP(A909, avaliacoes!A:G, 6, FALSE)</f>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v>
      </c>
    </row>
    <row r="910">
      <c r="A910" s="1" t="s">
        <v>240</v>
      </c>
      <c r="B910" s="1" t="s">
        <v>241</v>
      </c>
      <c r="C910" s="1" t="s">
        <v>21</v>
      </c>
      <c r="D910" s="1" t="str">
        <f t="shared" si="2"/>
        <v>Computers&amp;Accessories</v>
      </c>
      <c r="E910" s="1" t="str">
        <f t="shared" si="3"/>
        <v>Accessories&amp;Peripherals</v>
      </c>
      <c r="F910" s="2">
        <v>199.0</v>
      </c>
      <c r="G910" s="2">
        <v>349.0</v>
      </c>
      <c r="H910" s="3">
        <f t="shared" si="4"/>
        <v>0.4297994269</v>
      </c>
      <c r="I910" s="4">
        <f>IFERROR(__xludf.DUMMYFUNCTION("GOOGLEFINANCE(""CURRENCY:INRBRL"")*F910"),11.8759862372)</f>
        <v>11.87598624</v>
      </c>
      <c r="J910" s="1">
        <v>4.49</v>
      </c>
      <c r="K910" s="1">
        <v>314.0</v>
      </c>
      <c r="L910" s="1" t="s">
        <v>242</v>
      </c>
      <c r="M910" s="6" t="s">
        <v>3433</v>
      </c>
      <c r="N910" s="7" t="str">
        <f>VLOOKUP(A910, avaliacoes!A:G, 5, FALSE)</f>
        <v>Good product,Strong and powerful,Useful product.,Very nice 👌 👍 product,Good 👍🏻,Good,USB,Strong buid , study design , charging speed ☹️</v>
      </c>
      <c r="O910" s="7" t="str">
        <f>VLOOKUP(A910, avaliacoes!A:G, 6, FALSE)</f>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v>
      </c>
    </row>
    <row r="911">
      <c r="A911" s="1" t="s">
        <v>3434</v>
      </c>
      <c r="B911" s="1" t="s">
        <v>3435</v>
      </c>
      <c r="C911" s="1" t="s">
        <v>2443</v>
      </c>
      <c r="D911" s="1" t="str">
        <f t="shared" si="2"/>
        <v>Computers&amp;Accessories</v>
      </c>
      <c r="E911" s="1" t="str">
        <f t="shared" si="3"/>
        <v>Printers,Inks&amp;Accessories</v>
      </c>
      <c r="F911" s="2">
        <v>596.0</v>
      </c>
      <c r="G911" s="2">
        <v>723.0</v>
      </c>
      <c r="H911" s="3">
        <f t="shared" si="4"/>
        <v>0.1756569848</v>
      </c>
      <c r="I911" s="4">
        <f>IFERROR(__xludf.DUMMYFUNCTION("GOOGLEFINANCE(""CURRENCY:INRBRL"")*F911"),35.5682803888)</f>
        <v>35.56828039</v>
      </c>
      <c r="J911" s="1">
        <v>4.5</v>
      </c>
      <c r="K911" s="1">
        <v>3219.0</v>
      </c>
      <c r="L911" s="1" t="s">
        <v>3436</v>
      </c>
      <c r="M911" s="6" t="s">
        <v>3437</v>
      </c>
      <c r="N911" s="7" t="str">
        <f>VLOOKUP(A911, avaliacoes!A:G, 5, FALSE)</f>
        <v>Gets the job done 👍👍👍,Original product,Good,THe ink is not full to the brim,Original cartridges,Nice,Excellent refill ink - original quality,Low quantity</v>
      </c>
      <c r="O911" s="7" t="str">
        <f>VLOOKUP(A911, avaliacoes!A:G, 6, FALSE)</f>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v>
      </c>
    </row>
    <row r="912">
      <c r="A912" s="1" t="s">
        <v>3438</v>
      </c>
      <c r="B912" s="1" t="s">
        <v>3439</v>
      </c>
      <c r="C912" s="1" t="s">
        <v>1356</v>
      </c>
      <c r="D912" s="1" t="str">
        <f t="shared" si="2"/>
        <v>Electronics</v>
      </c>
      <c r="E912" s="1" t="str">
        <f t="shared" si="3"/>
        <v>WearableTechnology</v>
      </c>
      <c r="F912" s="2">
        <v>2499.0</v>
      </c>
      <c r="G912" s="2">
        <v>2649.0</v>
      </c>
      <c r="H912" s="3">
        <f t="shared" si="4"/>
        <v>0.05662514156</v>
      </c>
      <c r="I912" s="4">
        <f>IFERROR(__xludf.DUMMYFUNCTION("GOOGLEFINANCE(""CURRENCY:INRBRL"")*F912"),149.1361286772)</f>
        <v>149.1361287</v>
      </c>
      <c r="J912" s="1">
        <v>4.49</v>
      </c>
      <c r="K912" s="1">
        <v>38879.0</v>
      </c>
      <c r="L912" s="1" t="s">
        <v>3440</v>
      </c>
      <c r="M912" s="6" t="s">
        <v>3441</v>
      </c>
      <c r="N912" s="7" t="str">
        <f>VLOOKUP(A912, avaliacoes!A:G, 5, FALSE)</f>
        <v>Budget friendly watch,Good product at this price range,Ok,Satisfied,Watch ⌚️ Review,Nice,Display touch was good but screen bazales is too much,Nice watch under 2000</v>
      </c>
      <c r="O912" s="7" t="str">
        <f>VLOOKUP(A912, avaliacoes!A:G, 6, FALSE)</f>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v>
      </c>
    </row>
    <row r="913">
      <c r="A913" s="1" t="s">
        <v>3442</v>
      </c>
      <c r="B913" s="1" t="s">
        <v>3443</v>
      </c>
      <c r="C913" s="1" t="s">
        <v>3444</v>
      </c>
      <c r="D913" s="1" t="str">
        <f t="shared" si="2"/>
        <v>Electronics</v>
      </c>
      <c r="E913" s="1" t="str">
        <f t="shared" si="3"/>
        <v>HomeAudio</v>
      </c>
      <c r="F913" s="2">
        <v>4999.0</v>
      </c>
      <c r="G913" s="2">
        <v>12499.0</v>
      </c>
      <c r="H913" s="3">
        <f t="shared" si="4"/>
        <v>0.6000480038</v>
      </c>
      <c r="I913" s="4">
        <f>IFERROR(__xludf.DUMMYFUNCTION("GOOGLEFINANCE(""CURRENCY:INRBRL"")*F913"),298.33193567719997)</f>
        <v>298.3319357</v>
      </c>
      <c r="J913" s="1">
        <v>4.5</v>
      </c>
      <c r="K913" s="1">
        <v>4541.0</v>
      </c>
      <c r="L913" s="1" t="s">
        <v>3445</v>
      </c>
      <c r="M913" s="6" t="s">
        <v>3446</v>
      </c>
      <c r="N913" s="7" t="str">
        <f>VLOOKUP(A913, avaliacoes!A:G, 5, FALSE)</f>
        <v>Value for Money product,I didn't receive adaptor with my speakers..I'm disappointed,Sound,I can't AUX mode service,Good,Sound best Quality.,Very good,So sweet sound but subwoofer not good</v>
      </c>
      <c r="O913" s="7" t="str">
        <f>VLOOKUP(A913, avaliacoes!A:G, 6, FALSE)</f>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v>
      </c>
    </row>
    <row r="914">
      <c r="A914" s="1" t="s">
        <v>3447</v>
      </c>
      <c r="B914" s="1" t="s">
        <v>3448</v>
      </c>
      <c r="C914" s="1" t="s">
        <v>1411</v>
      </c>
      <c r="D914" s="1" t="str">
        <f t="shared" si="2"/>
        <v>Electronics</v>
      </c>
      <c r="E914" s="1" t="str">
        <f t="shared" si="3"/>
        <v>Headphones,Earbuds&amp;Accessories</v>
      </c>
      <c r="F914" s="2">
        <v>399.0</v>
      </c>
      <c r="G914" s="2">
        <v>1299.0</v>
      </c>
      <c r="H914" s="3">
        <f t="shared" si="4"/>
        <v>0.6928406467</v>
      </c>
      <c r="I914" s="4">
        <f>IFERROR(__xludf.DUMMYFUNCTION("GOOGLEFINANCE(""CURRENCY:INRBRL"")*F914"),23.8116507972)</f>
        <v>23.8116508</v>
      </c>
      <c r="J914" s="1">
        <v>4.5</v>
      </c>
      <c r="K914" s="1">
        <v>76042.0</v>
      </c>
      <c r="L914" s="1" t="s">
        <v>3449</v>
      </c>
      <c r="M914" s="6" t="s">
        <v>3450</v>
      </c>
      <c r="N914" s="7" t="str">
        <f>VLOOKUP(A914, avaliacoes!A:G, 5, FALSE)</f>
        <v>Sound and Bass,It's very nice,Good quality earphones,Best 👍,Super,Good,Good quality at that price,Sounds good and looks good</v>
      </c>
      <c r="O914" s="7" t="str">
        <f>VLOOKUP(A914, avaliacoes!A:G, 6, FALSE)</f>
        <v>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v>
      </c>
    </row>
    <row r="915">
      <c r="A915" s="1" t="s">
        <v>3451</v>
      </c>
      <c r="B915" s="1" t="s">
        <v>3452</v>
      </c>
      <c r="C915" s="1" t="s">
        <v>3412</v>
      </c>
      <c r="D915" s="1" t="str">
        <f t="shared" si="2"/>
        <v>Electronics</v>
      </c>
      <c r="E915" s="1" t="str">
        <f t="shared" si="3"/>
        <v>#VALUE!</v>
      </c>
      <c r="F915" s="2">
        <v>116.0</v>
      </c>
      <c r="G915" s="2">
        <v>200.0</v>
      </c>
      <c r="H915" s="3">
        <f t="shared" si="4"/>
        <v>0.42</v>
      </c>
      <c r="I915" s="4">
        <f>IFERROR(__xludf.DUMMYFUNCTION("GOOGLEFINANCE(""CURRENCY:INRBRL"")*F915"),6.9226854448)</f>
        <v>6.922685445</v>
      </c>
      <c r="J915" s="1">
        <v>4.5</v>
      </c>
      <c r="K915" s="1">
        <v>485.0</v>
      </c>
      <c r="L915" s="1" t="s">
        <v>3453</v>
      </c>
      <c r="M915" s="6" t="s">
        <v>3454</v>
      </c>
      <c r="N915" s="7" t="str">
        <f>VLOOKUP(A915, avaliacoes!A:G, 5, FALSE)</f>
        <v>Good product 👌,5 bati,Charge seems to be very low.,Good batteries.,working fine with my car remote,Original Duracell,Great,SANTOSH PRASAD</v>
      </c>
      <c r="O915" s="7" t="str">
        <f>VLOOKUP(A915, avaliacoes!A:G, 6, FALSE)</f>
        <v>👌,1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v>
      </c>
    </row>
    <row r="916">
      <c r="A916" s="1" t="s">
        <v>3455</v>
      </c>
      <c r="B916" s="1" t="s">
        <v>3456</v>
      </c>
      <c r="C916" s="1" t="s">
        <v>2720</v>
      </c>
      <c r="D916" s="1" t="str">
        <f t="shared" si="2"/>
        <v>Electronics</v>
      </c>
      <c r="E916" s="1" t="str">
        <f t="shared" si="3"/>
        <v>Cameras&amp;Photography</v>
      </c>
      <c r="F916" s="2">
        <v>4499.0</v>
      </c>
      <c r="G916" s="2">
        <v>5999.0</v>
      </c>
      <c r="H916" s="3">
        <f t="shared" si="4"/>
        <v>0.2500416736</v>
      </c>
      <c r="I916" s="4">
        <f>IFERROR(__xludf.DUMMYFUNCTION("GOOGLEFINANCE(""CURRENCY:INRBRL"")*F916"),268.4927742772)</f>
        <v>268.4927743</v>
      </c>
      <c r="J916" s="1">
        <v>4.5</v>
      </c>
      <c r="K916" s="1">
        <v>44696.0</v>
      </c>
      <c r="L916" s="1" t="s">
        <v>3457</v>
      </c>
      <c r="M916" s="6" t="s">
        <v>3458</v>
      </c>
      <c r="N916" s="7" t="str">
        <f>VLOOKUP(A916, avaliacoes!A:G, 5, FALSE)</f>
        <v>Pathetic amazon delivery service,Decent Indoor Security Camera,Camera used by me,Other than initial hiccups, some (Mi Home app) software bugs, it is good for monitoring!,Works well,Nice camera but motion censor doesn't work,Good,Not up to mark</v>
      </c>
      <c r="O916" s="7" t="str">
        <f>VLOOKUP(A916, avaliacoes!A:G, 6, FALSE)</f>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v>
      </c>
    </row>
    <row r="917">
      <c r="A917" s="1" t="s">
        <v>3459</v>
      </c>
      <c r="B917" s="1" t="s">
        <v>3460</v>
      </c>
      <c r="C917" s="1" t="s">
        <v>2806</v>
      </c>
      <c r="D917" s="1" t="str">
        <f t="shared" si="2"/>
        <v>Computers&amp;Accessories</v>
      </c>
      <c r="E917" s="1" t="str">
        <f t="shared" si="3"/>
        <v>Accessories&amp;Peripherals</v>
      </c>
      <c r="F917" s="2">
        <v>330.0</v>
      </c>
      <c r="G917" s="2">
        <v>499.0</v>
      </c>
      <c r="H917" s="3">
        <f t="shared" si="4"/>
        <v>0.3386773547</v>
      </c>
      <c r="I917" s="4">
        <f>IFERROR(__xludf.DUMMYFUNCTION("GOOGLEFINANCE(""CURRENCY:INRBRL"")*F917"),19.693846523999998)</f>
        <v>19.69384652</v>
      </c>
      <c r="J917" s="1">
        <v>4.51</v>
      </c>
      <c r="K917" s="1">
        <v>8566.0</v>
      </c>
      <c r="L917" s="1" t="s">
        <v>3461</v>
      </c>
      <c r="M917" s="6" t="s">
        <v>3462</v>
      </c>
      <c r="N917" s="7" t="str">
        <f>VLOOKUP(A917, avaliacoes!A:G, 5, FALSE)</f>
        <v>Good,Quality and compatibility are justified the price,Okay product,Zeb 100 4ports,Not used at all,Value for money,Good,Worth full</v>
      </c>
      <c r="O917" s="7" t="str">
        <f>VLOOKUP(A917, avaliacoes!A:G, 6, FALSE)</f>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v>
      </c>
    </row>
    <row r="918">
      <c r="A918" s="1" t="s">
        <v>3463</v>
      </c>
      <c r="B918" s="1" t="s">
        <v>3464</v>
      </c>
      <c r="C918" s="1" t="s">
        <v>2527</v>
      </c>
      <c r="D918" s="1" t="str">
        <f t="shared" si="2"/>
        <v>Electronics</v>
      </c>
      <c r="E918" s="1" t="str">
        <f t="shared" si="3"/>
        <v>Headphones,Earbuds&amp;Accessories</v>
      </c>
      <c r="F918" s="2">
        <v>649.0</v>
      </c>
      <c r="G918" s="2">
        <v>2499.0</v>
      </c>
      <c r="H918" s="3">
        <f t="shared" si="4"/>
        <v>0.7402961184</v>
      </c>
      <c r="I918" s="4">
        <f>IFERROR(__xludf.DUMMYFUNCTION("GOOGLEFINANCE(""CURRENCY:INRBRL"")*F918"),38.7312314972)</f>
        <v>38.7312315</v>
      </c>
      <c r="J918" s="1">
        <v>4.52</v>
      </c>
      <c r="K918" s="1">
        <v>13049.0</v>
      </c>
      <c r="L918" s="1" t="s">
        <v>3465</v>
      </c>
      <c r="M918" s="6" t="s">
        <v>3466</v>
      </c>
      <c r="N918" s="7" t="str">
        <f>VLOOKUP(A918, avaliacoes!A:G, 5, FALSE)</f>
        <v>Waste of money,Best in this price range,Detailed Review &amp; Pros and Cons !!!,badhiya,Best Wired Headphones For Watching Movies And Online Classes,Very noise,Average quality,Nice experience in this headphone</v>
      </c>
      <c r="O918" s="7" t="str">
        <f>VLOOKUP(A918, avaliacoes!A:G, 6, FALSE)</f>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v>
      </c>
    </row>
    <row r="919">
      <c r="A919" s="1" t="s">
        <v>3467</v>
      </c>
      <c r="B919" s="1" t="s">
        <v>3468</v>
      </c>
      <c r="C919" s="1" t="s">
        <v>2761</v>
      </c>
      <c r="D919" s="1" t="str">
        <f t="shared" si="2"/>
        <v>Computers&amp;Accessories</v>
      </c>
      <c r="E919" s="1" t="str">
        <f t="shared" si="3"/>
        <v>Accessories&amp;Peripherals</v>
      </c>
      <c r="F919" s="2">
        <v>1234.0</v>
      </c>
      <c r="G919" s="2">
        <v>1599.0</v>
      </c>
      <c r="H919" s="3">
        <f t="shared" si="4"/>
        <v>0.2282676673</v>
      </c>
      <c r="I919" s="4">
        <f>IFERROR(__xludf.DUMMYFUNCTION("GOOGLEFINANCE(""CURRENCY:INRBRL"")*F919"),73.6430503352)</f>
        <v>73.64305034</v>
      </c>
      <c r="J919" s="1">
        <v>4.51</v>
      </c>
      <c r="K919" s="1">
        <v>1668.0</v>
      </c>
      <c r="L919" s="1" t="s">
        <v>3469</v>
      </c>
      <c r="M919" s="6" t="s">
        <v>3470</v>
      </c>
      <c r="N919" s="7" t="str">
        <f>VLOOKUP(A919, avaliacoes!A:G, 5, FALSE)</f>
        <v>Good product, set quickly on screen.,Go for it,Quality is Awesome,Seems okay,Good product,fingerprint magnet, great value for money though,Good,Simple to install and you get 2 of them, making it affordable price</v>
      </c>
      <c r="O919" s="7" t="str">
        <f>VLOOKUP(A919, avaliacoes!A:G, 6, FALSE)</f>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v>
      </c>
    </row>
    <row r="920">
      <c r="A920" s="1" t="s">
        <v>2075</v>
      </c>
      <c r="B920" s="1" t="s">
        <v>2076</v>
      </c>
      <c r="C920" s="1" t="s">
        <v>2077</v>
      </c>
      <c r="D920" s="1" t="str">
        <f t="shared" si="2"/>
        <v>Electronics</v>
      </c>
      <c r="E920" s="1" t="str">
        <f t="shared" si="3"/>
        <v>Headphones,Earbuds&amp;Accessories</v>
      </c>
      <c r="F920" s="2">
        <v>1399.0</v>
      </c>
      <c r="G920" s="2">
        <v>2999.0</v>
      </c>
      <c r="H920" s="3">
        <f t="shared" si="4"/>
        <v>0.5335111704</v>
      </c>
      <c r="I920" s="4">
        <f>IFERROR(__xludf.DUMMYFUNCTION("GOOGLEFINANCE(""CURRENCY:INRBRL"")*F920"),83.48997359719999)</f>
        <v>83.4899736</v>
      </c>
      <c r="J920" s="1">
        <v>4.49</v>
      </c>
      <c r="K920" s="1">
        <v>97174.0</v>
      </c>
      <c r="L920" s="1" t="s">
        <v>2078</v>
      </c>
      <c r="M920" s="6" t="s">
        <v>3471</v>
      </c>
      <c r="N920" s="7" t="str">
        <f>VLOOKUP(A920, avaliacoes!A:G, 5, FALSE)</f>
        <v>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v>
      </c>
      <c r="O920" s="7" t="str">
        <f>VLOOKUP(A920, avaliacoes!A:G, 6, FALSE)</f>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v>
      </c>
    </row>
    <row r="921">
      <c r="A921" s="1" t="s">
        <v>3472</v>
      </c>
      <c r="B921" s="1" t="s">
        <v>3473</v>
      </c>
      <c r="C921" s="1" t="s">
        <v>3222</v>
      </c>
      <c r="D921" s="1" t="str">
        <f t="shared" si="2"/>
        <v>OfficeProducts</v>
      </c>
      <c r="E921" s="1" t="str">
        <f t="shared" si="3"/>
        <v>OfficePaperProducts</v>
      </c>
      <c r="F921" s="2">
        <v>272.0</v>
      </c>
      <c r="G921" s="2">
        <v>320.0</v>
      </c>
      <c r="H921" s="3">
        <f t="shared" si="4"/>
        <v>0.15</v>
      </c>
      <c r="I921" s="4">
        <f>IFERROR(__xludf.DUMMYFUNCTION("GOOGLEFINANCE(""CURRENCY:INRBRL"")*F921"),16.2325038016)</f>
        <v>16.2325038</v>
      </c>
      <c r="J921" s="1">
        <v>4.0</v>
      </c>
      <c r="K921" s="1">
        <v>3686.0</v>
      </c>
      <c r="L921" s="1" t="s">
        <v>3474</v>
      </c>
      <c r="M921" s="6" t="s">
        <v>3475</v>
      </c>
      <c r="N921" s="7" t="str">
        <f>VLOOKUP(A921, avaliacoes!A:G, 5, FALSE)</f>
        <v>Ok,Like all other ball pens,Regular pen over priced,Nice,It is fine.,Awful blue ink,Nice and my Favorite Pen,Reasonable price</v>
      </c>
      <c r="O921" s="7" t="str">
        <f>VLOOKUP(A921, avaliacoes!A:G, 6, FALSE)</f>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v>
      </c>
    </row>
    <row r="922">
      <c r="A922" s="1" t="s">
        <v>3476</v>
      </c>
      <c r="B922" s="1" t="s">
        <v>3477</v>
      </c>
      <c r="C922" s="1" t="s">
        <v>3478</v>
      </c>
      <c r="D922" s="1" t="str">
        <f t="shared" si="2"/>
        <v>Electronics</v>
      </c>
      <c r="E922" s="1" t="str">
        <f t="shared" si="3"/>
        <v>Headphones,Earbuds&amp;Accessories</v>
      </c>
      <c r="F922" s="2">
        <v>99.0</v>
      </c>
      <c r="G922" s="2">
        <v>999.0</v>
      </c>
      <c r="H922" s="3">
        <f t="shared" si="4"/>
        <v>0.9009009009</v>
      </c>
      <c r="I922" s="4">
        <f>IFERROR(__xludf.DUMMYFUNCTION("GOOGLEFINANCE(""CURRENCY:INRBRL"")*F922"),5.9081539572)</f>
        <v>5.908153957</v>
      </c>
      <c r="J922" s="1">
        <v>4.51</v>
      </c>
      <c r="K922" s="1">
        <v>594.0</v>
      </c>
      <c r="L922" s="1" t="s">
        <v>3479</v>
      </c>
      <c r="M922" s="6" t="s">
        <v>3480</v>
      </c>
      <c r="N922" s="7" t="str">
        <f>VLOOKUP(A922, avaliacoes!A:G, 5, FALSE)</f>
        <v>If this is M what is S,Only Better for neckband, earphones not for TWSs!,Nice value for money,Snug fit for Oppo Enco M31,Restored my old Jabra Headset with this new caps,Does what's intended,Gets The Job Done!!,Value for money.</v>
      </c>
      <c r="O922" s="7" t="str">
        <f>VLOOKUP(A922, avaliacoes!A:G, 6, FALSE)</f>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v>
      </c>
    </row>
    <row r="923">
      <c r="A923" s="1" t="s">
        <v>3481</v>
      </c>
      <c r="B923" s="1" t="s">
        <v>3482</v>
      </c>
      <c r="C923" s="1" t="s">
        <v>3483</v>
      </c>
      <c r="D923" s="1" t="str">
        <f t="shared" si="2"/>
        <v>Computers&amp;Accessories</v>
      </c>
      <c r="E923" s="1" t="str">
        <f t="shared" si="3"/>
        <v>Printers,Inks&amp;Accessories</v>
      </c>
      <c r="F923" s="2">
        <v>3498.0</v>
      </c>
      <c r="G923" s="2">
        <v>3875.0</v>
      </c>
      <c r="H923" s="3">
        <f t="shared" si="4"/>
        <v>0.09729032258</v>
      </c>
      <c r="I923" s="4">
        <f>IFERROR(__xludf.DUMMYFUNCTION("GOOGLEFINANCE(""CURRENCY:INRBRL"")*F923"),208.7547731544)</f>
        <v>208.7547732</v>
      </c>
      <c r="J923" s="1">
        <v>4.5</v>
      </c>
      <c r="K923" s="1">
        <v>12185.0</v>
      </c>
      <c r="L923" s="1" t="s">
        <v>3484</v>
      </c>
      <c r="M923" s="6" t="s">
        <v>3485</v>
      </c>
      <c r="N923" s="7" t="str">
        <f>VLOOKUP(A923, avaliacoes!A:G, 5, FALSE)</f>
        <v>not sure if this is a new product or a used one that was delivered to me,Good product,Ink issue,Overall good product , need to wait and watch on the ink consumption rate,Very Nice 🙂👍,Good,Printer is good, but inkjets become dry too fast,Good product</v>
      </c>
      <c r="O923" s="7" t="str">
        <f>VLOOKUP(A923, avaliacoes!A:G, 6, FALSE)</f>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v>
      </c>
    </row>
    <row r="924">
      <c r="A924" s="1" t="s">
        <v>3486</v>
      </c>
      <c r="B924" s="1" t="s">
        <v>3487</v>
      </c>
      <c r="C924" s="1" t="s">
        <v>2683</v>
      </c>
      <c r="D924" s="1" t="str">
        <f t="shared" si="2"/>
        <v>Computers&amp;Accessories</v>
      </c>
      <c r="E924" s="1" t="str">
        <f t="shared" si="3"/>
        <v>Monitors</v>
      </c>
      <c r="F924" s="2">
        <v>10099.0</v>
      </c>
      <c r="G924" s="2">
        <v>19110.0</v>
      </c>
      <c r="H924" s="3">
        <f t="shared" si="4"/>
        <v>0.4715332287</v>
      </c>
      <c r="I924" s="4">
        <f>IFERROR(__xludf.DUMMYFUNCTION("GOOGLEFINANCE(""CURRENCY:INRBRL"")*F924"),602.6913819572)</f>
        <v>602.691382</v>
      </c>
      <c r="J924" s="1">
        <v>4.5</v>
      </c>
      <c r="K924" s="1">
        <v>2623.0</v>
      </c>
      <c r="L924" s="1" t="s">
        <v>3488</v>
      </c>
      <c r="M924" s="6" t="s">
        <v>3489</v>
      </c>
      <c r="N924" s="7" t="str">
        <f>VLOOKUP(A924, avaliacoes!A:G, 5, FALSE)</f>
        <v>Good one,, bright!,Great product altogether,Good but there are better options,Good monitor but bad build quality with some dumb design choices,Very nice👌👌👌👌👌,Overall good. Value for money,Good,Perfect monitor for editing and casual gaming</v>
      </c>
      <c r="O924" s="7" t="str">
        <f>VLOOKUP(A924, avaliacoes!A:G, 6, FALSE)</f>
        <v>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v>
      </c>
    </row>
    <row r="925">
      <c r="A925" s="1" t="s">
        <v>3490</v>
      </c>
      <c r="B925" s="1" t="s">
        <v>3491</v>
      </c>
      <c r="C925" s="1" t="s">
        <v>2849</v>
      </c>
      <c r="D925" s="1" t="str">
        <f t="shared" si="2"/>
        <v>Computers&amp;Accessories</v>
      </c>
      <c r="E925" s="1" t="str">
        <f t="shared" si="3"/>
        <v>Accessories&amp;Peripherals</v>
      </c>
      <c r="F925" s="2">
        <v>449.0</v>
      </c>
      <c r="G925" s="2">
        <v>999.0</v>
      </c>
      <c r="H925" s="3">
        <f t="shared" si="4"/>
        <v>0.5505505506</v>
      </c>
      <c r="I925" s="4">
        <f>IFERROR(__xludf.DUMMYFUNCTION("GOOGLEFINANCE(""CURRENCY:INRBRL"")*F925"),26.795566937199997)</f>
        <v>26.79556694</v>
      </c>
      <c r="J925" s="1">
        <v>4.5</v>
      </c>
      <c r="K925" s="1">
        <v>9701.0</v>
      </c>
      <c r="L925" s="1" t="s">
        <v>3492</v>
      </c>
      <c r="M925" s="6" t="s">
        <v>3493</v>
      </c>
      <c r="N925" s="7" t="str">
        <f>VLOOKUP(A925, avaliacoes!A:G, 5, FALSE)</f>
        <v>Quality is too good,My laptop feels protected 🤣,Quality is Good but should cheaper as per matirial,Nice color and material, confirm the fit you want,Good product,AWESOME PRODUCT AT 2H,Warning - This sleeve is NOT WATERPROOF!!,Good choice under 400</v>
      </c>
      <c r="O925" s="7" t="str">
        <f>VLOOKUP(A925, avaliacoes!A:G, 6, FALSE)</f>
        <v>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v>
      </c>
    </row>
    <row r="926">
      <c r="A926" s="1" t="s">
        <v>3494</v>
      </c>
      <c r="B926" s="1" t="s">
        <v>3495</v>
      </c>
      <c r="C926" s="1" t="s">
        <v>3496</v>
      </c>
      <c r="D926" s="1" t="str">
        <f t="shared" si="2"/>
        <v>Toys&amp;Games</v>
      </c>
      <c r="E926" s="1" t="str">
        <f t="shared" si="3"/>
        <v>Arts&amp;Crafts</v>
      </c>
      <c r="F926" s="2">
        <v>150.0</v>
      </c>
      <c r="G926" s="2">
        <v>150.0</v>
      </c>
      <c r="H926" s="3">
        <f t="shared" si="4"/>
        <v>0</v>
      </c>
      <c r="I926" s="4">
        <f>IFERROR(__xludf.DUMMYFUNCTION("GOOGLEFINANCE(""CURRENCY:INRBRL"")*F926"),8.95174842)</f>
        <v>8.95174842</v>
      </c>
      <c r="J926" s="1">
        <v>4.5</v>
      </c>
      <c r="K926" s="1">
        <v>15867.0</v>
      </c>
      <c r="L926" s="1" t="s">
        <v>3497</v>
      </c>
      <c r="M926" s="6" t="s">
        <v>3498</v>
      </c>
      <c r="N926" s="7" t="str">
        <f>VLOOKUP(A926, avaliacoes!A:G, 5, FALSE)</f>
        <v>As this was my 2nd order for same product.2nd time jo product aaya uski packing bahut hi kharab thi.,Looks cool and variety of colors.,Good product,very colourfull,Budget friendly,Good one,The are easy to use and are comfortable,Good buy during sale</v>
      </c>
      <c r="O926" s="7" t="str">
        <f>VLOOKUP(A926, avaliacoes!A:G, 6, FALSE)</f>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v>
      </c>
    </row>
    <row r="927">
      <c r="A927" s="1" t="s">
        <v>256</v>
      </c>
      <c r="B927" s="1" t="s">
        <v>257</v>
      </c>
      <c r="C927" s="1" t="s">
        <v>21</v>
      </c>
      <c r="D927" s="1" t="str">
        <f t="shared" si="2"/>
        <v>Computers&amp;Accessories</v>
      </c>
      <c r="E927" s="1" t="str">
        <f t="shared" si="3"/>
        <v>Accessories&amp;Peripherals</v>
      </c>
      <c r="F927" s="2">
        <v>348.0</v>
      </c>
      <c r="G927" s="2">
        <v>1499.0</v>
      </c>
      <c r="H927" s="3">
        <f t="shared" si="4"/>
        <v>0.7678452302</v>
      </c>
      <c r="I927" s="4">
        <f>IFERROR(__xludf.DUMMYFUNCTION("GOOGLEFINANCE(""CURRENCY:INRBRL"")*F927"),20.768056334399997)</f>
        <v>20.76805633</v>
      </c>
      <c r="J927" s="1">
        <v>4.5</v>
      </c>
      <c r="K927" s="1">
        <v>656.0</v>
      </c>
      <c r="L927" s="1" t="s">
        <v>258</v>
      </c>
      <c r="M927" s="6" t="s">
        <v>3499</v>
      </c>
      <c r="N927" s="7" t="str">
        <f>VLOOKUP(A927, avaliacoes!A:G, 5, FALSE)</f>
        <v>Nice,Awesome,Quick not charger🤏,Expensive at this price,Multiple mobile can’t be charged at a time,THIS IS FAST CHARGING ON BOTH MY SAMSUNG PHONES AND IPHONE TOO. Go for it !!,Excellent quality!,CHARGING CABLE</v>
      </c>
      <c r="O927" s="7" t="str">
        <f>VLOOKUP(A927, avaliacoes!A:G, 6, FALSE)</f>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v>
      </c>
    </row>
    <row r="928">
      <c r="A928" s="1" t="s">
        <v>3500</v>
      </c>
      <c r="B928" s="1" t="s">
        <v>3501</v>
      </c>
      <c r="C928" s="1" t="s">
        <v>2522</v>
      </c>
      <c r="D928" s="1" t="str">
        <f t="shared" si="2"/>
        <v>Computers&amp;Accessories</v>
      </c>
      <c r="E928" s="1" t="str">
        <f t="shared" si="3"/>
        <v>NetworkingDevices</v>
      </c>
      <c r="F928" s="2">
        <v>1199.0</v>
      </c>
      <c r="G928" s="2">
        <v>2999.0</v>
      </c>
      <c r="H928" s="3">
        <f t="shared" si="4"/>
        <v>0.6002000667</v>
      </c>
      <c r="I928" s="4">
        <f>IFERROR(__xludf.DUMMYFUNCTION("GOOGLEFINANCE(""CURRENCY:INRBRL"")*F928"),71.5543090372)</f>
        <v>71.55430904</v>
      </c>
      <c r="J928" s="1">
        <v>4.49</v>
      </c>
      <c r="K928" s="1">
        <v>10725.0</v>
      </c>
      <c r="L928" s="1" t="s">
        <v>3502</v>
      </c>
      <c r="M928" s="6" t="s">
        <v>3503</v>
      </c>
      <c r="N928" s="7" t="str">
        <f>VLOOKUP(A928, avaliacoes!A:G, 5, FALSE)</f>
        <v>not perfect,Impressed,1 Major Problem,Good one.,Value for money product for short power cutoffs,Good products,Review,Great choice if you want a wi-fi UPS with good battery backup</v>
      </c>
      <c r="O928" s="7" t="str">
        <f>VLOOKUP(A928, avaliacoes!A:G, 6, FALSE)</f>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v>
      </c>
    </row>
    <row r="929">
      <c r="A929" s="1" t="s">
        <v>3504</v>
      </c>
      <c r="B929" s="1" t="s">
        <v>3505</v>
      </c>
      <c r="C929" s="1" t="s">
        <v>2489</v>
      </c>
      <c r="D929" s="1" t="str">
        <f t="shared" si="2"/>
        <v>Computers&amp;Accessories</v>
      </c>
      <c r="E929" s="1" t="str">
        <f t="shared" si="3"/>
        <v>Accessories&amp;Peripherals</v>
      </c>
      <c r="F929" s="2">
        <v>397.0</v>
      </c>
      <c r="G929" s="2">
        <v>899.0</v>
      </c>
      <c r="H929" s="3">
        <f t="shared" si="4"/>
        <v>0.5583982202</v>
      </c>
      <c r="I929" s="4">
        <f>IFERROR(__xludf.DUMMYFUNCTION("GOOGLEFINANCE(""CURRENCY:INRBRL"")*F929"),23.6922941516)</f>
        <v>23.69229415</v>
      </c>
      <c r="J929" s="1">
        <v>4.0</v>
      </c>
      <c r="K929" s="1">
        <v>3025.0</v>
      </c>
      <c r="L929" s="1" t="s">
        <v>3506</v>
      </c>
      <c r="M929" s="6" t="s">
        <v>3507</v>
      </c>
      <c r="N929" s="7" t="str">
        <f>VLOOKUP(A929, avaliacoes!A:G, 5, FALSE)</f>
        <v>Good at this price,Good product to organize your things,HOLDING CAPACITY,Not a lot of volume inside. Only for cables and tiny objects,Pretty good product for the price (under ₹500),It does it's job , worth the buy at this price,It served my purpose,Quality is not good</v>
      </c>
      <c r="O929" s="7" t="str">
        <f>VLOOKUP(A929, avaliacoes!A:G, 6, FALSE)</f>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v>
      </c>
    </row>
    <row r="930">
      <c r="A930" s="1" t="s">
        <v>260</v>
      </c>
      <c r="B930" s="1" t="s">
        <v>261</v>
      </c>
      <c r="C930" s="1" t="s">
        <v>21</v>
      </c>
      <c r="D930" s="1" t="str">
        <f t="shared" si="2"/>
        <v>Computers&amp;Accessories</v>
      </c>
      <c r="E930" s="1" t="str">
        <f t="shared" si="3"/>
        <v>Accessories&amp;Peripherals</v>
      </c>
      <c r="F930" s="2">
        <v>154.0</v>
      </c>
      <c r="G930" s="2">
        <v>349.0</v>
      </c>
      <c r="H930" s="3">
        <f t="shared" si="4"/>
        <v>0.558739255</v>
      </c>
      <c r="I930" s="4">
        <f>IFERROR(__xludf.DUMMYFUNCTION("GOOGLEFINANCE(""CURRENCY:INRBRL"")*F930"),9.1904617112)</f>
        <v>9.190461711</v>
      </c>
      <c r="J930" s="1">
        <v>4.5</v>
      </c>
      <c r="K930" s="1">
        <v>7064.0</v>
      </c>
      <c r="L930" s="1" t="s">
        <v>262</v>
      </c>
      <c r="M930" s="6" t="s">
        <v>3508</v>
      </c>
      <c r="N930" s="7" t="str">
        <f>VLOOKUP(A930, avaliacoes!A:G, 5, FALSE)</f>
        <v>It's working,It's gud 😳,Cable quality is good.,Durable and Works Well,Good data cable same as shown in pic,Portronics knonnect L 1.2 mtr Micro USB cable,Ok,Great quality</v>
      </c>
      <c r="O930" s="7" t="str">
        <f>VLOOKUP(A930, avaliacoes!A:G, 6, FALSE)</f>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v>
      </c>
    </row>
    <row r="931">
      <c r="A931" s="1" t="s">
        <v>3509</v>
      </c>
      <c r="B931" s="1" t="s">
        <v>3510</v>
      </c>
      <c r="C931" s="1" t="s">
        <v>2766</v>
      </c>
      <c r="D931" s="1" t="str">
        <f t="shared" si="2"/>
        <v>Computers&amp;Accessories</v>
      </c>
      <c r="E931" s="1" t="str">
        <f t="shared" si="3"/>
        <v>Accessories&amp;Peripherals</v>
      </c>
      <c r="F931" s="2">
        <v>699.0</v>
      </c>
      <c r="G931" s="2">
        <v>1499.0</v>
      </c>
      <c r="H931" s="3">
        <f t="shared" si="4"/>
        <v>0.5336891261</v>
      </c>
      <c r="I931" s="4">
        <f>IFERROR(__xludf.DUMMYFUNCTION("GOOGLEFINANCE(""CURRENCY:INRBRL"")*F931"),41.7151476372)</f>
        <v>41.71514764</v>
      </c>
      <c r="J931" s="1">
        <v>4.0</v>
      </c>
      <c r="K931" s="1">
        <v>5736.0</v>
      </c>
      <c r="L931" s="1" t="s">
        <v>3511</v>
      </c>
      <c r="M931" s="6" t="s">
        <v>3512</v>
      </c>
      <c r="N931" s="7" t="str">
        <f>VLOOKUP(A931, avaliacoes!A:G, 5, FALSE)</f>
        <v>Overall it's good. But some keys are hard to press,Good product in this price range,The start button of the controller and select button became defective and stopped working,Decent,Good,Just what I needed!,Great but.,Best controller under 1000</v>
      </c>
      <c r="O931" s="7" t="str">
        <f>VLOOKUP(A931, avaliacoes!A:G, 6, FALSE)</f>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v>
      </c>
    </row>
    <row r="932">
      <c r="A932" s="1" t="s">
        <v>3513</v>
      </c>
      <c r="B932" s="1" t="s">
        <v>3514</v>
      </c>
      <c r="C932" s="1" t="s">
        <v>1411</v>
      </c>
      <c r="D932" s="1" t="str">
        <f t="shared" si="2"/>
        <v>Electronics</v>
      </c>
      <c r="E932" s="1" t="str">
        <f t="shared" si="3"/>
        <v>Headphones,Earbuds&amp;Accessories</v>
      </c>
      <c r="F932" s="2">
        <v>1679.0</v>
      </c>
      <c r="G932" s="2">
        <v>1999.0</v>
      </c>
      <c r="H932" s="3">
        <f t="shared" si="4"/>
        <v>0.16008004</v>
      </c>
      <c r="I932" s="4">
        <f>IFERROR(__xludf.DUMMYFUNCTION("GOOGLEFINANCE(""CURRENCY:INRBRL"")*F932"),100.1999039812)</f>
        <v>100.199904</v>
      </c>
      <c r="J932" s="1">
        <v>4.49</v>
      </c>
      <c r="K932" s="1">
        <v>72563.0</v>
      </c>
      <c r="L932" s="1" t="s">
        <v>3515</v>
      </c>
      <c r="M932" s="6" t="s">
        <v>3516</v>
      </c>
      <c r="N932" s="7" t="str">
        <f>VLOOKUP(A932, avaliacoes!A:G, 5, FALSE)</f>
        <v>Original review 👍realme buds🎧,Please Read The Whole Review For All the Details &amp; Decide Yourself...,Good,Ful HIGHHHHHHHHHHHHHHHH BASE,Amazing,Good</v>
      </c>
      <c r="O932" s="7" t="str">
        <f>VLOOKUP(A932, avaliacoes!A:G, 6, FALSE)</f>
        <v>(Realme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v>
      </c>
    </row>
    <row r="933">
      <c r="A933" s="1" t="s">
        <v>3517</v>
      </c>
      <c r="B933" s="1" t="s">
        <v>3518</v>
      </c>
      <c r="C933" s="1" t="s">
        <v>2274</v>
      </c>
      <c r="D933" s="1" t="str">
        <f t="shared" si="2"/>
        <v>Computers&amp;Accessories</v>
      </c>
      <c r="E933" s="1" t="str">
        <f t="shared" si="3"/>
        <v>Accessories&amp;Peripherals</v>
      </c>
      <c r="F933" s="2">
        <v>354.0</v>
      </c>
      <c r="G933" s="2">
        <v>1499.0</v>
      </c>
      <c r="H933" s="3">
        <f t="shared" si="4"/>
        <v>0.7638425617</v>
      </c>
      <c r="I933" s="4">
        <f>IFERROR(__xludf.DUMMYFUNCTION("GOOGLEFINANCE(""CURRENCY:INRBRL"")*F933"),21.126126271199997)</f>
        <v>21.12612627</v>
      </c>
      <c r="J933" s="1">
        <v>4.0</v>
      </c>
      <c r="K933" s="1">
        <v>1026.0</v>
      </c>
      <c r="L933" s="1" t="s">
        <v>3519</v>
      </c>
      <c r="M933" s="6" t="s">
        <v>3520</v>
      </c>
      <c r="N933" s="7" t="str">
        <f>VLOOKUP(A933, avaliacoes!A:G, 5, FALSE)</f>
        <v>A good buy!,Good item fun to play , Brightness is good if used in proper light,very useful,Average,Good product at this price 👌,Nice,Good quality product,Very good product</v>
      </c>
      <c r="O933" s="7" t="str">
        <f>VLOOKUP(A933, avaliacoes!A:G, 6, FALSE)</f>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v>
      </c>
    </row>
    <row r="934">
      <c r="A934" s="1" t="s">
        <v>3521</v>
      </c>
      <c r="B934" s="1" t="s">
        <v>3522</v>
      </c>
      <c r="C934" s="1" t="s">
        <v>3523</v>
      </c>
      <c r="D934" s="1" t="str">
        <f t="shared" si="2"/>
        <v>Computers&amp;Accessories</v>
      </c>
      <c r="E934" s="1" t="str">
        <f t="shared" si="3"/>
        <v>Accessories&amp;Peripherals</v>
      </c>
      <c r="F934" s="2">
        <v>1199.0</v>
      </c>
      <c r="G934" s="2">
        <v>5499.0</v>
      </c>
      <c r="H934" s="3">
        <f t="shared" si="4"/>
        <v>0.7819603564</v>
      </c>
      <c r="I934" s="4">
        <f>IFERROR(__xludf.DUMMYFUNCTION("GOOGLEFINANCE(""CURRENCY:INRBRL"")*F934"),71.5543090372)</f>
        <v>71.55430904</v>
      </c>
      <c r="J934" s="1">
        <v>4.51</v>
      </c>
      <c r="K934" s="1">
        <v>2043.0</v>
      </c>
      <c r="L934" s="1" t="s">
        <v>3524</v>
      </c>
      <c r="M934" s="6" t="s">
        <v>3525</v>
      </c>
      <c r="N934" s="7" t="str">
        <f>VLOOKUP(A934, avaliacoes!A:G, 5, FALSE)</f>
        <v>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v>
      </c>
      <c r="O934" s="7" t="str">
        <f>VLOOKUP(A934, avaliacoes!A:G, 6, FALSE)</f>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v>
      </c>
    </row>
    <row r="935">
      <c r="A935" s="1" t="s">
        <v>3526</v>
      </c>
      <c r="B935" s="1" t="s">
        <v>3527</v>
      </c>
      <c r="C935" s="1" t="s">
        <v>2761</v>
      </c>
      <c r="D935" s="1" t="str">
        <f t="shared" si="2"/>
        <v>Computers&amp;Accessories</v>
      </c>
      <c r="E935" s="1" t="str">
        <f t="shared" si="3"/>
        <v>Accessories&amp;Peripherals</v>
      </c>
      <c r="F935" s="2">
        <v>379.0</v>
      </c>
      <c r="G935" s="2">
        <v>1499.0</v>
      </c>
      <c r="H935" s="3">
        <f t="shared" si="4"/>
        <v>0.7471647765</v>
      </c>
      <c r="I935" s="4">
        <f>IFERROR(__xludf.DUMMYFUNCTION("GOOGLEFINANCE(""CURRENCY:INRBRL"")*F935"),22.6180843412)</f>
        <v>22.61808434</v>
      </c>
      <c r="J935" s="1">
        <v>4.5</v>
      </c>
      <c r="K935" s="1">
        <v>4149.0</v>
      </c>
      <c r="L935" s="1" t="s">
        <v>3528</v>
      </c>
      <c r="M935" s="6" t="s">
        <v>3529</v>
      </c>
      <c r="N935" s="7" t="str">
        <f>VLOOKUP(A935, avaliacoes!A:G, 5, FALSE)</f>
        <v>Fantastic,Spen works, will protect the screen.,Good,Not smudge proof at all!! But apart from that it's good.,Smooth surface, good protection, easy application.,Good,Goodbye for the tablet but not for the s pen stylus.,1 year of use</v>
      </c>
      <c r="O935" s="7" t="str">
        <f>VLOOKUP(A935, avaliacoes!A:G, 6, FALSE)</f>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v>
      </c>
    </row>
    <row r="936">
      <c r="A936" s="1" t="s">
        <v>3530</v>
      </c>
      <c r="B936" s="1" t="s">
        <v>3531</v>
      </c>
      <c r="C936" s="1" t="s">
        <v>2383</v>
      </c>
      <c r="D936" s="1" t="str">
        <f t="shared" si="2"/>
        <v>Computers&amp;Accessories</v>
      </c>
      <c r="E936" s="1" t="str">
        <f t="shared" si="3"/>
        <v>ExternalDevices&amp;DataStorage</v>
      </c>
      <c r="F936" s="2">
        <v>499.0</v>
      </c>
      <c r="G936" s="2">
        <v>775.0</v>
      </c>
      <c r="H936" s="3">
        <f t="shared" si="4"/>
        <v>0.3561290323</v>
      </c>
      <c r="I936" s="4">
        <f>IFERROR(__xludf.DUMMYFUNCTION("GOOGLEFINANCE(""CURRENCY:INRBRL"")*F936"),29.7794830772)</f>
        <v>29.77948308</v>
      </c>
      <c r="J936" s="1">
        <v>4.5</v>
      </c>
      <c r="K936" s="1">
        <v>74.0</v>
      </c>
      <c r="L936" s="1" t="s">
        <v>3532</v>
      </c>
      <c r="M936" s="6" t="s">
        <v>3533</v>
      </c>
      <c r="N936" s="7" t="str">
        <f>VLOOKUP(A936, avaliacoes!A:G, 5, FALSE)</f>
        <v>awesome,Good product,Product reviews ...,Best in budget,Very good according to price,Nice product data transmission  rate is 80 to 85MB/s,Works well. East to install HDD in this. Will recommend,Very nice product and easy install &amp; use</v>
      </c>
      <c r="O936" s="7" t="str">
        <f>VLOOKUP(A936, avaliacoes!A:G, 6, FALSE)</f>
        <v>good,Good product,Good product ....,Previously I was thinking of buying the Orico one but now I think buying this was a good decision, no cons till now.,* Good build quality* Easy to use* Looks good* Great transfer speed,,Does all it says, Great product for the price.,Nice and value for money</v>
      </c>
    </row>
    <row r="937">
      <c r="A937" s="1" t="s">
        <v>3534</v>
      </c>
      <c r="B937" s="1" t="s">
        <v>3535</v>
      </c>
      <c r="C937" s="1" t="s">
        <v>3536</v>
      </c>
      <c r="D937" s="1" t="str">
        <f t="shared" si="2"/>
        <v>Computers&amp;Accessories</v>
      </c>
      <c r="E937" s="1" t="str">
        <f t="shared" si="3"/>
        <v>ExternalDevices&amp;DataStorage</v>
      </c>
      <c r="F937" s="2">
        <v>10389.0</v>
      </c>
      <c r="G937" s="2">
        <v>31999.0</v>
      </c>
      <c r="H937" s="3">
        <f t="shared" si="4"/>
        <v>0.6753336042</v>
      </c>
      <c r="I937" s="4">
        <f>IFERROR(__xludf.DUMMYFUNCTION("GOOGLEFINANCE(""CURRENCY:INRBRL"")*F937"),619.9980955691999)</f>
        <v>619.9980956</v>
      </c>
      <c r="J937" s="1">
        <v>4.5</v>
      </c>
      <c r="K937" s="1">
        <v>41398.0</v>
      </c>
      <c r="L937" s="1" t="s">
        <v>3537</v>
      </c>
      <c r="M937" s="6" t="s">
        <v>3538</v>
      </c>
      <c r="N937" s="7" t="str">
        <f>VLOOKUP(A937, avaliacoes!A:G, 5, FALSE)</f>
        <v>Awesome speed,Speed in range 7** MBps to 9** MBps on MBP,Handy and fast,Great !,Simply wow,Overprice,very costaly,Speed is fast but....files get corrupt,Does what ot says!</v>
      </c>
      <c r="O937" s="7" t="str">
        <f>VLOOKUP(A937, avaliacoes!A:G, 6, FALSE)</f>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v>
      </c>
    </row>
    <row r="938">
      <c r="A938" s="1" t="s">
        <v>3539</v>
      </c>
      <c r="B938" s="1" t="s">
        <v>3540</v>
      </c>
      <c r="C938" s="1" t="s">
        <v>3195</v>
      </c>
      <c r="D938" s="1" t="str">
        <f t="shared" si="2"/>
        <v>Computers&amp;Accessories</v>
      </c>
      <c r="E938" s="1" t="str">
        <f t="shared" si="3"/>
        <v>Accessories&amp;Peripherals</v>
      </c>
      <c r="F938" s="2">
        <v>649.0</v>
      </c>
      <c r="G938" s="2">
        <v>1299.0</v>
      </c>
      <c r="H938" s="3">
        <f t="shared" si="4"/>
        <v>0.5003849115</v>
      </c>
      <c r="I938" s="4">
        <f>IFERROR(__xludf.DUMMYFUNCTION("GOOGLEFINANCE(""CURRENCY:INRBRL"")*F938"),38.7312314972)</f>
        <v>38.7312315</v>
      </c>
      <c r="J938" s="1">
        <v>4.49</v>
      </c>
      <c r="K938" s="1">
        <v>5195.0</v>
      </c>
      <c r="L938" s="1" t="s">
        <v>3541</v>
      </c>
      <c r="M938" s="6" t="s">
        <v>3542</v>
      </c>
      <c r="N938" s="7" t="str">
        <f>VLOOKUP(A938, avaliacoes!A:G, 5, FALSE)</f>
        <v>A beautiful experience in your budget. The volume controller was new for me but it works as a charm.,USB speakers,Nice for the price,Worth the money,Good product,No disable light feature,Please improve sound quality and more,Better at Price</v>
      </c>
      <c r="O938" s="7" t="str">
        <f>VLOOKUP(A938, avaliacoes!A:G, 6, FALSE)</f>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v>
      </c>
    </row>
    <row r="939">
      <c r="A939" s="1" t="s">
        <v>3543</v>
      </c>
      <c r="B939" s="1" t="s">
        <v>3544</v>
      </c>
      <c r="C939" s="1" t="s">
        <v>3545</v>
      </c>
      <c r="D939" s="1" t="str">
        <f t="shared" si="2"/>
        <v>Computers&amp;Accessories</v>
      </c>
      <c r="E939" s="1" t="str">
        <f t="shared" si="3"/>
        <v>NetworkingDevices</v>
      </c>
      <c r="F939" s="2">
        <v>1199.0</v>
      </c>
      <c r="G939" s="2">
        <v>1999.0</v>
      </c>
      <c r="H939" s="3">
        <f t="shared" si="4"/>
        <v>0.4002001001</v>
      </c>
      <c r="I939" s="4">
        <f>IFERROR(__xludf.DUMMYFUNCTION("GOOGLEFINANCE(""CURRENCY:INRBRL"")*F939"),71.5543090372)</f>
        <v>71.55430904</v>
      </c>
      <c r="J939" s="1">
        <v>4.51</v>
      </c>
      <c r="K939" s="1">
        <v>2242.0</v>
      </c>
      <c r="L939" s="1" t="s">
        <v>3546</v>
      </c>
      <c r="M939" s="6" t="s">
        <v>3547</v>
      </c>
      <c r="N939" s="7" t="str">
        <f>VLOOKUP(A939, avaliacoes!A:G, 5, FALSE)</f>
        <v>Easy to use,Working fine - but errors while using USB and Ethernet adapter together.,Speed is just awesome go for it,Best price to buy,Awesome product,Overall good,Drains battery if you use on smartphones,Excellent product but it has 1 major and 1 minor inconvenience</v>
      </c>
      <c r="O939" s="7" t="str">
        <f>VLOOKUP(A939, avaliacoes!A:G, 6, FALSE)</f>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v>
      </c>
    </row>
    <row r="940">
      <c r="A940" s="1" t="s">
        <v>272</v>
      </c>
      <c r="B940" s="1" t="s">
        <v>273</v>
      </c>
      <c r="C940" s="1" t="s">
        <v>21</v>
      </c>
      <c r="D940" s="1" t="str">
        <f t="shared" si="2"/>
        <v>Computers&amp;Accessories</v>
      </c>
      <c r="E940" s="1" t="str">
        <f t="shared" si="3"/>
        <v>Accessories&amp;Peripherals</v>
      </c>
      <c r="F940" s="2">
        <v>139.0</v>
      </c>
      <c r="G940" s="2">
        <v>999.0</v>
      </c>
      <c r="H940" s="3">
        <f t="shared" si="4"/>
        <v>0.8608608609</v>
      </c>
      <c r="I940" s="4">
        <f>IFERROR(__xludf.DUMMYFUNCTION("GOOGLEFINANCE(""CURRENCY:INRBRL"")*F940"),8.2952868692)</f>
        <v>8.295286869</v>
      </c>
      <c r="J940" s="1">
        <v>4.0</v>
      </c>
      <c r="K940" s="1">
        <v>1313.0</v>
      </c>
      <c r="L940" s="1" t="s">
        <v>274</v>
      </c>
      <c r="M940" s="6" t="s">
        <v>3548</v>
      </c>
      <c r="N940" s="7" t="str">
        <f>VLOOKUP(A940, avaliacoes!A:G, 5, FALSE)</f>
        <v>A well-priced product.,Lenthy cord.,Product is working as expected.,Lengthy cable, works for car dashcam,Product is okay but they give 50rs for giving 5 stars.,Misleading length (1.2m), rest fine,Good Product,Good</v>
      </c>
      <c r="O940" s="7" t="str">
        <f>VLOOKUP(A940, avaliacoes!A:G,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row>
    <row r="941">
      <c r="A941" s="1" t="s">
        <v>3549</v>
      </c>
      <c r="B941" s="1" t="s">
        <v>3550</v>
      </c>
      <c r="C941" s="1" t="s">
        <v>1411</v>
      </c>
      <c r="D941" s="1" t="str">
        <f t="shared" si="2"/>
        <v>Electronics</v>
      </c>
      <c r="E941" s="1" t="str">
        <f t="shared" si="3"/>
        <v>Headphones,Earbuds&amp;Accessories</v>
      </c>
      <c r="F941" s="2">
        <v>889.0</v>
      </c>
      <c r="G941" s="2">
        <v>1999.0</v>
      </c>
      <c r="H941" s="3">
        <f t="shared" si="4"/>
        <v>0.5552776388</v>
      </c>
      <c r="I941" s="4">
        <f>IFERROR(__xludf.DUMMYFUNCTION("GOOGLEFINANCE(""CURRENCY:INRBRL"")*F941"),53.0540289692)</f>
        <v>53.05402897</v>
      </c>
      <c r="J941" s="1">
        <v>4.5</v>
      </c>
      <c r="K941" s="1">
        <v>2284.0</v>
      </c>
      <c r="L941" s="1" t="s">
        <v>3551</v>
      </c>
      <c r="M941" s="6" t="s">
        <v>3552</v>
      </c>
      <c r="N941" s="7" t="str">
        <f>VLOOKUP(A941, avaliacoes!A:G, 5, FALSE)</f>
        <v>Great Customer care experience..!!,Best in budget earbuds with some quality,Extremely high value for money,Worth for money and great listening experience.,Battery backup,A valuable product,So so,Great buy!</v>
      </c>
      <c r="O941" s="7" t="str">
        <f>VLOOKUP(A941, avaliacoes!A:G, 6, FALSE)</f>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v>
      </c>
    </row>
    <row r="942">
      <c r="A942" s="1" t="s">
        <v>3553</v>
      </c>
      <c r="B942" s="1" t="s">
        <v>3554</v>
      </c>
      <c r="C942" s="1" t="s">
        <v>2375</v>
      </c>
      <c r="D942" s="1" t="str">
        <f t="shared" si="2"/>
        <v>Computers&amp;Accessories</v>
      </c>
      <c r="E942" s="1" t="str">
        <f t="shared" si="3"/>
        <v>Accessories&amp;Peripherals</v>
      </c>
      <c r="F942" s="2">
        <v>1409.0</v>
      </c>
      <c r="G942" s="2">
        <v>2199.0</v>
      </c>
      <c r="H942" s="3">
        <f t="shared" si="4"/>
        <v>0.3592542065</v>
      </c>
      <c r="I942" s="4">
        <f>IFERROR(__xludf.DUMMYFUNCTION("GOOGLEFINANCE(""CURRENCY:INRBRL"")*F942"),84.0867568252)</f>
        <v>84.08675683</v>
      </c>
      <c r="J942" s="1">
        <v>4.52</v>
      </c>
      <c r="K942" s="1">
        <v>427.0</v>
      </c>
      <c r="L942" s="1" t="s">
        <v>3555</v>
      </c>
      <c r="M942" s="6" t="s">
        <v>3556</v>
      </c>
      <c r="N942" s="7" t="str">
        <f>VLOOKUP(A942, avaliacoes!A:G, 5, FALSE)</f>
        <v>Good,Excellent quality but mouse is small for my average hand,Very good product,Good combo,Not bad,Okay for this price range,Easy to connect, good looking, value for money, easy to type and click,Good</v>
      </c>
      <c r="O942" s="7" t="str">
        <f>VLOOKUP(A942, avaliacoes!A:G, 6, FALSE)</f>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v>
      </c>
    </row>
    <row r="943">
      <c r="A943" s="1" t="s">
        <v>3557</v>
      </c>
      <c r="B943" s="1" t="s">
        <v>3558</v>
      </c>
      <c r="C943" s="1" t="s">
        <v>3559</v>
      </c>
      <c r="D943" s="1" t="str">
        <f t="shared" si="2"/>
        <v>Computers&amp;Accessories</v>
      </c>
      <c r="E943" s="1" t="str">
        <f t="shared" si="3"/>
        <v>Printers,Inks&amp;Accessories</v>
      </c>
      <c r="F943" s="2">
        <v>549.0</v>
      </c>
      <c r="G943" s="2">
        <v>1999.0</v>
      </c>
      <c r="H943" s="3">
        <f t="shared" si="4"/>
        <v>0.7253626813</v>
      </c>
      <c r="I943" s="4">
        <f>IFERROR(__xludf.DUMMYFUNCTION("GOOGLEFINANCE(""CURRENCY:INRBRL"")*F943"),32.763399217199996)</f>
        <v>32.76339922</v>
      </c>
      <c r="J943" s="1">
        <v>4.5</v>
      </c>
      <c r="K943" s="1">
        <v>1367.0</v>
      </c>
      <c r="L943" s="1" t="s">
        <v>3560</v>
      </c>
      <c r="M943" s="6" t="s">
        <v>3561</v>
      </c>
      <c r="N943" s="7" t="str">
        <f>VLOOKUP(A943, avaliacoes!A:G, 5, FALSE)</f>
        <v>Value for money,Ink,Great,Best in the Market,Value for money,It's Awesome,Very good ink as expected 😊,Very good product</v>
      </c>
      <c r="O943" s="7" t="str">
        <f>VLOOKUP(A943, avaliacoes!A:G, 6, FALSE)</f>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v>
      </c>
    </row>
    <row r="944">
      <c r="A944" s="1" t="s">
        <v>3562</v>
      </c>
      <c r="B944" s="1" t="s">
        <v>3563</v>
      </c>
      <c r="C944" s="1" t="s">
        <v>3523</v>
      </c>
      <c r="D944" s="1" t="str">
        <f t="shared" si="2"/>
        <v>Computers&amp;Accessories</v>
      </c>
      <c r="E944" s="1" t="str">
        <f t="shared" si="3"/>
        <v>Accessories&amp;Peripherals</v>
      </c>
      <c r="F944" s="2">
        <v>749.0</v>
      </c>
      <c r="G944" s="2">
        <v>1799.0</v>
      </c>
      <c r="H944" s="3">
        <f t="shared" si="4"/>
        <v>0.5836575875</v>
      </c>
      <c r="I944" s="4">
        <f>IFERROR(__xludf.DUMMYFUNCTION("GOOGLEFINANCE(""CURRENCY:INRBRL"")*F944"),44.699063777199996)</f>
        <v>44.69906378</v>
      </c>
      <c r="J944" s="1">
        <v>4.0</v>
      </c>
      <c r="K944" s="1">
        <v>13199.0</v>
      </c>
      <c r="L944" s="1" t="s">
        <v>3564</v>
      </c>
      <c r="M944" s="6" t="s">
        <v>3565</v>
      </c>
      <c r="N944" s="7" t="str">
        <f>VLOOKUP(A944, avaliacoes!A:G, 5, FALSE)</f>
        <v>Worthful if offered under 800 INR,Good budget headphone,Excellent headset,Value for money,Not satisfied,The Economical HeadSet,Good Product in Low price,Overall good but not upto the mark</v>
      </c>
      <c r="O944" s="7" t="str">
        <f>VLOOKUP(A944, avaliacoes!A:G, 6, FALSE)</f>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v>
      </c>
    </row>
    <row r="945">
      <c r="A945" s="1" t="s">
        <v>276</v>
      </c>
      <c r="B945" s="1" t="s">
        <v>277</v>
      </c>
      <c r="C945" s="1" t="s">
        <v>21</v>
      </c>
      <c r="D945" s="1" t="str">
        <f t="shared" si="2"/>
        <v>Computers&amp;Accessories</v>
      </c>
      <c r="E945" s="1" t="str">
        <f t="shared" si="3"/>
        <v>Accessories&amp;Peripherals</v>
      </c>
      <c r="F945" s="2">
        <v>329.0</v>
      </c>
      <c r="G945" s="2">
        <v>845.0</v>
      </c>
      <c r="H945" s="3">
        <f t="shared" si="4"/>
        <v>0.6106508876</v>
      </c>
      <c r="I945" s="4">
        <f>IFERROR(__xludf.DUMMYFUNCTION("GOOGLEFINANCE(""CURRENCY:INRBRL"")*F945"),19.634168201199998)</f>
        <v>19.6341682</v>
      </c>
      <c r="J945" s="1">
        <v>4.5</v>
      </c>
      <c r="K945" s="1">
        <v>29746.0</v>
      </c>
      <c r="L945" s="1" t="s">
        <v>278</v>
      </c>
      <c r="M945" s="6" t="s">
        <v>3566</v>
      </c>
      <c r="N945" s="7" t="str">
        <f>VLOOKUP(A945, avaliacoes!A:G, 5, FALSE)</f>
        <v>Its ok product not too good not bad,Cheap and best,Performance,Works well,Not working with Fast Charger,This Type-C cable is awesome😍.,Does not support display,Good</v>
      </c>
      <c r="O945" s="7" t="str">
        <f>VLOOKUP(A945, avaliacoes!A:G,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row>
    <row r="946">
      <c r="A946" s="1" t="s">
        <v>3567</v>
      </c>
      <c r="B946" s="1" t="s">
        <v>3568</v>
      </c>
      <c r="C946" s="1" t="s">
        <v>21</v>
      </c>
      <c r="D946" s="1" t="str">
        <f t="shared" si="2"/>
        <v>Computers&amp;Accessories</v>
      </c>
      <c r="E946" s="1" t="str">
        <f t="shared" si="3"/>
        <v>Accessories&amp;Peripherals</v>
      </c>
      <c r="F946" s="2">
        <v>379.0</v>
      </c>
      <c r="G946" s="2">
        <v>1099.0</v>
      </c>
      <c r="H946" s="3">
        <f t="shared" si="4"/>
        <v>0.6551410373</v>
      </c>
      <c r="I946" s="4">
        <f>IFERROR(__xludf.DUMMYFUNCTION("GOOGLEFINANCE(""CURRENCY:INRBRL"")*F946"),22.6180843412)</f>
        <v>22.61808434</v>
      </c>
      <c r="J946" s="1">
        <v>4.5</v>
      </c>
      <c r="K946" s="1">
        <v>2806.0</v>
      </c>
      <c r="L946" s="1" t="s">
        <v>3569</v>
      </c>
      <c r="M946" s="6" t="s">
        <v>3570</v>
      </c>
      <c r="N946" s="7" t="str">
        <f>VLOOKUP(A946, avaliacoes!A:G, 5, FALSE)</f>
        <v>Good material, fast charging,Costly but good product,Support type c super fast charging,Good quality,Sturdy cable &amp; has decent charging capabilities.,Good buy.,Gud product.,Very good product</v>
      </c>
      <c r="O946" s="7" t="str">
        <f>VLOOKUP(A946, avaliacoes!A:G,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row>
    <row r="947">
      <c r="A947" s="1" t="s">
        <v>3571</v>
      </c>
      <c r="B947" s="1" t="s">
        <v>3572</v>
      </c>
      <c r="C947" s="1" t="s">
        <v>1356</v>
      </c>
      <c r="D947" s="1" t="str">
        <f t="shared" si="2"/>
        <v>Electronics</v>
      </c>
      <c r="E947" s="1" t="str">
        <f t="shared" si="3"/>
        <v>WearableTechnology</v>
      </c>
      <c r="F947" s="2">
        <v>5998.0</v>
      </c>
      <c r="G947" s="2">
        <v>7999.0</v>
      </c>
      <c r="H947" s="3">
        <f t="shared" si="4"/>
        <v>0.2501562695</v>
      </c>
      <c r="I947" s="4">
        <f>IFERROR(__xludf.DUMMYFUNCTION("GOOGLEFINANCE(""CURRENCY:INRBRL"")*F947"),357.9505801544)</f>
        <v>357.9505802</v>
      </c>
      <c r="J947" s="1">
        <v>4.5</v>
      </c>
      <c r="K947" s="1">
        <v>30355.0</v>
      </c>
      <c r="L947" s="1" t="s">
        <v>3573</v>
      </c>
      <c r="M947" s="6" t="s">
        <v>3574</v>
      </c>
      <c r="N947" s="7" t="str">
        <f>VLOOKUP(A947, avaliacoes!A:G, 5, FALSE)</f>
        <v>Not a disappointment, but can be better,IT IS NOT A BAD IDEA TO SPEND YOUR MONEY ON THIS SMART WATCH,Nice quality,Display is awsome,Sleep tracking</v>
      </c>
      <c r="O947" s="7" t="str">
        <f>VLOOKUP(A947, avaliacoes!A:G, 6, FALSE)</f>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v>
      </c>
    </row>
    <row r="948">
      <c r="A948" s="1" t="s">
        <v>3575</v>
      </c>
      <c r="B948" s="1" t="s">
        <v>3576</v>
      </c>
      <c r="C948" s="1" t="s">
        <v>2849</v>
      </c>
      <c r="D948" s="1" t="str">
        <f t="shared" si="2"/>
        <v>Computers&amp;Accessories</v>
      </c>
      <c r="E948" s="1" t="str">
        <f t="shared" si="3"/>
        <v>Accessories&amp;Peripherals</v>
      </c>
      <c r="F948" s="2">
        <v>299.0</v>
      </c>
      <c r="G948" s="2">
        <v>1499.0</v>
      </c>
      <c r="H948" s="3">
        <f t="shared" si="4"/>
        <v>0.8005336891</v>
      </c>
      <c r="I948" s="4">
        <f>IFERROR(__xludf.DUMMYFUNCTION("GOOGLEFINANCE(""CURRENCY:INRBRL"")*F948"),17.8438185172)</f>
        <v>17.84381852</v>
      </c>
      <c r="J948" s="1">
        <v>4.5</v>
      </c>
      <c r="K948" s="1">
        <v>2868.0</v>
      </c>
      <c r="L948" s="1" t="s">
        <v>3577</v>
      </c>
      <c r="M948" s="6" t="s">
        <v>3578</v>
      </c>
      <c r="N948" s="7" t="str">
        <f>VLOOKUP(A948, avaliacoes!A:G, 5, FALSE)</f>
        <v>Ha,Good product,Expensive,Good for price,This is a nice product !!,best quality,Laptop Cover bag,Unbelievable product in this Price Range</v>
      </c>
      <c r="O948" s="7" t="str">
        <f>VLOOKUP(A948, avaliacoes!A:G, 6, FALSE)</f>
        <v>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v>
      </c>
    </row>
    <row r="949">
      <c r="A949" s="1" t="s">
        <v>3579</v>
      </c>
      <c r="B949" s="1" t="s">
        <v>3580</v>
      </c>
      <c r="C949" s="1" t="s">
        <v>2761</v>
      </c>
      <c r="D949" s="1" t="str">
        <f t="shared" si="2"/>
        <v>Computers&amp;Accessories</v>
      </c>
      <c r="E949" s="1" t="str">
        <f t="shared" si="3"/>
        <v>Accessories&amp;Peripherals</v>
      </c>
      <c r="F949" s="2">
        <v>379.0</v>
      </c>
      <c r="G949" s="2">
        <v>1499.0</v>
      </c>
      <c r="H949" s="3">
        <f t="shared" si="4"/>
        <v>0.7471647765</v>
      </c>
      <c r="I949" s="4">
        <f>IFERROR(__xludf.DUMMYFUNCTION("GOOGLEFINANCE(""CURRENCY:INRBRL"")*F949"),22.6180843412)</f>
        <v>22.61808434</v>
      </c>
      <c r="J949" s="1">
        <v>4.49</v>
      </c>
      <c r="K949" s="1">
        <v>670.0</v>
      </c>
      <c r="L949" s="1" t="s">
        <v>3581</v>
      </c>
      <c r="M949" s="6" t="s">
        <v>3582</v>
      </c>
      <c r="N949" s="7" t="str">
        <f>VLOOKUP(A949, avaliacoes!A:G, 5, FALSE)</f>
        <v>Loved it.,Not smudge proof,Nice,Good purchase.,Good screen protector for MI 5 Tab.,glass,Ok for its price but the fitting is just perfect,Poor product and poor resolution to complaint</v>
      </c>
      <c r="O949" s="7" t="str">
        <f>VLOOKUP(A949, avaliacoes!A:G, 6, FALSE)</f>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v>
      </c>
    </row>
    <row r="950">
      <c r="A950" s="1" t="s">
        <v>3583</v>
      </c>
      <c r="B950" s="1" t="s">
        <v>3584</v>
      </c>
      <c r="C950" s="1" t="s">
        <v>3585</v>
      </c>
      <c r="D950" s="1" t="str">
        <f t="shared" si="2"/>
        <v>OfficeProducts</v>
      </c>
      <c r="E950" s="1" t="str">
        <f t="shared" si="3"/>
        <v>OfficePaperProducts</v>
      </c>
      <c r="F950" s="2">
        <v>1399.0</v>
      </c>
      <c r="G950" s="2">
        <v>2999.0</v>
      </c>
      <c r="H950" s="3">
        <f t="shared" si="4"/>
        <v>0.5335111704</v>
      </c>
      <c r="I950" s="4">
        <f>IFERROR(__xludf.DUMMYFUNCTION("GOOGLEFINANCE(""CURRENCY:INRBRL"")*F950"),83.48997359719999)</f>
        <v>83.4899736</v>
      </c>
      <c r="J950" s="1">
        <v>4.5</v>
      </c>
      <c r="K950" s="1">
        <v>353.0</v>
      </c>
      <c r="L950" s="1" t="s">
        <v>3586</v>
      </c>
      <c r="M950" s="6" t="s">
        <v>3587</v>
      </c>
      <c r="N950" s="7" t="str">
        <f>VLOOKUP(A950, avaliacoes!A:G, 5, FALSE)</f>
        <v>Helpful product for students,Nice Product,Very good to write and erased,quite bright but have an excessive thick pointer which makes screen to fill up quick,Good product, struggling with erase button,it takes pressure also,Value for money,Its validity</v>
      </c>
      <c r="O950" s="7" t="str">
        <f>VLOOKUP(A950, avaliacoes!A:G, 6, FALSE)</f>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v>
      </c>
    </row>
    <row r="951">
      <c r="A951" s="1" t="s">
        <v>3588</v>
      </c>
      <c r="B951" s="1" t="s">
        <v>3589</v>
      </c>
      <c r="C951" s="1" t="s">
        <v>3590</v>
      </c>
      <c r="D951" s="1" t="str">
        <f t="shared" si="2"/>
        <v>Electronics</v>
      </c>
      <c r="E951" s="1" t="str">
        <f t="shared" si="3"/>
        <v>Cameras&amp;Photography</v>
      </c>
      <c r="F951" s="2">
        <v>699.0</v>
      </c>
      <c r="G951" s="2">
        <v>1299.0</v>
      </c>
      <c r="H951" s="3">
        <f t="shared" si="4"/>
        <v>0.4618937644</v>
      </c>
      <c r="I951" s="4">
        <f>IFERROR(__xludf.DUMMYFUNCTION("GOOGLEFINANCE(""CURRENCY:INRBRL"")*F951"),41.7151476372)</f>
        <v>41.71514764</v>
      </c>
      <c r="J951" s="1">
        <v>4.5</v>
      </c>
      <c r="K951" s="1">
        <v>6183.0</v>
      </c>
      <c r="L951" s="1" t="s">
        <v>3591</v>
      </c>
      <c r="M951" s="6" t="s">
        <v>3592</v>
      </c>
      <c r="N951" s="7" t="str">
        <f>VLOOKUP(A951, avaliacoes!A:G, 5, FALSE)</f>
        <v>Good,Good stand in this price,Stability,Product is good quality but it has scratchs on it.,Strong durability,nice product,Fantastic,Best light stand</v>
      </c>
      <c r="O951" s="7" t="str">
        <f>VLOOKUP(A951, avaliacoes!A:G, 6, FALSE)</f>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v>
      </c>
    </row>
    <row r="952">
      <c r="A952" s="1" t="s">
        <v>3593</v>
      </c>
      <c r="B952" s="1" t="s">
        <v>3594</v>
      </c>
      <c r="C952" s="1" t="s">
        <v>2880</v>
      </c>
      <c r="D952" s="1" t="str">
        <f t="shared" si="2"/>
        <v>OfficeProducts</v>
      </c>
      <c r="E952" s="1" t="str">
        <f t="shared" si="3"/>
        <v>OfficePaperProducts</v>
      </c>
      <c r="F952" s="2">
        <v>300.0</v>
      </c>
      <c r="G952" s="2">
        <v>300.0</v>
      </c>
      <c r="H952" s="3">
        <f t="shared" si="4"/>
        <v>0</v>
      </c>
      <c r="I952" s="4">
        <f>IFERROR(__xludf.DUMMYFUNCTION("GOOGLEFINANCE(""CURRENCY:INRBRL"")*F952"),17.90349684)</f>
        <v>17.90349684</v>
      </c>
      <c r="J952" s="1">
        <v>4.5</v>
      </c>
      <c r="K952" s="1">
        <v>419.0</v>
      </c>
      <c r="L952" s="1" t="s">
        <v>3595</v>
      </c>
      <c r="M952" s="6" t="s">
        <v>3596</v>
      </c>
      <c r="N952" s="7" t="str">
        <f>VLOOKUP(A952, avaliacoes!A:G, 5, FALSE)</f>
        <v>Pages size is small but good quality,Okay,Quality,Best,Classmate pulse,Best paper,Good,I loved it...</v>
      </c>
      <c r="O952" s="7" t="str">
        <f>VLOOKUP(A952, avaliacoes!A:G, 6, FALSE)</f>
        <v>Pages are small,Okay okay,Best product but size is too small,,Quality is goodGreat notebook,Beast paper and spring,Good,https://m.media-amazon.com/images/I/71wZSQwwaGL._SY88.jpg</v>
      </c>
    </row>
    <row r="953">
      <c r="A953" s="1" t="s">
        <v>3597</v>
      </c>
      <c r="B953" s="1" t="s">
        <v>3598</v>
      </c>
      <c r="C953" s="1" t="s">
        <v>2484</v>
      </c>
      <c r="D953" s="1" t="str">
        <f t="shared" si="2"/>
        <v>Computers&amp;Accessories</v>
      </c>
      <c r="E953" s="1" t="str">
        <f t="shared" si="3"/>
        <v>Accessories&amp;Peripherals</v>
      </c>
      <c r="F953" s="2">
        <v>999.0</v>
      </c>
      <c r="G953" s="2">
        <v>1995.0</v>
      </c>
      <c r="H953" s="3">
        <f t="shared" si="4"/>
        <v>0.4992481203</v>
      </c>
      <c r="I953" s="4">
        <f>IFERROR(__xludf.DUMMYFUNCTION("GOOGLEFINANCE(""CURRENCY:INRBRL"")*F953"),59.61864447719999)</f>
        <v>59.61864448</v>
      </c>
      <c r="J953" s="1">
        <v>4.51</v>
      </c>
      <c r="K953" s="1">
        <v>7317.0</v>
      </c>
      <c r="L953" s="1" t="s">
        <v>3599</v>
      </c>
      <c r="M953" s="6" t="s">
        <v>3600</v>
      </c>
      <c r="N953" s="7" t="str">
        <f>VLOOKUP(A953, avaliacoes!A:G, 5, FALSE)</f>
        <v>Nice looking and good finish deskmat,Premium product compared to other desk mats,Nice deal! Go for it,Good desk mat,Feels good,Best mat,Worth every penny,pretty good</v>
      </c>
      <c r="O953" s="7" t="str">
        <f>VLOOKUP(A953, avaliacoes!A:G, 6, FALSE)</f>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v>
      </c>
    </row>
    <row r="954">
      <c r="A954" s="1" t="s">
        <v>3601</v>
      </c>
      <c r="B954" s="1" t="s">
        <v>3602</v>
      </c>
      <c r="C954" s="1" t="s">
        <v>3603</v>
      </c>
      <c r="D954" s="1" t="str">
        <f t="shared" si="2"/>
        <v>OfficeProducts</v>
      </c>
      <c r="E954" s="1" t="str">
        <f t="shared" si="3"/>
        <v>OfficeElectronics</v>
      </c>
      <c r="F954" s="2">
        <v>535.0</v>
      </c>
      <c r="G954" s="2">
        <v>535.0</v>
      </c>
      <c r="H954" s="3">
        <f t="shared" si="4"/>
        <v>0</v>
      </c>
      <c r="I954" s="4">
        <f>IFERROR(__xludf.DUMMYFUNCTION("GOOGLEFINANCE(""CURRENCY:INRBRL"")*F954"),31.927902697999997)</f>
        <v>31.9279027</v>
      </c>
      <c r="J954" s="1">
        <v>4.5</v>
      </c>
      <c r="K954" s="1">
        <v>4426.0</v>
      </c>
      <c r="L954" s="1" t="s">
        <v>3604</v>
      </c>
      <c r="M954" s="6" t="s">
        <v>3605</v>
      </c>
      <c r="N954" s="7" t="str">
        <f>VLOOKUP(A954, avaliacoes!A:G, 5, FALSE)</f>
        <v>Utilitarian,Excellent product,Good features,Good product with reasonable price,Super,Nice one,Average product,Value for money</v>
      </c>
      <c r="O954" s="7" t="str">
        <f>VLOOKUP(A954, avaliacoes!A:G, 6, FALSE)</f>
        <v>Standard calculator. What you expect from a 12Digit calculator. Nothing more, nothing less,Excellent product,Good.,I Like this product. The product is genuine onky,Super product,Very good,Very average product,No issue with the product.</v>
      </c>
    </row>
    <row r="955">
      <c r="A955" s="1" t="s">
        <v>280</v>
      </c>
      <c r="B955" s="1" t="s">
        <v>281</v>
      </c>
      <c r="C955" s="1" t="s">
        <v>87</v>
      </c>
      <c r="D955" s="1" t="str">
        <f t="shared" si="2"/>
        <v>Electronics</v>
      </c>
      <c r="E955" s="1" t="str">
        <f t="shared" si="3"/>
        <v>HomeTheater,TV&amp;Video</v>
      </c>
      <c r="F955" s="2">
        <v>13999.0</v>
      </c>
      <c r="G955" s="2">
        <v>24999.0</v>
      </c>
      <c r="H955" s="3">
        <f t="shared" si="4"/>
        <v>0.4400176007</v>
      </c>
      <c r="I955" s="4">
        <f>IFERROR(__xludf.DUMMYFUNCTION("GOOGLEFINANCE(""CURRENCY:INRBRL"")*F955"),835.4368408772)</f>
        <v>835.4368409</v>
      </c>
      <c r="J955" s="1">
        <v>4.5</v>
      </c>
      <c r="K955" s="1">
        <v>45237.0</v>
      </c>
      <c r="L955" s="1" t="s">
        <v>282</v>
      </c>
      <c r="M955" s="6" t="s">
        <v>3606</v>
      </c>
      <c r="N955" s="7" t="str">
        <f>VLOOKUP(A955, avaliacoes!A:G, 5, FALSE)</f>
        <v>Worth the price,Mi Smart Tv 32" :- 7/10 average.,Worth using since 1.5 years,expect more from mi,Worth for money.,Good product,It’s good,Go for it without thinking twice.</v>
      </c>
      <c r="O955" s="7" t="str">
        <f>VLOOKUP(A955, avaliacoes!A:G,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row>
    <row r="956">
      <c r="A956" s="1" t="s">
        <v>3607</v>
      </c>
      <c r="B956" s="1" t="s">
        <v>3608</v>
      </c>
      <c r="C956" s="1" t="s">
        <v>2849</v>
      </c>
      <c r="D956" s="1" t="str">
        <f t="shared" si="2"/>
        <v>Computers&amp;Accessories</v>
      </c>
      <c r="E956" s="1" t="str">
        <f t="shared" si="3"/>
        <v>Accessories&amp;Peripherals</v>
      </c>
      <c r="F956" s="2">
        <v>269.0</v>
      </c>
      <c r="G956" s="2">
        <v>1099.0</v>
      </c>
      <c r="H956" s="3">
        <f t="shared" si="4"/>
        <v>0.7552320291</v>
      </c>
      <c r="I956" s="4">
        <f>IFERROR(__xludf.DUMMYFUNCTION("GOOGLEFINANCE(""CURRENCY:INRBRL"")*F956"),16.0534688332)</f>
        <v>16.05346883</v>
      </c>
      <c r="J956" s="1">
        <v>4.49</v>
      </c>
      <c r="K956" s="1">
        <v>1092.0</v>
      </c>
      <c r="L956" s="1" t="s">
        <v>3609</v>
      </c>
      <c r="M956" s="6" t="s">
        <v>3610</v>
      </c>
      <c r="N956" s="7" t="str">
        <f>VLOOKUP(A956, avaliacoes!A:G, 5, FALSE)</f>
        <v>Nice product,Not bad,good sleev,Very Good Product At Rs 290,Good purchase,Ok,Good product,Good</v>
      </c>
      <c r="O956" s="7" t="str">
        <f>VLOOKUP(A956, avaliacoes!A:G, 6, FALSE)</f>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v>
      </c>
    </row>
    <row r="957">
      <c r="A957" s="1" t="s">
        <v>3611</v>
      </c>
      <c r="B957" s="1" t="s">
        <v>3612</v>
      </c>
      <c r="C957" s="1" t="s">
        <v>3222</v>
      </c>
      <c r="D957" s="1" t="str">
        <f t="shared" si="2"/>
        <v>OfficeProducts</v>
      </c>
      <c r="E957" s="1" t="str">
        <f t="shared" si="3"/>
        <v>OfficePaperProducts</v>
      </c>
      <c r="F957" s="2">
        <v>341.0</v>
      </c>
      <c r="G957" s="2">
        <v>450.0</v>
      </c>
      <c r="H957" s="3">
        <f t="shared" si="4"/>
        <v>0.2422222222</v>
      </c>
      <c r="I957" s="4">
        <f>IFERROR(__xludf.DUMMYFUNCTION("GOOGLEFINANCE(""CURRENCY:INRBRL"")*F957"),20.350308074799997)</f>
        <v>20.35030807</v>
      </c>
      <c r="J957" s="1">
        <v>4.5</v>
      </c>
      <c r="K957" s="1">
        <v>2493.0</v>
      </c>
      <c r="L957" s="1" t="s">
        <v>3613</v>
      </c>
      <c r="M957" s="6" t="s">
        <v>3614</v>
      </c>
      <c r="N957" s="7" t="str">
        <f>VLOOKUP(A957, avaliacoes!A:G, 5, FALSE)</f>
        <v>Good,Made for special ones,Good Product,Awesome,Gift given in birthday and other,Good,good,Pen is Best Gift for Everyone.</v>
      </c>
      <c r="O957" s="7" t="str">
        <f>VLOOKUP(A957, avaliacoes!A:G, 6, FALSE)</f>
        <v>Good,Amazing,Nice pen and keychain,I just live it,This is the best thing to gift other,Good,good,I bought it for my sister's Kid who's 11years old because he has a wish of using Parker Pen. So I made his wish come true.</v>
      </c>
    </row>
    <row r="958">
      <c r="A958" s="1" t="s">
        <v>3615</v>
      </c>
      <c r="B958" s="1" t="s">
        <v>3616</v>
      </c>
      <c r="C958" s="1" t="s">
        <v>2522</v>
      </c>
      <c r="D958" s="1" t="str">
        <f t="shared" si="2"/>
        <v>Computers&amp;Accessories</v>
      </c>
      <c r="E958" s="1" t="str">
        <f t="shared" si="3"/>
        <v>NetworkingDevices</v>
      </c>
      <c r="F958" s="2">
        <v>2499.0</v>
      </c>
      <c r="G958" s="2">
        <v>3999.0</v>
      </c>
      <c r="H958" s="3">
        <f t="shared" si="4"/>
        <v>0.3750937734</v>
      </c>
      <c r="I958" s="4">
        <f>IFERROR(__xludf.DUMMYFUNCTION("GOOGLEFINANCE(""CURRENCY:INRBRL"")*F958"),149.1361286772)</f>
        <v>149.1361287</v>
      </c>
      <c r="J958" s="1">
        <v>4.5</v>
      </c>
      <c r="K958" s="1">
        <v>12679.0</v>
      </c>
      <c r="L958" s="1" t="s">
        <v>3617</v>
      </c>
      <c r="M958" s="6" t="s">
        <v>3618</v>
      </c>
      <c r="N958" s="7" t="str">
        <f>VLOOKUP(A958, avaliacoes!A:G, 5, FALSE)</f>
        <v>👎Disappointed 👎Review after 1 year 3 months of usage,Good product and received latest V4,Good Budget Gigabit Router with Beamforming and multiple options in firmware,Range is issue for 5g every where,Value For Money,Go for it,Super 👍,Signal, support, install</v>
      </c>
      <c r="O958" s="7" t="str">
        <f>VLOOKUP(A958, avaliacoes!A:G, 6, FALSE)</f>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v>
      </c>
    </row>
    <row r="959">
      <c r="A959" s="1" t="s">
        <v>309</v>
      </c>
      <c r="B959" s="1" t="s">
        <v>310</v>
      </c>
      <c r="C959" s="1" t="s">
        <v>21</v>
      </c>
      <c r="D959" s="1" t="str">
        <f t="shared" si="2"/>
        <v>Computers&amp;Accessories</v>
      </c>
      <c r="E959" s="1" t="str">
        <f t="shared" si="3"/>
        <v>Accessories&amp;Peripherals</v>
      </c>
      <c r="F959" s="2">
        <v>349.0</v>
      </c>
      <c r="G959" s="2">
        <v>599.0</v>
      </c>
      <c r="H959" s="3">
        <f t="shared" si="4"/>
        <v>0.4173622705</v>
      </c>
      <c r="I959" s="4">
        <f>IFERROR(__xludf.DUMMYFUNCTION("GOOGLEFINANCE(""CURRENCY:INRBRL"")*F959"),20.827734657199997)</f>
        <v>20.82773466</v>
      </c>
      <c r="J959" s="1">
        <v>4.49</v>
      </c>
      <c r="K959" s="1">
        <v>210.0</v>
      </c>
      <c r="L959" s="1" t="s">
        <v>311</v>
      </c>
      <c r="M959" s="6" t="s">
        <v>3619</v>
      </c>
      <c r="N959" s="7" t="str">
        <f>VLOOKUP(A959, avaliacoes!A:G, 5, FALSE)</f>
        <v>Good.,Good product,Ultimate product,Good Product,Not that good. But ok for the price.,Fast cable,Fast charging 👍,Best Alternative to Original Cable</v>
      </c>
      <c r="O959" s="7" t="str">
        <f>VLOOKUP(A959, avaliacoes!A:G, 6, FALSE)</f>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v>
      </c>
    </row>
    <row r="960">
      <c r="A960" s="1" t="s">
        <v>3620</v>
      </c>
      <c r="B960" s="1" t="s">
        <v>3621</v>
      </c>
      <c r="C960" s="1" t="s">
        <v>3304</v>
      </c>
      <c r="D960" s="1" t="str">
        <f t="shared" si="2"/>
        <v>Computers&amp;Accessories</v>
      </c>
      <c r="E960" s="1" t="str">
        <f t="shared" si="3"/>
        <v>Printers,Inks&amp;Accessories</v>
      </c>
      <c r="F960" s="2">
        <v>5899.0</v>
      </c>
      <c r="G960" s="2">
        <v>7005.0</v>
      </c>
      <c r="H960" s="3">
        <f t="shared" si="4"/>
        <v>0.1578872234</v>
      </c>
      <c r="I960" s="4">
        <f>IFERROR(__xludf.DUMMYFUNCTION("GOOGLEFINANCE(""CURRENCY:INRBRL"")*F960"),352.0424261972)</f>
        <v>352.0424262</v>
      </c>
      <c r="J960" s="1">
        <v>4.51</v>
      </c>
      <c r="K960" s="1">
        <v>4199.0</v>
      </c>
      <c r="L960" s="1" t="s">
        <v>3622</v>
      </c>
      <c r="M960" s="6" t="s">
        <v>3623</v>
      </c>
      <c r="N960" s="7" t="str">
        <f>VLOOKUP(A960, avaliacoes!A:G, 5, FALSE)</f>
        <v>Worth it for the price,Ink goes very fast,Best print Quality.,Not everything looks right.,It's nice,Good one,Good for home printing and school assigmntsnment,After every 100 copy cartridge has to be replaced</v>
      </c>
      <c r="O960" s="7" t="str">
        <f>VLOOKUP(A960, avaliacoes!A:G, 6, FALSE)</f>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v>
      </c>
    </row>
    <row r="961">
      <c r="A961" s="1" t="s">
        <v>2153</v>
      </c>
      <c r="B961" s="1" t="s">
        <v>2154</v>
      </c>
      <c r="C961" s="1" t="s">
        <v>1456</v>
      </c>
      <c r="D961" s="1" t="str">
        <f t="shared" si="2"/>
        <v>Electronics</v>
      </c>
      <c r="E961" s="1" t="str">
        <f t="shared" si="3"/>
        <v>Mobiles&amp;Accessories</v>
      </c>
      <c r="F961" s="2">
        <v>699.0</v>
      </c>
      <c r="G961" s="2">
        <v>1199.0</v>
      </c>
      <c r="H961" s="3">
        <f t="shared" si="4"/>
        <v>0.4170141785</v>
      </c>
      <c r="I961" s="4">
        <f>IFERROR(__xludf.DUMMYFUNCTION("GOOGLEFINANCE(""CURRENCY:INRBRL"")*F961"),41.7151476372)</f>
        <v>41.71514764</v>
      </c>
      <c r="J961" s="1">
        <v>4.0</v>
      </c>
      <c r="K961" s="1">
        <v>14403.0</v>
      </c>
      <c r="L961" s="1" t="s">
        <v>2155</v>
      </c>
      <c r="M961" s="6" t="s">
        <v>3624</v>
      </c>
      <c r="N961" s="7" t="str">
        <f>VLOOKUP(A961, avaliacoes!A:G, 5, FALSE)</f>
        <v>Good,NICE 👍 IN VALUE.PARACASED ON TWO OLY,Working fine,Good product,Good one,Good one,Very good product,Decent product, worth every penny</v>
      </c>
      <c r="O961" s="7" t="str">
        <f>VLOOKUP(A961, avaliacoes!A:G,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row>
    <row r="962">
      <c r="A962" s="1" t="s">
        <v>3625</v>
      </c>
      <c r="B962" s="1" t="s">
        <v>3626</v>
      </c>
      <c r="C962" s="1" t="s">
        <v>2522</v>
      </c>
      <c r="D962" s="1" t="str">
        <f t="shared" si="2"/>
        <v>Computers&amp;Accessories</v>
      </c>
      <c r="E962" s="1" t="str">
        <f t="shared" si="3"/>
        <v>NetworkingDevices</v>
      </c>
      <c r="F962" s="2">
        <v>1565.0</v>
      </c>
      <c r="G962" s="2">
        <v>2999.0</v>
      </c>
      <c r="H962" s="3">
        <f t="shared" si="4"/>
        <v>0.4781593865</v>
      </c>
      <c r="I962" s="4">
        <f>IFERROR(__xludf.DUMMYFUNCTION("GOOGLEFINANCE(""CURRENCY:INRBRL"")*F962"),93.39657518199999)</f>
        <v>93.39657518</v>
      </c>
      <c r="J962" s="1">
        <v>4.0</v>
      </c>
      <c r="K962" s="1">
        <v>11113.0</v>
      </c>
      <c r="L962" s="1" t="s">
        <v>3627</v>
      </c>
      <c r="M962" s="6" t="s">
        <v>3628</v>
      </c>
      <c r="N962" s="7" t="str">
        <f>VLOOKUP(A962, avaliacoes!A:G, 5, FALSE)</f>
        <v>Awesome,Good,Product is good but Amazon packaging was worst .,Good,Fufills my need,Good,Nies,Cheap and best WiFi 5 gigabit router</v>
      </c>
      <c r="O962" s="7" t="str">
        <f>VLOOKUP(A962, avaliacoes!A:G, 6, FALSE)</f>
        <v>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v>
      </c>
    </row>
    <row r="963">
      <c r="A963" s="1" t="s">
        <v>3629</v>
      </c>
      <c r="B963" s="1" t="s">
        <v>3630</v>
      </c>
      <c r="C963" s="1" t="s">
        <v>2402</v>
      </c>
      <c r="D963" s="1" t="str">
        <f t="shared" si="2"/>
        <v>Electronics</v>
      </c>
      <c r="E963" s="1" t="str">
        <f t="shared" si="3"/>
        <v>Cameras&amp;Photography</v>
      </c>
      <c r="F963" s="2">
        <v>326.0</v>
      </c>
      <c r="G963" s="2">
        <v>799.0</v>
      </c>
      <c r="H963" s="3">
        <f t="shared" si="4"/>
        <v>0.5919899875</v>
      </c>
      <c r="I963" s="4">
        <f>IFERROR(__xludf.DUMMYFUNCTION("GOOGLEFINANCE(""CURRENCY:INRBRL"")*F963"),19.455133232799998)</f>
        <v>19.45513323</v>
      </c>
      <c r="J963" s="1">
        <v>4.5</v>
      </c>
      <c r="K963" s="1">
        <v>10773.0</v>
      </c>
      <c r="L963" s="1" t="s">
        <v>3631</v>
      </c>
      <c r="M963" s="6" t="s">
        <v>3632</v>
      </c>
      <c r="N963" s="7" t="str">
        <f>VLOOKUP(A963, avaliacoes!A:G, 5, FALSE)</f>
        <v>Good product! But price is high,It's good but not bad.,Just Go For it,,It was good and strong and easy to use,RELIABLE, STRONG DESIGN,10/10,Good,It does the job. Better than the one we get with the tripod.</v>
      </c>
      <c r="O963" s="7" t="str">
        <f>VLOOKUP(A963, avaliacoes!A:G, 6, FALSE)</f>
        <v>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v>
      </c>
    </row>
    <row r="964">
      <c r="A964" s="1" t="s">
        <v>2138</v>
      </c>
      <c r="B964" s="1" t="s">
        <v>2139</v>
      </c>
      <c r="C964" s="1" t="s">
        <v>2140</v>
      </c>
      <c r="D964" s="1" t="str">
        <f t="shared" si="2"/>
        <v>Electronics</v>
      </c>
      <c r="E964" s="1" t="str">
        <f t="shared" si="3"/>
        <v>Headphones,Earbuds&amp;Accessories</v>
      </c>
      <c r="F964" s="2">
        <v>120.0</v>
      </c>
      <c r="G964" s="2">
        <v>999.0</v>
      </c>
      <c r="H964" s="3">
        <f t="shared" si="4"/>
        <v>0.8798798799</v>
      </c>
      <c r="I964" s="4">
        <f>IFERROR(__xludf.DUMMYFUNCTION("GOOGLEFINANCE(""CURRENCY:INRBRL"")*F964"),7.161398736)</f>
        <v>7.161398736</v>
      </c>
      <c r="J964" s="1">
        <v>4.52</v>
      </c>
      <c r="K964" s="1">
        <v>6491.0</v>
      </c>
      <c r="L964" s="1" t="s">
        <v>2141</v>
      </c>
      <c r="M964" s="6" t="s">
        <v>3633</v>
      </c>
      <c r="N964" s="7" t="str">
        <f>VLOOKUP(A964, avaliacoes!A:G, 5, FALSE)</f>
        <v>Recommended !,Good product,Please wire quality improve karo,Value for money product.,Amazing Performance &amp; Great Quality,A lot of noise when mic is plugged in.,Great product,Good</v>
      </c>
      <c r="O964" s="7" t="str">
        <f>VLOOKUP(A964, avaliacoes!A:G, 6, FALSE)</f>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v>
      </c>
    </row>
    <row r="965">
      <c r="A965" s="1" t="s">
        <v>3634</v>
      </c>
      <c r="B965" s="1" t="s">
        <v>3635</v>
      </c>
      <c r="C965" s="1" t="s">
        <v>2383</v>
      </c>
      <c r="D965" s="1" t="str">
        <f t="shared" si="2"/>
        <v>Computers&amp;Accessories</v>
      </c>
      <c r="E965" s="1" t="str">
        <f t="shared" si="3"/>
        <v>ExternalDevices&amp;DataStorage</v>
      </c>
      <c r="F965" s="2">
        <v>657.0</v>
      </c>
      <c r="G965" s="2">
        <v>999.0</v>
      </c>
      <c r="H965" s="3">
        <f t="shared" si="4"/>
        <v>0.3423423423</v>
      </c>
      <c r="I965" s="4">
        <f>IFERROR(__xludf.DUMMYFUNCTION("GOOGLEFINANCE(""CURRENCY:INRBRL"")*F965"),39.2086580796)</f>
        <v>39.20865808</v>
      </c>
      <c r="J965" s="1">
        <v>4.5</v>
      </c>
      <c r="K965" s="1">
        <v>13944.0</v>
      </c>
      <c r="L965" s="1" t="s">
        <v>3636</v>
      </c>
      <c r="M965" s="6" t="s">
        <v>3637</v>
      </c>
      <c r="N965" s="7" t="str">
        <f>VLOOKUP(A965, avaliacoes!A:G, 5, FALSE)</f>
        <v>Grand price good product,Good quality, but not the best,Very good product.,Easy assembly, Easy Installation, PLUG N PLAY.,Good case with less sturdy body,An awesome product!,Good Product, My doubt is with the sturdiness,Great product</v>
      </c>
      <c r="O965" s="7" t="str">
        <f>VLOOKUP(A965, avaliacoes!A:G, 6, FALSE)</f>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v>
      </c>
    </row>
    <row r="966">
      <c r="A966" s="1" t="s">
        <v>3638</v>
      </c>
      <c r="B966" s="1" t="s">
        <v>3639</v>
      </c>
      <c r="C966" s="1" t="s">
        <v>2474</v>
      </c>
      <c r="D966" s="1" t="str">
        <f t="shared" si="2"/>
        <v>Computers&amp;Accessories</v>
      </c>
      <c r="E966" s="1" t="str">
        <f t="shared" si="3"/>
        <v>Accessories&amp;Peripherals</v>
      </c>
      <c r="F966" s="2">
        <v>1995.0</v>
      </c>
      <c r="G966" s="2">
        <v>2895.0</v>
      </c>
      <c r="H966" s="3">
        <f t="shared" si="4"/>
        <v>0.310880829</v>
      </c>
      <c r="I966" s="4">
        <f>IFERROR(__xludf.DUMMYFUNCTION("GOOGLEFINANCE(""CURRENCY:INRBRL"")*F966"),119.058253986)</f>
        <v>119.058254</v>
      </c>
      <c r="J966" s="1">
        <v>4.51</v>
      </c>
      <c r="K966" s="1">
        <v>1076.0</v>
      </c>
      <c r="L966" s="1" t="s">
        <v>3640</v>
      </c>
      <c r="M966" s="6" t="s">
        <v>3641</v>
      </c>
      <c r="N966" s="7" t="str">
        <f>VLOOKUP(A966, avaliacoes!A:G, 5, FALSE)</f>
        <v>very nice design and long lasting,Good mouse,Long time user. This mouse is built like a tank,GAMING MASTERPIECE? *REVIEW AFTER 1 WEEK*,Amazing mouse, bad cable,Too Heavy for anything,Best gaming mouse on a budget,Amazing Mouse</v>
      </c>
      <c r="O966" s="7" t="str">
        <f>VLOOKUP(A966, avaliacoes!A:G, 6, FALSE)</f>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v>
      </c>
    </row>
    <row r="967">
      <c r="A967" s="1" t="s">
        <v>3642</v>
      </c>
      <c r="B967" s="1" t="s">
        <v>3643</v>
      </c>
      <c r="C967" s="1" t="s">
        <v>3412</v>
      </c>
      <c r="D967" s="1" t="str">
        <f t="shared" si="2"/>
        <v>Electronics</v>
      </c>
      <c r="E967" s="1" t="str">
        <f t="shared" si="3"/>
        <v>#VALUE!</v>
      </c>
      <c r="F967" s="2">
        <v>1499.0</v>
      </c>
      <c r="G967" s="2">
        <v>1499.0</v>
      </c>
      <c r="H967" s="3">
        <f t="shared" si="4"/>
        <v>0</v>
      </c>
      <c r="I967" s="4">
        <f>IFERROR(__xludf.DUMMYFUNCTION("GOOGLEFINANCE(""CURRENCY:INRBRL"")*F967"),89.45780587719999)</f>
        <v>89.45780588</v>
      </c>
      <c r="J967" s="1">
        <v>4.5</v>
      </c>
      <c r="K967" s="1">
        <v>25996.0</v>
      </c>
      <c r="L967" s="1" t="s">
        <v>3644</v>
      </c>
      <c r="M967" s="6" t="s">
        <v>3645</v>
      </c>
      <c r="N967" s="7" t="str">
        <f>VLOOKUP(A967, avaliacoes!A:G, 5, FALSE)</f>
        <v>Good rechargeable battery,Seems to be good,Nice,Build quality,Good,Met expectations,Good,Good charger</v>
      </c>
      <c r="O967" s="7" t="str">
        <f>VLOOKUP(A967, avaliacoes!A:G, 6, FALSE)</f>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v>
      </c>
    </row>
    <row r="968">
      <c r="A968" s="1" t="s">
        <v>3646</v>
      </c>
      <c r="B968" s="1" t="s">
        <v>3647</v>
      </c>
      <c r="C968" s="1" t="s">
        <v>2335</v>
      </c>
      <c r="D968" s="1" t="str">
        <f t="shared" si="2"/>
        <v>Computers&amp;Accessories</v>
      </c>
      <c r="E968" s="1" t="str">
        <f t="shared" si="3"/>
        <v>Accessories&amp;Peripherals</v>
      </c>
      <c r="F968" s="2">
        <v>2649.0</v>
      </c>
      <c r="G968" s="2">
        <v>3195.0</v>
      </c>
      <c r="H968" s="3">
        <f t="shared" si="4"/>
        <v>0.1708920188</v>
      </c>
      <c r="I968" s="4">
        <f>IFERROR(__xludf.DUMMYFUNCTION("GOOGLEFINANCE(""CURRENCY:INRBRL"")*F968"),158.0878770972)</f>
        <v>158.0878771</v>
      </c>
      <c r="J968" s="1">
        <v>4.51</v>
      </c>
      <c r="K968" s="1">
        <v>16146.0</v>
      </c>
      <c r="L968" s="1" t="s">
        <v>3648</v>
      </c>
      <c r="M968" s="6" t="s">
        <v>3649</v>
      </c>
      <c r="N968" s="7" t="str">
        <f>VLOOKUP(A968, avaliacoes!A:G, 5, FALSE)</f>
        <v>Convenience product,K380 &amp; M350 Lavender,Excellent keybaord,Very handy andneasy to use .. the quality is as expected from logitech,Cool keyboard,Not worth the hype, but manageable,A Robust, High-Quality, Ergonomic Keyboard.,The best Keyboard for a Mac Environment</v>
      </c>
      <c r="O968" s="7" t="str">
        <f>VLOOKUP(A968, avaliacoes!A:G, 6, FALSE)</f>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v>
      </c>
    </row>
    <row r="969">
      <c r="A969" s="1" t="s">
        <v>3650</v>
      </c>
      <c r="B969" s="1" t="s">
        <v>3651</v>
      </c>
      <c r="C969" s="1" t="s">
        <v>3304</v>
      </c>
      <c r="D969" s="1" t="str">
        <f t="shared" si="2"/>
        <v>Computers&amp;Accessories</v>
      </c>
      <c r="E969" s="1" t="str">
        <f t="shared" si="3"/>
        <v>Printers,Inks&amp;Accessories</v>
      </c>
      <c r="F969" s="2">
        <v>5299.0</v>
      </c>
      <c r="G969" s="2">
        <v>6355.0</v>
      </c>
      <c r="H969" s="3">
        <f t="shared" si="4"/>
        <v>0.1661683714</v>
      </c>
      <c r="I969" s="4">
        <f>IFERROR(__xludf.DUMMYFUNCTION("GOOGLEFINANCE(""CURRENCY:INRBRL"")*F969"),316.23543251719997)</f>
        <v>316.2354325</v>
      </c>
      <c r="J969" s="1">
        <v>4.52</v>
      </c>
      <c r="K969" s="1">
        <v>828.0</v>
      </c>
      <c r="L969" s="1" t="s">
        <v>3652</v>
      </c>
      <c r="M969" s="6" t="s">
        <v>3653</v>
      </c>
      <c r="N969" s="7" t="str">
        <f>VLOOKUP(A969, avaliacoes!A:G, 5, FALSE)</f>
        <v>Good printer but challenging setup,Use friendly,Printer is good for home usage,Good,Its a nice product,Canon PIXMA E477 All-in-One Wireless Ink Efficient Colour Printer (White/Blue),Photos ar not clear,Perfect printer for home purpose</v>
      </c>
      <c r="O969" s="7" t="str">
        <f>VLOOKUP(A969, avaliacoes!A:G, 6, FALSE)</f>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v>
      </c>
    </row>
    <row r="970">
      <c r="A970" s="1" t="s">
        <v>288</v>
      </c>
      <c r="B970" s="1" t="s">
        <v>289</v>
      </c>
      <c r="C970" s="1" t="s">
        <v>21</v>
      </c>
      <c r="D970" s="1" t="str">
        <f t="shared" si="2"/>
        <v>Computers&amp;Accessories</v>
      </c>
      <c r="E970" s="1" t="str">
        <f t="shared" si="3"/>
        <v>Accessories&amp;Peripherals</v>
      </c>
      <c r="F970" s="2">
        <v>263.0</v>
      </c>
      <c r="G970" s="2">
        <v>699.0</v>
      </c>
      <c r="H970" s="3">
        <f t="shared" si="4"/>
        <v>0.6237482117</v>
      </c>
      <c r="I970" s="4">
        <f>IFERROR(__xludf.DUMMYFUNCTION("GOOGLEFINANCE(""CURRENCY:INRBRL"")*F970"),15.695398896399999)</f>
        <v>15.6953989</v>
      </c>
      <c r="J970" s="1">
        <v>4.49</v>
      </c>
      <c r="K970" s="1">
        <v>450.0</v>
      </c>
      <c r="L970" s="1" t="s">
        <v>290</v>
      </c>
      <c r="M970" s="6" t="s">
        <v>3654</v>
      </c>
      <c r="N970" s="7" t="str">
        <f>VLOOKUP(A970, avaliacoes!A:G, 5, FALSE)</f>
        <v>Iphone User,Overall good,Perfect price, perfect fit,Good,Worth,Perfect replacement for Apple cable,At this price it's a steal.,Good cable with decent price</v>
      </c>
      <c r="O970" s="7" t="str">
        <f>VLOOKUP(A970, avaliacoes!A:G, 6, FALSE)</f>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v>
      </c>
    </row>
    <row r="971">
      <c r="A971" s="1" t="s">
        <v>3655</v>
      </c>
      <c r="B971" s="1" t="s">
        <v>3656</v>
      </c>
      <c r="C971" s="1" t="s">
        <v>3523</v>
      </c>
      <c r="D971" s="1" t="str">
        <f t="shared" si="2"/>
        <v>Computers&amp;Accessories</v>
      </c>
      <c r="E971" s="1" t="str">
        <f t="shared" si="3"/>
        <v>Accessories&amp;Peripherals</v>
      </c>
      <c r="F971" s="2">
        <v>1999.0</v>
      </c>
      <c r="G971" s="2">
        <v>2999.0</v>
      </c>
      <c r="H971" s="3">
        <f t="shared" si="4"/>
        <v>0.3334444815</v>
      </c>
      <c r="I971" s="4">
        <f>IFERROR(__xludf.DUMMYFUNCTION("GOOGLEFINANCE(""CURRENCY:INRBRL"")*F971"),119.2969672772)</f>
        <v>119.2969673</v>
      </c>
      <c r="J971" s="1">
        <v>4.5</v>
      </c>
      <c r="K971" s="1">
        <v>14237.0</v>
      </c>
      <c r="L971" s="1" t="s">
        <v>3657</v>
      </c>
      <c r="M971" s="6" t="s">
        <v>3658</v>
      </c>
      <c r="N971" s="7" t="str">
        <f>VLOOKUP(A971, avaliacoes!A:G, 5, FALSE)</f>
        <v>product one time replace worthy product i got,Great,Works decently. Does have some issues,Best In Budget,Heavy and a bit easy to heat up.,No compromise,Super in low budget,Paisa Vasool product as per budget.</v>
      </c>
      <c r="O971" s="7" t="str">
        <f>VLOOKUP(A971, avaliacoes!A:G, 6, FALSE)</f>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v>
      </c>
    </row>
    <row r="972">
      <c r="A972" s="1" t="s">
        <v>3659</v>
      </c>
      <c r="B972" s="1" t="s">
        <v>3660</v>
      </c>
      <c r="C972" s="1" t="s">
        <v>3661</v>
      </c>
      <c r="D972" s="1" t="str">
        <f t="shared" si="2"/>
        <v>Electronics</v>
      </c>
      <c r="E972" s="1" t="str">
        <f t="shared" si="3"/>
        <v>PowerAccessories</v>
      </c>
      <c r="F972" s="2">
        <v>1289.0</v>
      </c>
      <c r="G972" s="2">
        <v>1499.0</v>
      </c>
      <c r="H972" s="3">
        <f t="shared" si="4"/>
        <v>0.1400933956</v>
      </c>
      <c r="I972" s="4">
        <f>IFERROR(__xludf.DUMMYFUNCTION("GOOGLEFINANCE(""CURRENCY:INRBRL"")*F972"),76.92535808919999)</f>
        <v>76.92535809</v>
      </c>
      <c r="J972" s="1">
        <v>4.51</v>
      </c>
      <c r="K972" s="1">
        <v>20668.0</v>
      </c>
      <c r="L972" s="1" t="s">
        <v>3662</v>
      </c>
      <c r="M972" s="6" t="s">
        <v>3663</v>
      </c>
      <c r="N972" s="7" t="str">
        <f>VLOOKUP(A972, avaliacoes!A:G, 5, FALSE)</f>
        <v>Good product with bad resellers,Works great,Best in Class.,Best quality surge protector,Sturdy and Safe Surge Protector!,Good,Perfect product.,Best quality</v>
      </c>
      <c r="O972" s="7" t="str">
        <f>VLOOKUP(A972, avaliacoes!A:G, 6, FALSE)</f>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v>
      </c>
    </row>
    <row r="973">
      <c r="A973" s="1" t="s">
        <v>3664</v>
      </c>
      <c r="B973" s="1" t="s">
        <v>3665</v>
      </c>
      <c r="C973" s="1" t="s">
        <v>2880</v>
      </c>
      <c r="D973" s="1" t="str">
        <f t="shared" si="2"/>
        <v>OfficeProducts</v>
      </c>
      <c r="E973" s="1" t="str">
        <f t="shared" si="3"/>
        <v>OfficePaperProducts</v>
      </c>
      <c r="F973" s="2">
        <v>165.0</v>
      </c>
      <c r="G973" s="2">
        <v>165.0</v>
      </c>
      <c r="H973" s="3">
        <f t="shared" si="4"/>
        <v>0</v>
      </c>
      <c r="I973" s="4">
        <f>IFERROR(__xludf.DUMMYFUNCTION("GOOGLEFINANCE(""CURRENCY:INRBRL"")*F973"),9.846923261999999)</f>
        <v>9.846923262</v>
      </c>
      <c r="J973" s="1">
        <v>4.51</v>
      </c>
      <c r="K973" s="1">
        <v>1674.0</v>
      </c>
      <c r="L973" s="1" t="s">
        <v>3666</v>
      </c>
      <c r="M973" s="6" t="s">
        <v>3667</v>
      </c>
      <c r="N973" s="7" t="str">
        <f>VLOOKUP(A973, avaliacoes!A:G, 5, FALSE)</f>
        <v>Pretty good,I m happy 😊got 3 at 121rs.,Product is good, packaging is worst,Ok,Great product,Smooth pages.,Value for Money,Good</v>
      </c>
      <c r="O973" s="7" t="str">
        <f>VLOOKUP(A973, avaliacoes!A:G, 6, FALSE)</f>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v>
      </c>
    </row>
    <row r="974">
      <c r="A974" s="1" t="s">
        <v>3668</v>
      </c>
      <c r="B974" s="1" t="s">
        <v>3669</v>
      </c>
      <c r="C974" s="1" t="s">
        <v>3146</v>
      </c>
      <c r="D974" s="1" t="str">
        <f t="shared" si="2"/>
        <v>Computers&amp;Accessories</v>
      </c>
      <c r="E974" s="1" t="str">
        <f t="shared" si="3"/>
        <v>Accessories&amp;Peripherals</v>
      </c>
      <c r="F974" s="2">
        <v>1699.0</v>
      </c>
      <c r="G974" s="2">
        <v>3499.0</v>
      </c>
      <c r="H974" s="3">
        <f t="shared" si="4"/>
        <v>0.5144326951</v>
      </c>
      <c r="I974" s="4">
        <f>IFERROR(__xludf.DUMMYFUNCTION("GOOGLEFINANCE(""CURRENCY:INRBRL"")*F974"),101.3934704372)</f>
        <v>101.3934704</v>
      </c>
      <c r="J974" s="1">
        <v>4.51</v>
      </c>
      <c r="K974" s="1">
        <v>7689.0</v>
      </c>
      <c r="L974" s="1" t="s">
        <v>3670</v>
      </c>
      <c r="M974" s="6" t="s">
        <v>3671</v>
      </c>
      <c r="N974" s="7" t="str">
        <f>VLOOKUP(A974, avaliacoes!A:G, 5, FALSE)</f>
        <v>Excellent product. vlue for money,Decent product,यह अच्छा प्रोडक्ट है ।पैसा वसूल,It’s good product,it does the job,Works for a year, then stops.,Good product,So far so good</v>
      </c>
      <c r="O974" s="7" t="str">
        <f>VLOOKUP(A974, avaliacoes!A:G, 6, FALSE)</f>
        <v>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v>
      </c>
    </row>
    <row r="975">
      <c r="A975" s="1" t="s">
        <v>3672</v>
      </c>
      <c r="B975" s="1" t="s">
        <v>3673</v>
      </c>
      <c r="C975" s="1" t="s">
        <v>2720</v>
      </c>
      <c r="D975" s="1" t="str">
        <f t="shared" si="2"/>
        <v>Electronics</v>
      </c>
      <c r="E975" s="1" t="str">
        <f t="shared" si="3"/>
        <v>Cameras&amp;Photography</v>
      </c>
      <c r="F975" s="2">
        <v>2299.0</v>
      </c>
      <c r="G975" s="2">
        <v>7499.0</v>
      </c>
      <c r="H975" s="3">
        <f t="shared" si="4"/>
        <v>0.6934257901</v>
      </c>
      <c r="I975" s="4">
        <f>IFERROR(__xludf.DUMMYFUNCTION("GOOGLEFINANCE(""CURRENCY:INRBRL"")*F975"),137.2004641172)</f>
        <v>137.2004641</v>
      </c>
      <c r="J975" s="1">
        <v>4.49</v>
      </c>
      <c r="K975" s="1">
        <v>5554.0</v>
      </c>
      <c r="L975" s="1" t="s">
        <v>3674</v>
      </c>
      <c r="M975" s="6" t="s">
        <v>3675</v>
      </c>
      <c r="N975" s="7" t="str">
        <f>VLOOKUP(A975, avaliacoes!A:G, 5, FALSE)</f>
        <v>It's a good product but it could have been better,OK ok,nice choice,Imou Ranger 2 WFi Camera,Very good,Two side communications are appreciated. Mobile app quite complicated to understand and control cam,Ordered grey , received white colour camera,Nice</v>
      </c>
      <c r="O975" s="7" t="str">
        <f>VLOOKUP(A975, avaliacoes!A:G, 6, FALSE)</f>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v>
      </c>
    </row>
    <row r="976">
      <c r="A976" s="1" t="s">
        <v>301</v>
      </c>
      <c r="B976" s="1" t="s">
        <v>302</v>
      </c>
      <c r="C976" s="1" t="s">
        <v>21</v>
      </c>
      <c r="D976" s="1" t="str">
        <f t="shared" si="2"/>
        <v>Computers&amp;Accessories</v>
      </c>
      <c r="E976" s="1" t="str">
        <f t="shared" si="3"/>
        <v>Accessories&amp;Peripherals</v>
      </c>
      <c r="F976" s="2">
        <v>219.0</v>
      </c>
      <c r="G976" s="2">
        <v>700.0</v>
      </c>
      <c r="H976" s="3">
        <f t="shared" si="4"/>
        <v>0.6871428571</v>
      </c>
      <c r="I976" s="4">
        <f>IFERROR(__xludf.DUMMYFUNCTION("GOOGLEFINANCE(""CURRENCY:INRBRL"")*F976"),13.069552693199999)</f>
        <v>13.06955269</v>
      </c>
      <c r="J976" s="1">
        <v>4.5</v>
      </c>
      <c r="K976" s="1">
        <v>20053.0</v>
      </c>
      <c r="L976" s="1" t="s">
        <v>303</v>
      </c>
      <c r="M976" s="6" t="s">
        <v>3676</v>
      </c>
      <c r="N976" s="7" t="str">
        <f>VLOOKUP(A976, avaliacoes!A:G, 5, FALSE)</f>
        <v>You can trust on this one,The best usb cable,Wel build just like original .,Nice!!,Working perfectly,Basic,Good,No issues</v>
      </c>
      <c r="O976" s="7" t="str">
        <f>VLOOKUP(A976, avaliacoes!A:G,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row>
    <row r="977">
      <c r="A977" s="1" t="s">
        <v>3677</v>
      </c>
      <c r="B977" s="1" t="s">
        <v>3678</v>
      </c>
      <c r="C977" s="1" t="s">
        <v>2688</v>
      </c>
      <c r="D977" s="1" t="str">
        <f t="shared" si="2"/>
        <v>Computers&amp;Accessories</v>
      </c>
      <c r="E977" s="1" t="str">
        <f t="shared" si="3"/>
        <v>Accessories&amp;Peripherals</v>
      </c>
      <c r="F977" s="2">
        <v>39.0</v>
      </c>
      <c r="G977" s="2">
        <v>39.0</v>
      </c>
      <c r="H977" s="3">
        <f t="shared" si="4"/>
        <v>0</v>
      </c>
      <c r="I977" s="4">
        <f>IFERROR(__xludf.DUMMYFUNCTION("GOOGLEFINANCE(""CURRENCY:INRBRL"")*F977"),2.3274545892)</f>
        <v>2.327454589</v>
      </c>
      <c r="J977" s="1">
        <v>4.51</v>
      </c>
      <c r="K977" s="1">
        <v>3344.0</v>
      </c>
      <c r="L977" s="1" t="s">
        <v>3679</v>
      </c>
      <c r="M977" s="6" t="s">
        <v>3680</v>
      </c>
      <c r="N977" s="7" t="str">
        <f>VLOOKUP(A977, avaliacoes!A:G, 5, FALSE)</f>
        <v>Lighting,TINY &amp; USEFUL.,Fair product,Worth for money, but for my case usb pin got broken after 1 month usage,Good,Small but Handy,Good product,Worth buying</v>
      </c>
      <c r="O977" s="7" t="str">
        <f>VLOOKUP(A977, avaliacoes!A:G, 6, FALSE)</f>
        <v>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v>
      </c>
    </row>
    <row r="978">
      <c r="A978" s="1" t="s">
        <v>3681</v>
      </c>
      <c r="B978" s="1" t="s">
        <v>3682</v>
      </c>
      <c r="C978" s="1" t="s">
        <v>3683</v>
      </c>
      <c r="D978" s="1" t="str">
        <f t="shared" si="2"/>
        <v>Computers&amp;Accessories</v>
      </c>
      <c r="E978" s="1" t="str">
        <f t="shared" si="3"/>
        <v>Tablets</v>
      </c>
      <c r="F978" s="2">
        <v>27.0</v>
      </c>
      <c r="G978" s="2">
        <v>38.0</v>
      </c>
      <c r="H978" s="3">
        <f t="shared" si="4"/>
        <v>0.2894736842</v>
      </c>
      <c r="I978" s="4">
        <f>IFERROR(__xludf.DUMMYFUNCTION("GOOGLEFINANCE(""CURRENCY:INRBRL"")*F978"),1.6113147155999998)</f>
        <v>1.611314716</v>
      </c>
      <c r="J978" s="1">
        <v>4.51</v>
      </c>
      <c r="K978" s="1">
        <v>2886.0</v>
      </c>
      <c r="L978" s="1" t="s">
        <v>3684</v>
      </c>
      <c r="M978" s="6" t="s">
        <v>3685</v>
      </c>
      <c r="N978" s="7" t="str">
        <f>VLOOKUP(A978, avaliacoes!A:G, 5, FALSE)</f>
        <v>the only ANDROID tablet that makes sense in the non-sense tab market of India.,An impressive tablet for Android (at last),All good but miner bugs just don't upgrade it to 13.0.6.. New update details given,good tablet</v>
      </c>
      <c r="O978" s="7" t="str">
        <f>VLOOKUP(A978, avaliacoes!A:G, 6, FALSE)</f>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v>
      </c>
    </row>
    <row r="979">
      <c r="A979" s="1" t="s">
        <v>3686</v>
      </c>
      <c r="B979" s="1" t="s">
        <v>3687</v>
      </c>
      <c r="C979" s="1" t="s">
        <v>1411</v>
      </c>
      <c r="D979" s="1" t="str">
        <f t="shared" si="2"/>
        <v>Electronics</v>
      </c>
      <c r="E979" s="1" t="str">
        <f t="shared" si="3"/>
        <v>Headphones,Earbuds&amp;Accessories</v>
      </c>
      <c r="F979" s="2">
        <v>1499.0</v>
      </c>
      <c r="G979" s="2">
        <v>1999.0</v>
      </c>
      <c r="H979" s="3">
        <f t="shared" si="4"/>
        <v>0.2501250625</v>
      </c>
      <c r="I979" s="4">
        <f>IFERROR(__xludf.DUMMYFUNCTION("GOOGLEFINANCE(""CURRENCY:INRBRL"")*F979"),89.45780587719999)</f>
        <v>89.45780588</v>
      </c>
      <c r="J979" s="1">
        <v>4.49</v>
      </c>
      <c r="K979" s="1">
        <v>9825.0</v>
      </c>
      <c r="L979" s="1" t="s">
        <v>3688</v>
      </c>
      <c r="M979" s="6" t="s">
        <v>3689</v>
      </c>
      <c r="N979" s="7" t="str">
        <f>VLOOKUP(A979, avaliacoes!A:G, 5, FALSE)</f>
        <v>A Quality Sound-Signature but leaves craving for a decent bass.Quite fragile too.Compared with Senn.HD 202 II &amp; Sony MDR XB50AP.,boAt 225 vs JBL CS100 vs Sennheisers cx180 | DETAILED Comparison after 1 YEAR of USE.</v>
      </c>
      <c r="O979" s="7" t="str">
        <f>VLOOKUP(A979, avaliacoes!A:G, 6, FALSE)</f>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v>
      </c>
    </row>
    <row r="980">
      <c r="A980" s="1" t="s">
        <v>3690</v>
      </c>
      <c r="B980" s="1" t="s">
        <v>3691</v>
      </c>
      <c r="C980" s="1" t="s">
        <v>2283</v>
      </c>
      <c r="D980" s="1" t="str">
        <f t="shared" si="2"/>
        <v>Computers&amp;Accessories</v>
      </c>
      <c r="E980" s="1" t="str">
        <f t="shared" si="3"/>
        <v>Accessories&amp;Peripherals</v>
      </c>
      <c r="F980" s="2">
        <v>398.0</v>
      </c>
      <c r="G980" s="2">
        <v>1949.0</v>
      </c>
      <c r="H980" s="3">
        <f t="shared" si="4"/>
        <v>0.7957927142</v>
      </c>
      <c r="I980" s="4">
        <f>IFERROR(__xludf.DUMMYFUNCTION("GOOGLEFINANCE(""CURRENCY:INRBRL"")*F980"),23.7519724744)</f>
        <v>23.75197247</v>
      </c>
      <c r="J980" s="1">
        <v>4.0</v>
      </c>
      <c r="K980" s="1">
        <v>75.0</v>
      </c>
      <c r="L980" s="1" t="s">
        <v>3692</v>
      </c>
      <c r="M980" s="6" t="s">
        <v>3693</v>
      </c>
      <c r="N980" s="7" t="str">
        <f>VLOOKUP(A980, avaliacoes!A:G, 5, FALSE)</f>
        <v>Good product but one-leg-rubber missing,Stong and sturdy,Good,Height Adjustable,Superb,Value for money,fabulous,A valuable purchase, good one</v>
      </c>
      <c r="O980" s="7" t="str">
        <f>VLOOKUP(A980, avaliacoes!A:G, 6, FALSE)</f>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v>
      </c>
    </row>
    <row r="981">
      <c r="A981" s="1" t="s">
        <v>305</v>
      </c>
      <c r="B981" s="1" t="s">
        <v>306</v>
      </c>
      <c r="C981" s="1" t="s">
        <v>21</v>
      </c>
      <c r="D981" s="1" t="str">
        <f t="shared" si="2"/>
        <v>Computers&amp;Accessories</v>
      </c>
      <c r="E981" s="1" t="str">
        <f t="shared" si="3"/>
        <v>Accessories&amp;Peripherals</v>
      </c>
      <c r="F981" s="2">
        <v>349.0</v>
      </c>
      <c r="G981" s="2">
        <v>899.0</v>
      </c>
      <c r="H981" s="3">
        <f t="shared" si="4"/>
        <v>0.6117908788</v>
      </c>
      <c r="I981" s="4">
        <f>IFERROR(__xludf.DUMMYFUNCTION("GOOGLEFINANCE(""CURRENCY:INRBRL"")*F981"),20.827734657199997)</f>
        <v>20.82773466</v>
      </c>
      <c r="J981" s="1">
        <v>4.51</v>
      </c>
      <c r="K981" s="1">
        <v>149.0</v>
      </c>
      <c r="L981" s="1" t="s">
        <v>307</v>
      </c>
      <c r="M981" s="6" t="s">
        <v>3694</v>
      </c>
      <c r="N981" s="7" t="str">
        <f>VLOOKUP(A981, avaliacoes!A:G, 5, FALSE)</f>
        <v>It worked well for some days later it is not working , I want it to replace.,Extremely fine,Superb product,This is very decent, quality is super good!,Good,Awesome Product Quantity &amp; Value For Money,Go for it..,Be(a)st in the market.</v>
      </c>
      <c r="O981" s="7" t="str">
        <f>VLOOKUP(A981, avaliacoes!A:G, 6, FALSE)</f>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v>
      </c>
    </row>
    <row r="982">
      <c r="A982" s="1" t="s">
        <v>3695</v>
      </c>
      <c r="B982" s="1" t="s">
        <v>3696</v>
      </c>
      <c r="C982" s="1" t="s">
        <v>3146</v>
      </c>
      <c r="D982" s="1" t="str">
        <f t="shared" si="2"/>
        <v>Computers&amp;Accessories</v>
      </c>
      <c r="E982" s="1" t="str">
        <f t="shared" si="3"/>
        <v>Accessories&amp;Peripherals</v>
      </c>
      <c r="F982" s="2">
        <v>770.0</v>
      </c>
      <c r="G982" s="2">
        <v>1547.0</v>
      </c>
      <c r="H982" s="3">
        <f t="shared" si="4"/>
        <v>0.5022624434</v>
      </c>
      <c r="I982" s="4">
        <f>IFERROR(__xludf.DUMMYFUNCTION("GOOGLEFINANCE(""CURRENCY:INRBRL"")*F982"),45.952308556)</f>
        <v>45.95230856</v>
      </c>
      <c r="J982" s="1">
        <v>4.5</v>
      </c>
      <c r="K982" s="1">
        <v>2585.0</v>
      </c>
      <c r="L982" s="1" t="s">
        <v>3697</v>
      </c>
      <c r="M982" s="6" t="s">
        <v>3698</v>
      </c>
      <c r="N982" s="7" t="str">
        <f>VLOOKUP(A982, avaliacoes!A:G, 5, FALSE)</f>
        <v>Decent product.,Good,Good quality,It is original hp 65w chrger,Right product,100% authentic,Good Quality,Decent</v>
      </c>
      <c r="O982" s="7" t="str">
        <f>VLOOKUP(A982, avaliacoes!A:G, 6, FALSE)</f>
        <v>It was what I expected.  Does the job.,Recommended.,Nice quality and durable,It is exact same volt and watt as my old charger is.,Best product in this price and overall ok,100% Original,Quality assurance,Decent performance</v>
      </c>
    </row>
    <row r="983">
      <c r="A983" s="1" t="s">
        <v>3699</v>
      </c>
      <c r="B983" s="1" t="s">
        <v>3700</v>
      </c>
      <c r="C983" s="1" t="s">
        <v>1617</v>
      </c>
      <c r="D983" s="1" t="str">
        <f t="shared" si="2"/>
        <v>Electronics</v>
      </c>
      <c r="E983" s="1" t="str">
        <f t="shared" si="3"/>
        <v>Mobiles&amp;Accessories</v>
      </c>
      <c r="F983" s="2">
        <v>279.0</v>
      </c>
      <c r="G983" s="2">
        <v>1299.0</v>
      </c>
      <c r="H983" s="3">
        <f t="shared" si="4"/>
        <v>0.7852193995</v>
      </c>
      <c r="I983" s="4">
        <f>IFERROR(__xludf.DUMMYFUNCTION("GOOGLEFINANCE(""CURRENCY:INRBRL"")*F983"),16.6502520612)</f>
        <v>16.65025206</v>
      </c>
      <c r="J983" s="1">
        <v>4.0</v>
      </c>
      <c r="K983" s="1">
        <v>5072.0</v>
      </c>
      <c r="L983" s="1" t="s">
        <v>3701</v>
      </c>
      <c r="M983" s="6" t="s">
        <v>3702</v>
      </c>
      <c r="N983" s="7" t="str">
        <f>VLOOKUP(A983, avaliacoes!A:G, 5, FALSE)</f>
        <v>Good product,Good,Decent product,Good stand as per the price,Good ,not great,Not so good, not so bad,No provision to tight top up-down part. It gots loose in 3-4 days and leaning downward.,good product</v>
      </c>
      <c r="O983" s="7" t="str">
        <f>VLOOKUP(A983, avaliacoes!A:G, 6, FALSE)</f>
        <v>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v>
      </c>
    </row>
    <row r="984">
      <c r="A984" s="1" t="s">
        <v>3703</v>
      </c>
      <c r="B984" s="1" t="s">
        <v>3704</v>
      </c>
      <c r="C984" s="1" t="s">
        <v>3705</v>
      </c>
      <c r="D984" s="1" t="str">
        <f t="shared" si="2"/>
        <v>HomeImprovement</v>
      </c>
      <c r="E984" s="1" t="str">
        <f t="shared" si="3"/>
        <v>Electrical</v>
      </c>
      <c r="F984" s="2">
        <v>249.0</v>
      </c>
      <c r="G984" s="2">
        <v>599.0</v>
      </c>
      <c r="H984" s="3">
        <f t="shared" si="4"/>
        <v>0.5843071786</v>
      </c>
      <c r="I984" s="4">
        <f>IFERROR(__xludf.DUMMYFUNCTION("GOOGLEFINANCE(""CURRENCY:INRBRL"")*F984"),14.8599023772)</f>
        <v>14.85990238</v>
      </c>
      <c r="J984" s="1">
        <v>4.51</v>
      </c>
      <c r="K984" s="1">
        <v>5985.0</v>
      </c>
      <c r="L984" s="1" t="s">
        <v>3706</v>
      </c>
      <c r="M984" s="6" t="s">
        <v>3707</v>
      </c>
      <c r="N984" s="7" t="str">
        <f>VLOOKUP(A984, avaliacoes!A:G, 5, FALSE)</f>
        <v>Very useful product to organize cable,Great, but a piece missing,Must Have for WFH Setup,Value,Exactly what I expected,Great product with a neat finish,Love it . Little Expensive but can't complain,Very useful product</v>
      </c>
      <c r="O984" s="7" t="str">
        <f>VLOOKUP(A984, avaliacoes!A:G, 6, FALSE)</f>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v>
      </c>
    </row>
    <row r="985">
      <c r="A985" s="1" t="s">
        <v>317</v>
      </c>
      <c r="B985" s="1" t="s">
        <v>318</v>
      </c>
      <c r="C985" s="1" t="s">
        <v>21</v>
      </c>
      <c r="D985" s="1" t="str">
        <f t="shared" si="2"/>
        <v>Computers&amp;Accessories</v>
      </c>
      <c r="E985" s="1" t="str">
        <f t="shared" si="3"/>
        <v>Accessories&amp;Peripherals</v>
      </c>
      <c r="F985" s="2">
        <v>115.0</v>
      </c>
      <c r="G985" s="2">
        <v>499.0</v>
      </c>
      <c r="H985" s="3">
        <f t="shared" si="4"/>
        <v>0.7695390782</v>
      </c>
      <c r="I985" s="4">
        <f>IFERROR(__xludf.DUMMYFUNCTION("GOOGLEFINANCE(""CURRENCY:INRBRL"")*F985"),6.863007121999999)</f>
        <v>6.863007122</v>
      </c>
      <c r="J985" s="1">
        <v>4.0</v>
      </c>
      <c r="K985" s="1">
        <v>7732.0</v>
      </c>
      <c r="L985" s="1" t="s">
        <v>319</v>
      </c>
      <c r="M985" s="6" t="s">
        <v>3708</v>
      </c>
      <c r="N985" s="7" t="str">
        <f>VLOOKUP(A985, avaliacoes!A:G, 5, FALSE)</f>
        <v>Very good product and met my need.  Thanks,Decent value,Nice quality… trustable…,Just well in this price.,supports 2.4 amps fast charging,Nice,Nice.,Value for money</v>
      </c>
      <c r="O985" s="7" t="str">
        <f>VLOOKUP(A985, avaliacoes!A:G,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row>
    <row r="986">
      <c r="A986" s="1" t="s">
        <v>3709</v>
      </c>
      <c r="B986" s="1" t="s">
        <v>3710</v>
      </c>
      <c r="C986" s="1" t="s">
        <v>3711</v>
      </c>
      <c r="D986" s="1" t="str">
        <f t="shared" si="2"/>
        <v>Home&amp;Kitchen</v>
      </c>
      <c r="E986" s="1" t="str">
        <f t="shared" si="3"/>
        <v>CraftMaterials</v>
      </c>
      <c r="F986" s="2">
        <v>230.0</v>
      </c>
      <c r="G986" s="2">
        <v>230.0</v>
      </c>
      <c r="H986" s="3">
        <f t="shared" si="4"/>
        <v>0</v>
      </c>
      <c r="I986" s="4">
        <f>IFERROR(__xludf.DUMMYFUNCTION("GOOGLEFINANCE(""CURRENCY:INRBRL"")*F986"),13.726014243999998)</f>
        <v>13.72601424</v>
      </c>
      <c r="J986" s="1">
        <v>4.51</v>
      </c>
      <c r="K986" s="1">
        <v>9427.0</v>
      </c>
      <c r="L986" s="1" t="s">
        <v>3712</v>
      </c>
      <c r="M986" s="6" t="s">
        <v>3713</v>
      </c>
      <c r="N986" s="7" t="str">
        <f>VLOOKUP(A986, avaliacoes!A:G, 5, FALSE)</f>
        <v>Good product,Decent,Highly recommended,Kids love colour,Most awesome choice for your little artist and you,Good product excellent quality,Good product,This give happiness to my students</v>
      </c>
      <c r="O986" s="7" t="str">
        <f>VLOOKUP(A986, avaliacoes!A:G, 6, FALSE)</f>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v>
      </c>
    </row>
    <row r="987">
      <c r="A987" s="1" t="s">
        <v>321</v>
      </c>
      <c r="B987" s="1" t="s">
        <v>322</v>
      </c>
      <c r="C987" s="1" t="s">
        <v>21</v>
      </c>
      <c r="D987" s="1" t="str">
        <f t="shared" si="2"/>
        <v>Computers&amp;Accessories</v>
      </c>
      <c r="E987" s="1" t="str">
        <f t="shared" si="3"/>
        <v>Accessories&amp;Peripherals</v>
      </c>
      <c r="F987" s="2">
        <v>399.0</v>
      </c>
      <c r="G987" s="2">
        <v>999.0</v>
      </c>
      <c r="H987" s="3">
        <f t="shared" si="4"/>
        <v>0.6006006006</v>
      </c>
      <c r="I987" s="4">
        <f>IFERROR(__xludf.DUMMYFUNCTION("GOOGLEFINANCE(""CURRENCY:INRBRL"")*F987"),23.8116507972)</f>
        <v>23.8116508</v>
      </c>
      <c r="J987" s="1">
        <v>4.49</v>
      </c>
      <c r="K987" s="1">
        <v>178.0</v>
      </c>
      <c r="L987" s="1" t="s">
        <v>323</v>
      </c>
      <c r="M987" s="6" t="s">
        <v>3714</v>
      </c>
      <c r="N987" s="7" t="str">
        <f>VLOOKUP(A987, avaliacoes!A:G, 5, FALSE)</f>
        <v>Better..!!,Charging speed is not guaranteed!,Exactly as advertised,Excellent warp charge cable,Nice,Amazing cable,Best fast charging cable,Really a good cable, Recommend</v>
      </c>
      <c r="O987" s="7" t="str">
        <f>VLOOKUP(A987, avaliacoes!A:G,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row>
    <row r="988">
      <c r="A988" s="1" t="s">
        <v>3715</v>
      </c>
      <c r="B988" s="1" t="s">
        <v>3716</v>
      </c>
      <c r="C988" s="1" t="s">
        <v>2474</v>
      </c>
      <c r="D988" s="1" t="str">
        <f t="shared" si="2"/>
        <v>Computers&amp;Accessories</v>
      </c>
      <c r="E988" s="1" t="str">
        <f t="shared" si="3"/>
        <v>Accessories&amp;Peripherals</v>
      </c>
      <c r="F988" s="2">
        <v>599.0</v>
      </c>
      <c r="G988" s="2">
        <v>700.0</v>
      </c>
      <c r="H988" s="3">
        <f t="shared" si="4"/>
        <v>0.1442857143</v>
      </c>
      <c r="I988" s="4">
        <f>IFERROR(__xludf.DUMMYFUNCTION("GOOGLEFINANCE(""CURRENCY:INRBRL"")*F988"),35.747315357199994)</f>
        <v>35.74731536</v>
      </c>
      <c r="J988" s="1">
        <v>4.5</v>
      </c>
      <c r="K988" s="1">
        <v>2301.0</v>
      </c>
      <c r="L988" s="1" t="s">
        <v>3717</v>
      </c>
      <c r="M988" s="6" t="s">
        <v>3718</v>
      </c>
      <c r="N988" s="7" t="str">
        <f>VLOOKUP(A988, avaliacoes!A:G, 5, FALSE)</f>
        <v>mast mouse hain,Awesome and cheap for gaming mouse,sensitive as I expected,Mouse gaming,Build quality is very worst,awesome design from HP,Best Buy,Perfect 👍</v>
      </c>
      <c r="O988" s="7" t="str">
        <f>VLOOKUP(A988, avaliacoes!A:G, 6, FALSE)</f>
        <v>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v>
      </c>
    </row>
    <row r="989">
      <c r="A989" s="1" t="s">
        <v>3719</v>
      </c>
      <c r="B989" s="1" t="s">
        <v>3720</v>
      </c>
      <c r="C989" s="1" t="s">
        <v>3721</v>
      </c>
      <c r="D989" s="1" t="str">
        <f t="shared" si="2"/>
        <v>Computers&amp;Accessories</v>
      </c>
      <c r="E989" s="1" t="str">
        <f t="shared" si="3"/>
        <v>Printers,Inks&amp;Accessories</v>
      </c>
      <c r="F989" s="2">
        <v>598.0</v>
      </c>
      <c r="G989" s="2">
        <v>1159.0</v>
      </c>
      <c r="H989" s="3">
        <f t="shared" si="4"/>
        <v>0.4840379638</v>
      </c>
      <c r="I989" s="4">
        <f>IFERROR(__xludf.DUMMYFUNCTION("GOOGLEFINANCE(""CURRENCY:INRBRL"")*F989"),35.6876370344)</f>
        <v>35.68763703</v>
      </c>
      <c r="J989" s="1">
        <v>4.49</v>
      </c>
      <c r="K989" s="1">
        <v>2535.0</v>
      </c>
      <c r="L989" s="1" t="s">
        <v>3722</v>
      </c>
      <c r="M989" s="6" t="s">
        <v>3723</v>
      </c>
      <c r="N989" s="7" t="str">
        <f>VLOOKUP(A989, avaliacoes!A:G, 5, FALSE)</f>
        <v>It is value for money,No problem,Nice,Quality,GOOD QUALITY,Nice product,Good,SATISFACTORY</v>
      </c>
      <c r="O989" s="7" t="str">
        <f>VLOOKUP(A989, avaliacoes!A:G, 6, FALSE)</f>
        <v>Product is good, print quality is good,Super printing,Like,Good prospect I am recommending,I USED FOR 20 DAYS BUT I DONT KNOW AFTER THAT WILL PARFORMANCE,Nice product,Good,SATISFACTORY</v>
      </c>
    </row>
    <row r="990">
      <c r="A990" s="1" t="s">
        <v>3724</v>
      </c>
      <c r="B990" s="1" t="s">
        <v>3725</v>
      </c>
      <c r="C990" s="1" t="s">
        <v>2761</v>
      </c>
      <c r="D990" s="1" t="str">
        <f t="shared" si="2"/>
        <v>Computers&amp;Accessories</v>
      </c>
      <c r="E990" s="1" t="str">
        <f t="shared" si="3"/>
        <v>Accessories&amp;Peripherals</v>
      </c>
      <c r="F990" s="2">
        <v>399.0</v>
      </c>
      <c r="G990" s="2">
        <v>1499.0</v>
      </c>
      <c r="H990" s="3">
        <f t="shared" si="4"/>
        <v>0.7338225484</v>
      </c>
      <c r="I990" s="4">
        <f>IFERROR(__xludf.DUMMYFUNCTION("GOOGLEFINANCE(""CURRENCY:INRBRL"")*F990"),23.8116507972)</f>
        <v>23.8116508</v>
      </c>
      <c r="J990" s="1">
        <v>4.0</v>
      </c>
      <c r="K990" s="1">
        <v>691.0</v>
      </c>
      <c r="L990" s="1" t="s">
        <v>3726</v>
      </c>
      <c r="M990" s="6" t="s">
        <v>3727</v>
      </c>
      <c r="N990" s="7" t="str">
        <f>VLOOKUP(A990, avaliacoes!A:G, 5, FALSE)</f>
        <v>Good,No guide stickers provided,Value for money,Ok,Packaging was best actually great,Alignments are not proper,Screen guard,Good</v>
      </c>
      <c r="O990" s="7" t="str">
        <f>VLOOKUP(A990, avaliacoes!A:G, 6, FALSE)</f>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v>
      </c>
    </row>
    <row r="991">
      <c r="A991" s="1" t="s">
        <v>3728</v>
      </c>
      <c r="B991" s="1" t="s">
        <v>3729</v>
      </c>
      <c r="C991" s="1" t="s">
        <v>2283</v>
      </c>
      <c r="D991" s="1" t="str">
        <f t="shared" si="2"/>
        <v>Computers&amp;Accessories</v>
      </c>
      <c r="E991" s="1" t="str">
        <f t="shared" si="3"/>
        <v>Accessories&amp;Peripherals</v>
      </c>
      <c r="F991" s="2">
        <v>499.0</v>
      </c>
      <c r="G991" s="2">
        <v>1299.0</v>
      </c>
      <c r="H991" s="3">
        <f t="shared" si="4"/>
        <v>0.6158583526</v>
      </c>
      <c r="I991" s="4">
        <f>IFERROR(__xludf.DUMMYFUNCTION("GOOGLEFINANCE(""CURRENCY:INRBRL"")*F991"),29.7794830772)</f>
        <v>29.77948308</v>
      </c>
      <c r="J991" s="1">
        <v>4.49</v>
      </c>
      <c r="K991" s="1">
        <v>274.0</v>
      </c>
      <c r="L991" s="1" t="s">
        <v>3730</v>
      </c>
      <c r="M991" s="6" t="s">
        <v>3731</v>
      </c>
      <c r="N991" s="7" t="str">
        <f>VLOOKUP(A991, avaliacoes!A:G, 5, FALSE)</f>
        <v>Good product,Metal but still the hinges can be made little stronger,Need to have slot to keep the stand more steady,Decent product,Good product,Just fine.,Nice,Costly but as per product description. You might get very cheaper in local market</v>
      </c>
      <c r="O991" s="7" t="str">
        <f>VLOOKUP(A991, avaliacoes!A:G, 6, FALSE)</f>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v>
      </c>
    </row>
    <row r="992">
      <c r="A992" s="1" t="s">
        <v>325</v>
      </c>
      <c r="B992" s="1" t="s">
        <v>326</v>
      </c>
      <c r="C992" s="1" t="s">
        <v>21</v>
      </c>
      <c r="D992" s="1" t="str">
        <f t="shared" si="2"/>
        <v>Computers&amp;Accessories</v>
      </c>
      <c r="E992" s="1" t="str">
        <f t="shared" si="3"/>
        <v>Accessories&amp;Peripherals</v>
      </c>
      <c r="F992" s="2">
        <v>199.0</v>
      </c>
      <c r="G992" s="2">
        <v>499.0</v>
      </c>
      <c r="H992" s="3">
        <f t="shared" si="4"/>
        <v>0.6012024048</v>
      </c>
      <c r="I992" s="4">
        <f>IFERROR(__xludf.DUMMYFUNCTION("GOOGLEFINANCE(""CURRENCY:INRBRL"")*F992"),11.8759862372)</f>
        <v>11.87598624</v>
      </c>
      <c r="J992" s="1">
        <v>4.49</v>
      </c>
      <c r="K992" s="1">
        <v>602.0</v>
      </c>
      <c r="L992" s="1" t="s">
        <v>327</v>
      </c>
      <c r="M992" s="6" t="s">
        <v>3732</v>
      </c>
      <c r="N992" s="7" t="str">
        <f>VLOOKUP(A992, avaliacoes!A:G, 5, FALSE)</f>
        <v>Good product,Its good, but micro usb doesn't fit my phone.,Good and useful item,It is very best cable,good,2 in 1 Charging Cable.,Sturdy cable overall,Nice &amp; Best Charger Cabel</v>
      </c>
      <c r="O992" s="7" t="str">
        <f>VLOOKUP(A992, avaliacoes!A:G,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row>
    <row r="993">
      <c r="A993" s="1" t="s">
        <v>3733</v>
      </c>
      <c r="B993" s="1" t="s">
        <v>3734</v>
      </c>
      <c r="C993" s="1" t="s">
        <v>2269</v>
      </c>
      <c r="D993" s="1" t="str">
        <f t="shared" si="2"/>
        <v>Computers&amp;Accessories</v>
      </c>
      <c r="E993" s="1" t="str">
        <f t="shared" si="3"/>
        <v>Accessories&amp;Peripherals</v>
      </c>
      <c r="F993" s="2">
        <v>579.0</v>
      </c>
      <c r="G993" s="2">
        <v>1099.0</v>
      </c>
      <c r="H993" s="3">
        <f t="shared" si="4"/>
        <v>0.4731574158</v>
      </c>
      <c r="I993" s="4">
        <f>IFERROR(__xludf.DUMMYFUNCTION("GOOGLEFINANCE(""CURRENCY:INRBRL"")*F993"),34.553748901199995)</f>
        <v>34.5537489</v>
      </c>
      <c r="J993" s="1">
        <v>4.5</v>
      </c>
      <c r="K993" s="1">
        <v>3482.0</v>
      </c>
      <c r="L993" s="1" t="s">
        <v>3735</v>
      </c>
      <c r="M993" s="6" t="s">
        <v>3736</v>
      </c>
      <c r="N993" s="7" t="str">
        <f>VLOOKUP(A993, avaliacoes!A:G, 5, FALSE)</f>
        <v>Best product,So good,Nice,Worth it,Used it for more than 3 months. No complaints so far,Working as expected,Battery use more,Overall satisfied</v>
      </c>
      <c r="O993" s="7" t="str">
        <f>VLOOKUP(A993, avaliacoes!A:G, 6, FALSE)</f>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v>
      </c>
    </row>
    <row r="994">
      <c r="A994" s="1" t="s">
        <v>329</v>
      </c>
      <c r="B994" s="1" t="s">
        <v>330</v>
      </c>
      <c r="C994" s="1" t="s">
        <v>21</v>
      </c>
      <c r="D994" s="1" t="str">
        <f t="shared" si="2"/>
        <v>Computers&amp;Accessories</v>
      </c>
      <c r="E994" s="1" t="str">
        <f t="shared" si="3"/>
        <v>Accessories&amp;Peripherals</v>
      </c>
      <c r="F994" s="2">
        <v>179.0</v>
      </c>
      <c r="G994" s="2">
        <v>399.0</v>
      </c>
      <c r="H994" s="3">
        <f t="shared" si="4"/>
        <v>0.5513784461</v>
      </c>
      <c r="I994" s="4">
        <f>IFERROR(__xludf.DUMMYFUNCTION("GOOGLEFINANCE(""CURRENCY:INRBRL"")*F994"),10.682419781199998)</f>
        <v>10.68241978</v>
      </c>
      <c r="J994" s="1">
        <v>4.0</v>
      </c>
      <c r="K994" s="1">
        <v>1423.0</v>
      </c>
      <c r="L994" s="1" t="s">
        <v>331</v>
      </c>
      <c r="M994" s="6" t="s">
        <v>3737</v>
      </c>
      <c r="N994" s="7" t="str">
        <f>VLOOKUP(A994, avaliacoes!A:G, 5, FALSE)</f>
        <v>GOOD,Thank you  Amazon very good charging cable,Good,Very good product,good quality,Very Good Product,This is fast charging USB!,Simply perfect at the price of below 100</v>
      </c>
      <c r="O994" s="7" t="str">
        <f>VLOOKUP(A994,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row>
    <row r="995">
      <c r="A995" s="1" t="s">
        <v>3738</v>
      </c>
      <c r="B995" s="1" t="s">
        <v>3739</v>
      </c>
      <c r="C995" s="1" t="s">
        <v>3740</v>
      </c>
      <c r="D995" s="1" t="str">
        <f t="shared" si="2"/>
        <v>OfficeProducts</v>
      </c>
      <c r="E995" s="1" t="str">
        <f t="shared" si="3"/>
        <v>OfficePaperProducts</v>
      </c>
      <c r="F995" s="2">
        <v>90.0</v>
      </c>
      <c r="G995" s="2">
        <v>100.0</v>
      </c>
      <c r="H995" s="3">
        <f t="shared" si="4"/>
        <v>0.1</v>
      </c>
      <c r="I995" s="4">
        <f>IFERROR(__xludf.DUMMYFUNCTION("GOOGLEFINANCE(""CURRENCY:INRBRL"")*F995"),5.371049052)</f>
        <v>5.371049052</v>
      </c>
      <c r="J995" s="1">
        <v>4.49</v>
      </c>
      <c r="K995" s="1">
        <v>6199.0</v>
      </c>
      <c r="L995" s="1" t="s">
        <v>3741</v>
      </c>
      <c r="M995" s="6" t="s">
        <v>3742</v>
      </c>
      <c r="N995" s="7" t="str">
        <f>VLOOKUP(A995, avaliacoes!A:G, 5, FALSE)</f>
        <v>Good... 😊,Nice pen but it has some problems.,A great buy,Good pen but finished really quick,It's ink gets finished after using it only for 2 or 3 times,Very nice pen,Best for neat homework.,It's help me earn my bread butter</v>
      </c>
      <c r="O995" s="7" t="str">
        <f>VLOOKUP(A995, avaliacoes!A:G, 6, FALSE)</f>
        <v>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v>
      </c>
    </row>
    <row r="996">
      <c r="A996" s="1" t="s">
        <v>3743</v>
      </c>
      <c r="B996" s="1" t="s">
        <v>3744</v>
      </c>
      <c r="C996" s="1" t="s">
        <v>2283</v>
      </c>
      <c r="D996" s="1" t="str">
        <f t="shared" si="2"/>
        <v>Computers&amp;Accessories</v>
      </c>
      <c r="E996" s="1" t="str">
        <f t="shared" si="3"/>
        <v>Accessories&amp;Peripherals</v>
      </c>
      <c r="F996" s="2">
        <v>899.0</v>
      </c>
      <c r="G996" s="2">
        <v>1999.0</v>
      </c>
      <c r="H996" s="3">
        <f t="shared" si="4"/>
        <v>0.5502751376</v>
      </c>
      <c r="I996" s="4">
        <f>IFERROR(__xludf.DUMMYFUNCTION("GOOGLEFINANCE(""CURRENCY:INRBRL"")*F996"),53.6508121972)</f>
        <v>53.6508122</v>
      </c>
      <c r="J996" s="1">
        <v>4.5</v>
      </c>
      <c r="K996" s="1">
        <v>1667.0</v>
      </c>
      <c r="L996" s="1" t="s">
        <v>3745</v>
      </c>
      <c r="M996" s="6" t="s">
        <v>3746</v>
      </c>
      <c r="N996" s="7" t="str">
        <f>VLOOKUP(A996, avaliacoes!A:G, 5, FALSE)</f>
        <v>Overall good product,Perfect,Amazing product for Laptop,Good product,Very good, can be better,Good product,Good product,Not worth the money!</v>
      </c>
      <c r="O996" s="7" t="str">
        <f>VLOOKUP(A996, avaliacoes!A:G, 6, FALSE)</f>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v>
      </c>
    </row>
    <row r="997">
      <c r="A997" s="1" t="s">
        <v>3747</v>
      </c>
      <c r="B997" s="1" t="s">
        <v>3748</v>
      </c>
      <c r="C997" s="1" t="s">
        <v>3430</v>
      </c>
      <c r="D997" s="1" t="str">
        <f t="shared" si="2"/>
        <v>Computers&amp;Accessories</v>
      </c>
      <c r="E997" s="1" t="str">
        <f t="shared" si="3"/>
        <v>Accessories&amp;Peripherals</v>
      </c>
      <c r="F997" s="2">
        <v>1149.0</v>
      </c>
      <c r="G997" s="2">
        <v>1799.0</v>
      </c>
      <c r="H997" s="3">
        <f t="shared" si="4"/>
        <v>0.3613118399</v>
      </c>
      <c r="I997" s="4">
        <f>IFERROR(__xludf.DUMMYFUNCTION("GOOGLEFINANCE(""CURRENCY:INRBRL"")*F997"),68.5703928972)</f>
        <v>68.5703929</v>
      </c>
      <c r="J997" s="1">
        <v>4.5</v>
      </c>
      <c r="K997" s="1">
        <v>4723.0</v>
      </c>
      <c r="L997" s="1" t="s">
        <v>3749</v>
      </c>
      <c r="M997" s="6" t="s">
        <v>3750</v>
      </c>
      <c r="N997" s="7" t="str">
        <f>VLOOKUP(A997, avaliacoes!A:G, 5, FALSE)</f>
        <v>Good keyboard with some cons,Wrist pain,Worth buying....!,Acceptable,Value for money,The silver coating came off after 3days of using,Awesome keyboard,Budget friendly keyboard with 3years of warranty.</v>
      </c>
      <c r="O997" s="7" t="str">
        <f>VLOOKUP(A997, avaliacoes!A:G, 6, FALSE)</f>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v>
      </c>
    </row>
    <row r="998">
      <c r="A998" s="1" t="s">
        <v>3751</v>
      </c>
      <c r="B998" s="1" t="s">
        <v>3752</v>
      </c>
      <c r="C998" s="1" t="s">
        <v>2849</v>
      </c>
      <c r="D998" s="1" t="str">
        <f t="shared" si="2"/>
        <v>Computers&amp;Accessories</v>
      </c>
      <c r="E998" s="1" t="str">
        <f t="shared" si="3"/>
        <v>Accessories&amp;Peripherals</v>
      </c>
      <c r="F998" s="2">
        <v>249.0</v>
      </c>
      <c r="G998" s="2">
        <v>499.0</v>
      </c>
      <c r="H998" s="3">
        <f t="shared" si="4"/>
        <v>0.501002004</v>
      </c>
      <c r="I998" s="4">
        <f>IFERROR(__xludf.DUMMYFUNCTION("GOOGLEFINANCE(""CURRENCY:INRBRL"")*F998"),14.8599023772)</f>
        <v>14.85990238</v>
      </c>
      <c r="J998" s="1">
        <v>4.5</v>
      </c>
      <c r="K998" s="1">
        <v>2286.0</v>
      </c>
      <c r="L998" s="1" t="s">
        <v>3753</v>
      </c>
      <c r="M998" s="6" t="s">
        <v>3754</v>
      </c>
      <c r="N998" s="7" t="str">
        <f>VLOOKUP(A998, avaliacoes!A:G, 5, FALSE)</f>
        <v>quality is awesome trust me guys 👍,Nice to purchase,Aesthetic look but not sure about the reverse side,worth the money,Zipless and logoless but great product,Value for money product,Looks good,Size</v>
      </c>
      <c r="O998" s="7" t="str">
        <f>VLOOKUP(A998, avaliacoes!A:G, 6, FALSE)</f>
        <v>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v>
      </c>
    </row>
    <row r="999">
      <c r="A999" s="1" t="s">
        <v>3755</v>
      </c>
      <c r="B999" s="1" t="s">
        <v>3756</v>
      </c>
      <c r="C999" s="1" t="s">
        <v>2688</v>
      </c>
      <c r="D999" s="1" t="str">
        <f t="shared" si="2"/>
        <v>Computers&amp;Accessories</v>
      </c>
      <c r="E999" s="1" t="str">
        <f t="shared" si="3"/>
        <v>Accessories&amp;Peripherals</v>
      </c>
      <c r="F999" s="2">
        <v>39.0</v>
      </c>
      <c r="G999" s="2">
        <v>39.0</v>
      </c>
      <c r="H999" s="3">
        <f t="shared" si="4"/>
        <v>0</v>
      </c>
      <c r="I999" s="4">
        <f>IFERROR(__xludf.DUMMYFUNCTION("GOOGLEFINANCE(""CURRENCY:INRBRL"")*F999"),2.3274545892)</f>
        <v>2.327454589</v>
      </c>
      <c r="J999" s="1">
        <v>4.51</v>
      </c>
      <c r="K999" s="1">
        <v>13572.0</v>
      </c>
      <c r="L999" s="1" t="s">
        <v>3679</v>
      </c>
      <c r="M999" s="6" t="s">
        <v>3757</v>
      </c>
      <c r="N999" s="7" t="str">
        <f>VLOOKUP(A999, avaliacoes!A:G, 5, FALSE)</f>
        <v>it worked properly for almost one year,ok,USB lamp,Value for money.,For defective I guess. One or two LED not illuminating properly.,Just ok,Very short,Ultimate nice products</v>
      </c>
      <c r="O999" s="7" t="str">
        <f>VLOOKUP(A999, avaliacoes!A:G, 6, FALSE)</f>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v>
      </c>
    </row>
    <row r="1000">
      <c r="A1000" s="1" t="s">
        <v>3758</v>
      </c>
      <c r="B1000" s="1" t="s">
        <v>3759</v>
      </c>
      <c r="C1000" s="1" t="s">
        <v>2427</v>
      </c>
      <c r="D1000" s="1" t="str">
        <f t="shared" si="2"/>
        <v>Computers&amp;Accessories</v>
      </c>
      <c r="E1000" s="1" t="str">
        <f t="shared" si="3"/>
        <v>NetworkingDevices</v>
      </c>
      <c r="F1000" s="2">
        <v>1599.0</v>
      </c>
      <c r="G1000" s="2">
        <v>3599.0</v>
      </c>
      <c r="H1000" s="3">
        <f t="shared" si="4"/>
        <v>0.5557099194</v>
      </c>
      <c r="I1000" s="4">
        <f>IFERROR(__xludf.DUMMYFUNCTION("GOOGLEFINANCE(""CURRENCY:INRBRL"")*F1000"),95.4256381572)</f>
        <v>95.42563816</v>
      </c>
      <c r="J1000" s="1">
        <v>4.5</v>
      </c>
      <c r="K1000" s="1">
        <v>16182.0</v>
      </c>
      <c r="L1000" s="1" t="s">
        <v>3760</v>
      </c>
      <c r="M1000" s="6" t="s">
        <v>3761</v>
      </c>
      <c r="N1000" s="7" t="str">
        <f>VLOOKUP(A1000, avaliacoes!A:G, 5, FALSE)</f>
        <v>Good wifi extender,Value for money!,Nice Product,very satisfied,Does the job,The product seems to be decent and good.,Good for home use,Extender is good but no 5G</v>
      </c>
      <c r="O1000" s="7" t="str">
        <f>VLOOKUP(A1000, avaliacoes!A:G, 6, FALSE)</f>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v>
      </c>
    </row>
    <row r="1001">
      <c r="A1001" s="1" t="s">
        <v>3762</v>
      </c>
      <c r="B1001" s="1" t="s">
        <v>3763</v>
      </c>
      <c r="C1001" s="1" t="s">
        <v>2553</v>
      </c>
      <c r="D1001" s="1" t="str">
        <f t="shared" si="2"/>
        <v>Electronics</v>
      </c>
      <c r="E1001" s="1" t="str">
        <f t="shared" si="3"/>
        <v>HomeAudio</v>
      </c>
      <c r="F1001" s="2">
        <v>1199.0</v>
      </c>
      <c r="G1001" s="2">
        <v>3999.0</v>
      </c>
      <c r="H1001" s="3">
        <f t="shared" si="4"/>
        <v>0.7001750438</v>
      </c>
      <c r="I1001" s="4">
        <f>IFERROR(__xludf.DUMMYFUNCTION("GOOGLEFINANCE(""CURRENCY:INRBRL"")*F1001"),71.5543090372)</f>
        <v>71.55430904</v>
      </c>
      <c r="J1001" s="1">
        <v>4.5</v>
      </c>
      <c r="K1001" s="1">
        <v>2908.0</v>
      </c>
      <c r="L1001" s="1" t="s">
        <v>3764</v>
      </c>
      <c r="M1001" s="6" t="s">
        <v>3765</v>
      </c>
      <c r="N1001" s="7" t="str">
        <f>VLOOKUP(A1001, avaliacoes!A:G, 5, FALSE)</f>
        <v>Strudy, Awesome connectivity........but bass is NOT upto the mark,Good for home,Superb Product but no memory card slot,Good box as per range,Good,Good but battery drain fast...,Good,Very good</v>
      </c>
      <c r="O1001" s="7" t="str">
        <f>VLOOKUP(A1001, avaliacoes!A:G, 6, FALSE)</f>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v>
      </c>
    </row>
    <row r="1002">
      <c r="A1002" s="1" t="s">
        <v>337</v>
      </c>
      <c r="B1002" s="1" t="s">
        <v>338</v>
      </c>
      <c r="C1002" s="1" t="s">
        <v>21</v>
      </c>
      <c r="D1002" s="1" t="str">
        <f t="shared" si="2"/>
        <v>Computers&amp;Accessories</v>
      </c>
      <c r="E1002" s="1" t="str">
        <f t="shared" si="3"/>
        <v>Accessories&amp;Peripherals</v>
      </c>
      <c r="F1002" s="2">
        <v>209.0</v>
      </c>
      <c r="G1002" s="2">
        <v>499.0</v>
      </c>
      <c r="H1002" s="3">
        <f t="shared" si="4"/>
        <v>0.5811623246</v>
      </c>
      <c r="I1002" s="4">
        <f>IFERROR(__xludf.DUMMYFUNCTION("GOOGLEFINANCE(""CURRENCY:INRBRL"")*F1002"),12.472769465199999)</f>
        <v>12.47276947</v>
      </c>
      <c r="J1002" s="1">
        <v>4.52</v>
      </c>
      <c r="K1002" s="1">
        <v>536.0</v>
      </c>
      <c r="L1002" s="1" t="s">
        <v>339</v>
      </c>
      <c r="M1002" s="6" t="s">
        <v>3766</v>
      </c>
      <c r="N1002" s="7" t="str">
        <f>VLOOKUP(A1002, avaliacoes!A:G, 5, FALSE)</f>
        <v>Value for money,Nice product,timely delivered with good packeging,Good in quality,Quite nice cable,  Go for it,Good product , value for money,Worth buying,Nice</v>
      </c>
      <c r="O1002" s="7" t="str">
        <f>VLOOKUP(A1002, avaliacoes!A:G, 6, FALSE)</f>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v>
      </c>
    </row>
    <row r="1003">
      <c r="A1003" s="1" t="s">
        <v>3767</v>
      </c>
      <c r="B1003" s="1" t="s">
        <v>3768</v>
      </c>
      <c r="C1003" s="1" t="s">
        <v>2269</v>
      </c>
      <c r="D1003" s="1" t="str">
        <f t="shared" si="2"/>
        <v>Computers&amp;Accessories</v>
      </c>
      <c r="E1003" s="1" t="str">
        <f t="shared" si="3"/>
        <v>Accessories&amp;Peripherals</v>
      </c>
      <c r="F1003" s="2">
        <v>1099.0</v>
      </c>
      <c r="G1003" s="2">
        <v>1499.0</v>
      </c>
      <c r="H1003" s="3">
        <f t="shared" si="4"/>
        <v>0.266844563</v>
      </c>
      <c r="I1003" s="4">
        <f>IFERROR(__xludf.DUMMYFUNCTION("GOOGLEFINANCE(""CURRENCY:INRBRL"")*F1003"),65.58647675719999)</f>
        <v>65.58647676</v>
      </c>
      <c r="J1003" s="1">
        <v>4.5</v>
      </c>
      <c r="K1003" s="1">
        <v>2375.0</v>
      </c>
      <c r="L1003" s="1" t="s">
        <v>3769</v>
      </c>
      <c r="M1003" s="6" t="s">
        <v>3770</v>
      </c>
      <c r="N1003" s="7" t="str">
        <f>VLOOKUP(A1003, avaliacoes!A:G, 5, FALSE)</f>
        <v>Android &amp; IOS,About Mouse,Broke after two weeks - Update: Product replaced twice and it works now,Good,A perfect one,A decent device for daily use,Overall a good product,So far so good!</v>
      </c>
      <c r="O1003" s="7" t="str">
        <f>VLOOKUP(A1003, avaliacoes!A:G, 6, FALSE)</f>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v>
      </c>
    </row>
    <row r="1004">
      <c r="A1004" s="1" t="s">
        <v>3771</v>
      </c>
      <c r="B1004" s="1" t="s">
        <v>3772</v>
      </c>
      <c r="C1004" s="1" t="s">
        <v>2880</v>
      </c>
      <c r="D1004" s="1" t="str">
        <f t="shared" si="2"/>
        <v>OfficeProducts</v>
      </c>
      <c r="E1004" s="1" t="str">
        <f t="shared" si="3"/>
        <v>OfficePaperProducts</v>
      </c>
      <c r="F1004" s="2">
        <v>120.0</v>
      </c>
      <c r="G1004" s="2">
        <v>120.0</v>
      </c>
      <c r="H1004" s="3">
        <f t="shared" si="4"/>
        <v>0</v>
      </c>
      <c r="I1004" s="4">
        <f>IFERROR(__xludf.DUMMYFUNCTION("GOOGLEFINANCE(""CURRENCY:INRBRL"")*F1004"),7.161398736)</f>
        <v>7.161398736</v>
      </c>
      <c r="J1004" s="1">
        <v>4.51</v>
      </c>
      <c r="K1004" s="1">
        <v>4951.0</v>
      </c>
      <c r="L1004" s="1" t="s">
        <v>3773</v>
      </c>
      <c r="M1004" s="6" t="s">
        <v>3774</v>
      </c>
      <c r="N1004" s="7" t="str">
        <f>VLOOKUP(A1004, avaliacoes!A:G, 5, FALSE)</f>
        <v>Good product for beginners,Wonderful,Good,Rate is affordable,Nice will order again,Very good deal,Super,Drawing books</v>
      </c>
      <c r="O1004" s="7" t="str">
        <f>VLOOKUP(A1004, avaliacoes!A:G, 6, FALSE)</f>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v>
      </c>
    </row>
    <row r="1005">
      <c r="A1005" s="1" t="s">
        <v>3775</v>
      </c>
      <c r="B1005" s="1" t="s">
        <v>3776</v>
      </c>
      <c r="C1005" s="1" t="s">
        <v>3430</v>
      </c>
      <c r="D1005" s="1" t="str">
        <f t="shared" si="2"/>
        <v>Computers&amp;Accessories</v>
      </c>
      <c r="E1005" s="1" t="str">
        <f t="shared" si="3"/>
        <v>Accessories&amp;Peripherals</v>
      </c>
      <c r="F1005" s="2">
        <v>1519.0</v>
      </c>
      <c r="G1005" s="2">
        <v>3499.0</v>
      </c>
      <c r="H1005" s="3">
        <f t="shared" si="4"/>
        <v>0.5658759646</v>
      </c>
      <c r="I1005" s="4">
        <f>IFERROR(__xludf.DUMMYFUNCTION("GOOGLEFINANCE(""CURRENCY:INRBRL"")*F1005"),90.65137233319999)</f>
        <v>90.65137233</v>
      </c>
      <c r="J1005" s="1">
        <v>4.5</v>
      </c>
      <c r="K1005" s="1">
        <v>408.0</v>
      </c>
      <c r="L1005" s="1" t="s">
        <v>3777</v>
      </c>
      <c r="M1005" s="6" t="s">
        <v>3778</v>
      </c>
      <c r="N1005" s="7" t="str">
        <f>VLOOKUP(A1005, avaliacoes!A:G, 5, FALSE)</f>
        <v>I was skeptical at the beginning but now love it.,It is mechanical keyboard,Very Good Build quality, price of Rs.1500/- is justified.,Amazing,Great budget keyboard,Value for money,Very good performance,It is good if you get it under 2000 otherwise don't buy it</v>
      </c>
      <c r="O1005" s="7" t="str">
        <f>VLOOKUP(A1005, avaliacoes!A:G, 6, FALSE)</f>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v>
      </c>
    </row>
    <row r="1006">
      <c r="A1006" s="1" t="s">
        <v>3779</v>
      </c>
      <c r="B1006" s="1" t="s">
        <v>3780</v>
      </c>
      <c r="C1006" s="1" t="s">
        <v>3740</v>
      </c>
      <c r="D1006" s="1" t="str">
        <f t="shared" si="2"/>
        <v>OfficeProducts</v>
      </c>
      <c r="E1006" s="1" t="str">
        <f t="shared" si="3"/>
        <v>OfficePaperProducts</v>
      </c>
      <c r="F1006" s="2">
        <v>420.0</v>
      </c>
      <c r="G1006" s="2">
        <v>420.0</v>
      </c>
      <c r="H1006" s="3">
        <f t="shared" si="4"/>
        <v>0</v>
      </c>
      <c r="I1006" s="4">
        <f>IFERROR(__xludf.DUMMYFUNCTION("GOOGLEFINANCE(""CURRENCY:INRBRL"")*F1006"),25.064895575999998)</f>
        <v>25.06489558</v>
      </c>
      <c r="J1006" s="1">
        <v>4.5</v>
      </c>
      <c r="K1006" s="1">
        <v>1926.0</v>
      </c>
      <c r="L1006" s="1" t="s">
        <v>3781</v>
      </c>
      <c r="M1006" s="6" t="s">
        <v>3782</v>
      </c>
      <c r="N1006" s="7" t="str">
        <f>VLOOKUP(A1006, avaliacoes!A:G, 5, FALSE)</f>
        <v>Nice but few Cons (*that you must read*),Smooth,Nice,Somewhat good.,Its ok,Very nice pen,Nice product,Best parker pen with very cool design</v>
      </c>
      <c r="O1006" s="7" t="str">
        <f>VLOOKUP(A1006, avaliacoes!A:G, 6, FALSE)</f>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v>
      </c>
    </row>
    <row r="1007">
      <c r="A1007" s="1" t="s">
        <v>3783</v>
      </c>
      <c r="B1007" s="1" t="s">
        <v>3784</v>
      </c>
      <c r="C1007" s="1" t="s">
        <v>3785</v>
      </c>
      <c r="D1007" s="1" t="str">
        <f t="shared" si="2"/>
        <v>OfficeProducts</v>
      </c>
      <c r="E1007" s="1" t="str">
        <f t="shared" si="3"/>
        <v>OfficePaperProducts</v>
      </c>
      <c r="F1007" s="2">
        <v>225.0</v>
      </c>
      <c r="G1007" s="2">
        <v>225.0</v>
      </c>
      <c r="H1007" s="3">
        <f t="shared" si="4"/>
        <v>0</v>
      </c>
      <c r="I1007" s="4">
        <f>IFERROR(__xludf.DUMMYFUNCTION("GOOGLEFINANCE(""CURRENCY:INRBRL"")*F1007"),13.427622629999998)</f>
        <v>13.42762263</v>
      </c>
      <c r="J1007" s="1">
        <v>4.49</v>
      </c>
      <c r="K1007" s="1">
        <v>4798.0</v>
      </c>
      <c r="L1007" s="1" t="s">
        <v>3786</v>
      </c>
      <c r="M1007" s="6" t="s">
        <v>3787</v>
      </c>
      <c r="N1007" s="7" t="str">
        <f>VLOOKUP(A1007, avaliacoes!A:G, 5, FALSE)</f>
        <v>Good Pen at Low Cost,... have been reading about this pen which I would like to answer,Decent (at this price),Very nice.,Not for speedy write...,Nice pen good quality could be more smoother,Smooth,Superb Fountain Pen for all types of users</v>
      </c>
      <c r="O1007" s="7" t="str">
        <f>VLOOKUP(A1007, avaliacoes!A:G, 6, FALSE)</f>
        <v>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v>
      </c>
    </row>
    <row r="1008">
      <c r="A1008" s="1" t="s">
        <v>3788</v>
      </c>
      <c r="B1008" s="1" t="s">
        <v>3789</v>
      </c>
      <c r="C1008" s="1" t="s">
        <v>3790</v>
      </c>
      <c r="D1008" s="1" t="str">
        <f t="shared" si="2"/>
        <v>Computers&amp;Accessories</v>
      </c>
      <c r="E1008" s="1" t="str">
        <f t="shared" si="3"/>
        <v>Accessories&amp;Peripherals</v>
      </c>
      <c r="F1008" s="2">
        <v>199.0</v>
      </c>
      <c r="G1008" s="2">
        <v>799.0</v>
      </c>
      <c r="H1008" s="3">
        <f t="shared" si="4"/>
        <v>0.7509386733</v>
      </c>
      <c r="I1008" s="4">
        <f>IFERROR(__xludf.DUMMYFUNCTION("GOOGLEFINANCE(""CURRENCY:INRBRL"")*F1008"),11.8759862372)</f>
        <v>11.87598624</v>
      </c>
      <c r="J1008" s="1">
        <v>4.49</v>
      </c>
      <c r="K1008" s="1">
        <v>7333.0</v>
      </c>
      <c r="L1008" s="1" t="s">
        <v>3791</v>
      </c>
      <c r="M1008" s="6" t="s">
        <v>3792</v>
      </c>
      <c r="N1008" s="7" t="str">
        <f>VLOOKUP(A1008, avaliacoes!A:G, 5, FALSE)</f>
        <v>Perfect For HP Laptop,Okay,Good,Worst Product by Seller,Above average,Product achha laga,Working fine,Worth the Price - Front Panel cover not included as shown in product description</v>
      </c>
      <c r="O1008" s="7" t="str">
        <f>VLOOKUP(A1008, avaliacoes!A:G, 6, FALSE)</f>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v>
      </c>
    </row>
    <row r="1009">
      <c r="A1009" s="1" t="s">
        <v>2202</v>
      </c>
      <c r="B1009" s="1" t="s">
        <v>2203</v>
      </c>
      <c r="C1009" s="1" t="s">
        <v>1587</v>
      </c>
      <c r="D1009" s="1" t="str">
        <f t="shared" si="2"/>
        <v>Electronics</v>
      </c>
      <c r="E1009" s="1" t="str">
        <f t="shared" si="3"/>
        <v>Mobiles&amp;Accessories</v>
      </c>
      <c r="F1009" s="2">
        <v>1799.0</v>
      </c>
      <c r="G1009" s="2">
        <v>3999.0</v>
      </c>
      <c r="H1009" s="3">
        <f t="shared" si="4"/>
        <v>0.5501375344</v>
      </c>
      <c r="I1009" s="4">
        <f>IFERROR(__xludf.DUMMYFUNCTION("GOOGLEFINANCE(""CURRENCY:INRBRL"")*F1009"),107.36130271719999)</f>
        <v>107.3613027</v>
      </c>
      <c r="J1009" s="1">
        <v>4.51</v>
      </c>
      <c r="K1009" s="1">
        <v>245.0</v>
      </c>
      <c r="L1009" s="1" t="s">
        <v>2204</v>
      </c>
      <c r="M1009" s="6" t="s">
        <v>3793</v>
      </c>
      <c r="N1009" s="7" t="str">
        <f>VLOOKUP(A1009, avaliacoes!A:G, 5, FALSE)</f>
        <v>Good,Good Product but Little expensive.,Happy with the purchase,Good buy in price range,Best travel companion,For instagram reels zoom in and zoom out switch is not available,MUST BUY FOR EVERY ONE WHO OWNS A MOBILE PHONE !!!,A good selfie stick</v>
      </c>
      <c r="O1009" s="7" t="str">
        <f>VLOOKUP(A1009, avaliacoes!A:G, 6, FALSE)</f>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v>
      </c>
    </row>
    <row r="1010">
      <c r="A1010" s="1" t="s">
        <v>3794</v>
      </c>
      <c r="B1010" s="1" t="s">
        <v>3795</v>
      </c>
      <c r="C1010" s="1" t="s">
        <v>3483</v>
      </c>
      <c r="D1010" s="1" t="str">
        <f t="shared" si="2"/>
        <v>Computers&amp;Accessories</v>
      </c>
      <c r="E1010" s="1" t="str">
        <f t="shared" si="3"/>
        <v>Printers,Inks&amp;Accessories</v>
      </c>
      <c r="F1010" s="2">
        <v>8349.0</v>
      </c>
      <c r="G1010" s="2">
        <v>9625.0</v>
      </c>
      <c r="H1010" s="3">
        <f t="shared" si="4"/>
        <v>0.1325714286</v>
      </c>
      <c r="I1010" s="4">
        <f>IFERROR(__xludf.DUMMYFUNCTION("GOOGLEFINANCE(""CURRENCY:INRBRL"")*F1010"),498.25431705719996)</f>
        <v>498.2543171</v>
      </c>
      <c r="J1010" s="1">
        <v>4.51</v>
      </c>
      <c r="K1010" s="1">
        <v>3652.0</v>
      </c>
      <c r="L1010" s="1" t="s">
        <v>3796</v>
      </c>
      <c r="M1010" s="6" t="s">
        <v>3797</v>
      </c>
      <c r="N1010" s="7" t="str">
        <f>VLOOKUP(A1010, avaliacoes!A:G, 5, FALSE)</f>
        <v>A seamless printing experience, with scope for improvements in set up,Good One,Very user friendly when compare with others,Best for home use,Good for home use,good printer,Good,Good for occasional printing. Extremely easy to use</v>
      </c>
      <c r="O1010" s="7" t="str">
        <f>VLOOKUP(A1010, avaliacoes!A:G, 6, FALSE)</f>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v>
      </c>
    </row>
    <row r="1011">
      <c r="A1011" s="1" t="s">
        <v>3798</v>
      </c>
      <c r="B1011" s="1" t="s">
        <v>3799</v>
      </c>
      <c r="C1011" s="1" t="s">
        <v>3073</v>
      </c>
      <c r="D1011" s="1" t="str">
        <f t="shared" si="2"/>
        <v>Computers&amp;Accessories</v>
      </c>
      <c r="E1011" s="1" t="str">
        <f t="shared" si="3"/>
        <v>Components</v>
      </c>
      <c r="F1011" s="2">
        <v>3307.0</v>
      </c>
      <c r="G1011" s="2">
        <v>6099.0</v>
      </c>
      <c r="H1011" s="3">
        <f t="shared" si="4"/>
        <v>0.4577799639</v>
      </c>
      <c r="I1011" s="4">
        <f>IFERROR(__xludf.DUMMYFUNCTION("GOOGLEFINANCE(""CURRENCY:INRBRL"")*F1011"),197.3562134996)</f>
        <v>197.3562135</v>
      </c>
      <c r="J1011" s="1">
        <v>4.5</v>
      </c>
      <c r="K1011" s="1">
        <v>2515.0</v>
      </c>
      <c r="L1011" s="1" t="s">
        <v>3800</v>
      </c>
      <c r="M1011" s="6" t="s">
        <v>3801</v>
      </c>
      <c r="N1011" s="7" t="str">
        <f>VLOOKUP(A1011, avaliacoes!A:G, 5, FALSE)</f>
        <v>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v>
      </c>
      <c r="O1011" s="7" t="str">
        <f>VLOOKUP(A1011, avaliacoes!A:G, 6, FALSE)</f>
        <v>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v>
      </c>
    </row>
    <row r="1012">
      <c r="A1012" s="1" t="s">
        <v>361</v>
      </c>
      <c r="B1012" s="1" t="s">
        <v>362</v>
      </c>
      <c r="C1012" s="1" t="s">
        <v>21</v>
      </c>
      <c r="D1012" s="1" t="str">
        <f t="shared" si="2"/>
        <v>Computers&amp;Accessories</v>
      </c>
      <c r="E1012" s="1" t="str">
        <f t="shared" si="3"/>
        <v>Accessories&amp;Peripherals</v>
      </c>
      <c r="F1012" s="2">
        <v>325.0</v>
      </c>
      <c r="G1012" s="2">
        <v>1299.0</v>
      </c>
      <c r="H1012" s="3">
        <f t="shared" si="4"/>
        <v>0.7498075443</v>
      </c>
      <c r="I1012" s="4">
        <f>IFERROR(__xludf.DUMMYFUNCTION("GOOGLEFINANCE(""CURRENCY:INRBRL"")*F1012"),19.395454909999998)</f>
        <v>19.39545491</v>
      </c>
      <c r="J1012" s="1">
        <v>4.5</v>
      </c>
      <c r="K1012" s="1">
        <v>10576.0</v>
      </c>
      <c r="L1012" s="1" t="s">
        <v>363</v>
      </c>
      <c r="M1012" s="6" t="s">
        <v>3802</v>
      </c>
      <c r="N1012" s="7" t="str">
        <f>VLOOKUP(A1012, avaliacoes!A:G, 5, FALSE)</f>
        <v>Nice product .,Good quality Braided cable, VFM,Good cord, but has Earthing issue,Ok,Good product. Little bit fast charger for phones like redmi.,Fast charging is working properly,Money value product 👌,Cable a Nice product</v>
      </c>
      <c r="O1012" s="7" t="str">
        <f>VLOOKUP(A1012, avaliacoes!A:G,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row>
    <row r="1013">
      <c r="A1013" s="1" t="s">
        <v>3803</v>
      </c>
      <c r="B1013" s="1" t="s">
        <v>3804</v>
      </c>
      <c r="C1013" s="1" t="s">
        <v>2264</v>
      </c>
      <c r="D1013" s="1" t="str">
        <f t="shared" si="2"/>
        <v>Computers&amp;Accessories</v>
      </c>
      <c r="E1013" s="1" t="str">
        <f t="shared" si="3"/>
        <v>ExternalDevices&amp;DataStorage</v>
      </c>
      <c r="F1013" s="2">
        <v>449.0</v>
      </c>
      <c r="G1013" s="2">
        <v>1299.0</v>
      </c>
      <c r="H1013" s="3">
        <f t="shared" si="4"/>
        <v>0.6543494996</v>
      </c>
      <c r="I1013" s="4">
        <f>IFERROR(__xludf.DUMMYFUNCTION("GOOGLEFINANCE(""CURRENCY:INRBRL"")*F1013"),26.795566937199997)</f>
        <v>26.79556694</v>
      </c>
      <c r="J1013" s="1">
        <v>4.5</v>
      </c>
      <c r="K1013" s="1">
        <v>4959.0</v>
      </c>
      <c r="L1013" s="1" t="s">
        <v>3805</v>
      </c>
      <c r="M1013" s="6" t="s">
        <v>3806</v>
      </c>
      <c r="N1013" s="7" t="str">
        <f>VLOOKUP(A1013, avaliacoes!A:G, 5, FALSE)</f>
        <v>Unhappy with storage.. actual storage is 57Gb,Most amazing sound , Really unbeatable better than any  another similar products  .,Nice,Esy to use,Pendrive,Nice and small,Value for money,Good</v>
      </c>
      <c r="O1013" s="7" t="str">
        <f>VLOOKUP(A1013, avaliacoes!A:G, 6, FALSE)</f>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v>
      </c>
    </row>
    <row r="1014">
      <c r="A1014" s="1" t="s">
        <v>3807</v>
      </c>
      <c r="B1014" s="1" t="s">
        <v>3808</v>
      </c>
      <c r="C1014" s="1" t="s">
        <v>2351</v>
      </c>
      <c r="D1014" s="1" t="str">
        <f t="shared" si="2"/>
        <v>Electronics</v>
      </c>
      <c r="E1014" s="1" t="str">
        <f t="shared" si="3"/>
        <v>GeneralPurposeBatteries&amp;BatteryChargers</v>
      </c>
      <c r="F1014" s="2">
        <v>380.0</v>
      </c>
      <c r="G1014" s="2">
        <v>400.0</v>
      </c>
      <c r="H1014" s="3">
        <f t="shared" si="4"/>
        <v>0.05</v>
      </c>
      <c r="I1014" s="4">
        <f>IFERROR(__xludf.DUMMYFUNCTION("GOOGLEFINANCE(""CURRENCY:INRBRL"")*F1014"),22.677762664)</f>
        <v>22.67776266</v>
      </c>
      <c r="J1014" s="1">
        <v>4.5</v>
      </c>
      <c r="K1014" s="1">
        <v>2111.0</v>
      </c>
      <c r="L1014" s="1" t="s">
        <v>3809</v>
      </c>
      <c r="M1014" s="6" t="s">
        <v>3810</v>
      </c>
      <c r="N1014" s="7" t="str">
        <f>VLOOKUP(A1014, avaliacoes!A:G, 5, FALSE)</f>
        <v>Battery,Good buy,Bigger than expected,Best Battery for cooking stove,Great batteries,Good,GOOD,Wrong size</v>
      </c>
      <c r="O1014" s="7" t="str">
        <f>VLOOKUP(A1014, avaliacoes!A:G, 6, FALSE)</f>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v>
      </c>
    </row>
    <row r="1015">
      <c r="A1015" s="1" t="s">
        <v>3811</v>
      </c>
      <c r="B1015" s="1" t="s">
        <v>3812</v>
      </c>
      <c r="C1015" s="1" t="s">
        <v>2274</v>
      </c>
      <c r="D1015" s="1" t="str">
        <f t="shared" si="2"/>
        <v>Computers&amp;Accessories</v>
      </c>
      <c r="E1015" s="1" t="str">
        <f t="shared" si="3"/>
        <v>Accessories&amp;Peripherals</v>
      </c>
      <c r="F1015" s="2">
        <v>499.0</v>
      </c>
      <c r="G1015" s="2">
        <v>1399.0</v>
      </c>
      <c r="H1015" s="3">
        <f t="shared" si="4"/>
        <v>0.6433166548</v>
      </c>
      <c r="I1015" s="4">
        <f>IFERROR(__xludf.DUMMYFUNCTION("GOOGLEFINANCE(""CURRENCY:INRBRL"")*F1015"),29.7794830772)</f>
        <v>29.77948308</v>
      </c>
      <c r="J1015" s="1">
        <v>4.52</v>
      </c>
      <c r="K1015" s="1">
        <v>1462.0</v>
      </c>
      <c r="L1015" s="1" t="s">
        <v>3813</v>
      </c>
      <c r="M1015" s="6" t="s">
        <v>3814</v>
      </c>
      <c r="N1015" s="7" t="str">
        <f>VLOOKUP(A1015, avaliacoes!A:G, 5, FALSE)</f>
        <v>Kids will love it,Good,Good product 👍,bestor is best,Nice Product for kids,Very costly than others,Good,Most sophisticated product for our mother earth.</v>
      </c>
      <c r="O1015" s="7" t="str">
        <f>VLOOKUP(A1015, avaliacoes!A:G, 6, FALSE)</f>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v>
      </c>
    </row>
    <row r="1016">
      <c r="A1016" s="1" t="s">
        <v>3815</v>
      </c>
      <c r="B1016" s="1" t="s">
        <v>3816</v>
      </c>
      <c r="C1016" s="1" t="s">
        <v>3817</v>
      </c>
      <c r="D1016" s="1" t="str">
        <f t="shared" si="2"/>
        <v>Computers&amp;Accessories</v>
      </c>
      <c r="E1016" s="1" t="str">
        <f t="shared" si="3"/>
        <v>Laptops</v>
      </c>
      <c r="F1016" s="2">
        <v>37.25</v>
      </c>
      <c r="G1016" s="2">
        <v>59.89</v>
      </c>
      <c r="H1016" s="3">
        <f t="shared" si="4"/>
        <v>0.3780263817</v>
      </c>
      <c r="I1016" s="4">
        <f>IFERROR(__xludf.DUMMYFUNCTION("GOOGLEFINANCE(""CURRENCY:INRBRL"")*F1016"),2.2230175243)</f>
        <v>2.223017524</v>
      </c>
      <c r="J1016" s="1">
        <v>4.0</v>
      </c>
      <c r="K1016" s="1">
        <v>323.0</v>
      </c>
      <c r="L1016" s="1" t="s">
        <v>3818</v>
      </c>
      <c r="M1016" s="6" t="s">
        <v>3819</v>
      </c>
      <c r="N1016" s="7" t="str">
        <f>VLOOKUP(A1016, avaliacoes!A:G, 5, FALSE)</f>
        <v>Value for money laptop for normal usage,Works well, no issues,Worth it,RAM upgradability an issue,Value for Money,Kopalli,Excellent product....worth it...,Battery 3 h</v>
      </c>
      <c r="O1016" s="7" t="str">
        <f>VLOOKUP(A1016, avaliacoes!A:G, 6, FALSE)</f>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v>
      </c>
    </row>
    <row r="1017">
      <c r="A1017" s="1" t="s">
        <v>3820</v>
      </c>
      <c r="B1017" s="1" t="s">
        <v>3821</v>
      </c>
      <c r="C1017" s="1" t="s">
        <v>2077</v>
      </c>
      <c r="D1017" s="1" t="str">
        <f t="shared" si="2"/>
        <v>Electronics</v>
      </c>
      <c r="E1017" s="1" t="str">
        <f t="shared" si="3"/>
        <v>Headphones,Earbuds&amp;Accessories</v>
      </c>
      <c r="F1017" s="2">
        <v>849.0</v>
      </c>
      <c r="G1017" s="2">
        <v>2499.0</v>
      </c>
      <c r="H1017" s="3">
        <f t="shared" si="4"/>
        <v>0.6602641056</v>
      </c>
      <c r="I1017" s="4">
        <f>IFERROR(__xludf.DUMMYFUNCTION("GOOGLEFINANCE(""CURRENCY:INRBRL"")*F1017"),50.6668960572)</f>
        <v>50.66689606</v>
      </c>
      <c r="J1017" s="1">
        <v>4.5</v>
      </c>
      <c r="K1017" s="1">
        <v>91188.0</v>
      </c>
      <c r="L1017" s="1" t="s">
        <v>3822</v>
      </c>
      <c r="M1017" s="6" t="s">
        <v>3823</v>
      </c>
      <c r="N1017" s="7" t="str">
        <f>VLOOKUP(A1017, avaliacoes!A:G, 5, FALSE)</f>
        <v>Definitely good but wire is too short,Never expected an easy on pocket brand like BoAt winning heart the way apple does! Good product,Good headfone on budget,Nice,Quality is promised.,simply awesome,Value for money,Sound and mic quality good but not comfortable</v>
      </c>
      <c r="O1017" s="7" t="str">
        <f>VLOOKUP(A1017, avaliacoes!A:G, 6, FALSE)</f>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v>
      </c>
    </row>
    <row r="1018">
      <c r="A1018" s="1" t="s">
        <v>3824</v>
      </c>
      <c r="B1018" s="1" t="s">
        <v>3825</v>
      </c>
      <c r="C1018" s="1" t="s">
        <v>2844</v>
      </c>
      <c r="D1018" s="1" t="str">
        <f t="shared" si="2"/>
        <v>Electronics</v>
      </c>
      <c r="E1018" s="1" t="str">
        <f t="shared" si="3"/>
        <v>HomeAudio</v>
      </c>
      <c r="F1018" s="2">
        <v>799.0</v>
      </c>
      <c r="G1018" s="2">
        <v>1999.0</v>
      </c>
      <c r="H1018" s="3">
        <f t="shared" si="4"/>
        <v>0.6003001501</v>
      </c>
      <c r="I1018" s="4">
        <f>IFERROR(__xludf.DUMMYFUNCTION("GOOGLEFINANCE(""CURRENCY:INRBRL"")*F1018"),47.682979917199994)</f>
        <v>47.68297992</v>
      </c>
      <c r="J1018" s="1">
        <v>4.51</v>
      </c>
      <c r="K1018" s="1">
        <v>418.0</v>
      </c>
      <c r="L1018" s="1" t="s">
        <v>3826</v>
      </c>
      <c r="M1018" s="6" t="s">
        <v>3827</v>
      </c>
      <c r="N1018" s="7" t="str">
        <f>VLOOKUP(A1018, avaliacoes!A:G, 5, FALSE)</f>
        <v>Super product,Worst antenna.... It came out while adjusting...wastage of money,Nice product,Good,A Must Have product.,Poor sound,Wothy,Useful product if you watch movies in mobile.</v>
      </c>
      <c r="O1018" s="7" t="str">
        <f>VLOOKUP(A1018, avaliacoes!A:G, 6, FALSE)</f>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v>
      </c>
    </row>
    <row r="1019">
      <c r="A1019" s="1" t="s">
        <v>2249</v>
      </c>
      <c r="B1019" s="1" t="s">
        <v>2250</v>
      </c>
      <c r="C1019" s="1" t="s">
        <v>1809</v>
      </c>
      <c r="D1019" s="1" t="str">
        <f t="shared" si="2"/>
        <v>Electronics</v>
      </c>
      <c r="E1019" s="1" t="str">
        <f t="shared" si="3"/>
        <v>Mobiles&amp;Accessories</v>
      </c>
      <c r="F1019" s="2">
        <v>2599.0</v>
      </c>
      <c r="G1019" s="2">
        <v>6999.0</v>
      </c>
      <c r="H1019" s="3">
        <f t="shared" si="4"/>
        <v>0.6286612373</v>
      </c>
      <c r="I1019" s="4">
        <f>IFERROR(__xludf.DUMMYFUNCTION("GOOGLEFINANCE(""CURRENCY:INRBRL"")*F1019"),155.1039609572)</f>
        <v>155.103961</v>
      </c>
      <c r="J1019" s="1">
        <v>4.51</v>
      </c>
      <c r="K1019" s="1">
        <v>1526.0</v>
      </c>
      <c r="L1019" s="1" t="s">
        <v>2251</v>
      </c>
      <c r="M1019" s="6" t="s">
        <v>3828</v>
      </c>
      <c r="N1019" s="7" t="str">
        <f>VLOOKUP(A1019, avaliacoes!A:G, 5, FALSE)</f>
        <v>Quite Good,good pencil,Value for money,Brilliant,Value for moeny product,Must to buy this pencil,Problemsolver,It works as advertised</v>
      </c>
      <c r="O1019" s="7" t="str">
        <f>VLOOKUP(A1019, avaliacoes!A:G, 6, FALSE)</f>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v>
      </c>
    </row>
    <row r="1020">
      <c r="A1020" s="1" t="s">
        <v>377</v>
      </c>
      <c r="B1020" s="1" t="s">
        <v>378</v>
      </c>
      <c r="C1020" s="1" t="s">
        <v>21</v>
      </c>
      <c r="D1020" s="1" t="str">
        <f t="shared" si="2"/>
        <v>Computers&amp;Accessories</v>
      </c>
      <c r="E1020" s="1" t="str">
        <f t="shared" si="3"/>
        <v>Accessories&amp;Peripherals</v>
      </c>
      <c r="F1020" s="2">
        <v>199.0</v>
      </c>
      <c r="G1020" s="2">
        <v>999.0</v>
      </c>
      <c r="H1020" s="3">
        <f t="shared" si="4"/>
        <v>0.8008008008</v>
      </c>
      <c r="I1020" s="4">
        <f>IFERROR(__xludf.DUMMYFUNCTION("GOOGLEFINANCE(""CURRENCY:INRBRL"")*F1020"),11.8759862372)</f>
        <v>11.87598624</v>
      </c>
      <c r="J1020" s="1">
        <v>4.51</v>
      </c>
      <c r="K1020" s="1">
        <v>127.0</v>
      </c>
      <c r="L1020" s="1" t="s">
        <v>379</v>
      </c>
      <c r="M1020" s="6" t="s">
        <v>3829</v>
      </c>
      <c r="N1020" s="7" t="str">
        <f>VLOOKUP(A1020, avaliacoes!A:G, 5, FALSE)</f>
        <v>Super charger in lapster,Best among the rest,Classy product and authentic one,Excellent product,Worked fine ,thank you,Stylish and flexible cable,Amazing,Value for money product</v>
      </c>
      <c r="O1020" s="7" t="str">
        <f>VLOOKUP(A1020, avaliacoes!A:G, 6, FALSE)</f>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v>
      </c>
    </row>
    <row r="1021">
      <c r="A1021" s="1" t="s">
        <v>384</v>
      </c>
      <c r="B1021" s="1" t="s">
        <v>385</v>
      </c>
      <c r="C1021" s="1" t="s">
        <v>54</v>
      </c>
      <c r="D1021" s="1" t="str">
        <f t="shared" si="2"/>
        <v>Computers&amp;Accessories</v>
      </c>
      <c r="E1021" s="1" t="str">
        <f t="shared" si="3"/>
        <v>NetworkingDevices</v>
      </c>
      <c r="F1021" s="2">
        <v>269.0</v>
      </c>
      <c r="G1021" s="2">
        <v>800.0</v>
      </c>
      <c r="H1021" s="3">
        <f t="shared" si="4"/>
        <v>0.66375</v>
      </c>
      <c r="I1021" s="4">
        <f>IFERROR(__xludf.DUMMYFUNCTION("GOOGLEFINANCE(""CURRENCY:INRBRL"")*F1021"),16.0534688332)</f>
        <v>16.05346883</v>
      </c>
      <c r="J1021" s="1">
        <v>4.51</v>
      </c>
      <c r="K1021" s="1">
        <v>10134.0</v>
      </c>
      <c r="L1021" s="1" t="s">
        <v>386</v>
      </c>
      <c r="M1021" s="6" t="s">
        <v>3830</v>
      </c>
      <c r="N1021" s="7" t="str">
        <f>VLOOKUP(A1021, avaliacoes!A:G, 5, FALSE)</f>
        <v>Will not work with new system,Veri good,Ok product,Access wifi signal.,👍,very good,Good Product,8139EU based okayish but low reception</v>
      </c>
      <c r="O1021" s="7" t="str">
        <f>VLOOKUP(A1021, avaliacoes!A:G, 6, FALSE)</f>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v>
      </c>
    </row>
    <row r="1022">
      <c r="A1022" s="1" t="s">
        <v>3831</v>
      </c>
      <c r="B1022" s="1" t="s">
        <v>3832</v>
      </c>
      <c r="C1022" s="1" t="s">
        <v>2688</v>
      </c>
      <c r="D1022" s="1" t="str">
        <f t="shared" si="2"/>
        <v>Computers&amp;Accessories</v>
      </c>
      <c r="E1022" s="1" t="str">
        <f t="shared" si="3"/>
        <v>Accessories&amp;Peripherals</v>
      </c>
      <c r="F1022" s="2">
        <v>298.0</v>
      </c>
      <c r="G1022" s="2">
        <v>999.0</v>
      </c>
      <c r="H1022" s="3">
        <f t="shared" si="4"/>
        <v>0.7017017017</v>
      </c>
      <c r="I1022" s="4">
        <f>IFERROR(__xludf.DUMMYFUNCTION("GOOGLEFINANCE(""CURRENCY:INRBRL"")*F1022"),17.7841401944)</f>
        <v>17.78414019</v>
      </c>
      <c r="J1022" s="1">
        <v>4.5</v>
      </c>
      <c r="K1022" s="1">
        <v>1552.0</v>
      </c>
      <c r="L1022" s="1" t="s">
        <v>3833</v>
      </c>
      <c r="M1022" s="6" t="s">
        <v>3834</v>
      </c>
      <c r="N1022" s="7" t="str">
        <f>VLOOKUP(A1022, avaliacoes!A:G, 5, FALSE)</f>
        <v>Can be use as table lamp or emergency light for room,Very flexible 👍,Working perfect great,Value of the product,good product as per price,Good enough but no controls to dim,Excellent,Nice product</v>
      </c>
      <c r="O1022" s="7" t="str">
        <f>VLOOKUP(A1022, avaliacoes!A:G, 6, FALSE)</f>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v>
      </c>
    </row>
    <row r="1023">
      <c r="A1023" s="1" t="s">
        <v>3835</v>
      </c>
      <c r="B1023" s="1" t="s">
        <v>3836</v>
      </c>
      <c r="C1023" s="1" t="s">
        <v>2844</v>
      </c>
      <c r="D1023" s="1" t="str">
        <f t="shared" si="2"/>
        <v>Electronics</v>
      </c>
      <c r="E1023" s="1" t="str">
        <f t="shared" si="3"/>
        <v>HomeAudio</v>
      </c>
      <c r="F1023" s="2">
        <v>1499.0</v>
      </c>
      <c r="G1023" s="2">
        <v>2999.0</v>
      </c>
      <c r="H1023" s="3">
        <f t="shared" si="4"/>
        <v>0.5001667222</v>
      </c>
      <c r="I1023" s="4">
        <f>IFERROR(__xludf.DUMMYFUNCTION("GOOGLEFINANCE(""CURRENCY:INRBRL"")*F1023"),89.45780587719999)</f>
        <v>89.45780588</v>
      </c>
      <c r="J1023" s="1">
        <v>4.49</v>
      </c>
      <c r="K1023" s="1">
        <v>25262.0</v>
      </c>
      <c r="L1023" s="1" t="s">
        <v>3837</v>
      </c>
      <c r="M1023" s="6" t="s">
        <v>3838</v>
      </c>
      <c r="N1023" s="7" t="str">
        <f>VLOOKUP(A1023, avaliacoes!A:G, 5, FALSE)</f>
        <v>Good Handy Bluetooth Speaker,Very Nice,Medium,Worth to the money,4.5,Good,Value for money,Value for money is good....</v>
      </c>
      <c r="O1023" s="7" t="str">
        <f>VLOOKUP(A1023, avaliacoes!A:G, 6, FALSE)</f>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v>
      </c>
    </row>
    <row r="1024">
      <c r="A1024" s="1" t="s">
        <v>3839</v>
      </c>
      <c r="B1024" s="1" t="s">
        <v>3840</v>
      </c>
      <c r="C1024" s="1" t="s">
        <v>3841</v>
      </c>
      <c r="D1024" s="1" t="str">
        <f t="shared" si="2"/>
        <v>Home&amp;Kitchen</v>
      </c>
      <c r="E1024" s="1" t="str">
        <f t="shared" si="3"/>
        <v>Kitchen&amp;HomeAppliances</v>
      </c>
      <c r="F1024" s="2">
        <v>649.0</v>
      </c>
      <c r="G1024" s="2">
        <v>1245.0</v>
      </c>
      <c r="H1024" s="3">
        <f t="shared" si="4"/>
        <v>0.4787148594</v>
      </c>
      <c r="I1024" s="4">
        <f>IFERROR(__xludf.DUMMYFUNCTION("GOOGLEFINANCE(""CURRENCY:INRBRL"")*F1024"),38.7312314972)</f>
        <v>38.7312315</v>
      </c>
      <c r="J1024" s="1">
        <v>4.52</v>
      </c>
      <c r="K1024" s="1">
        <v>123365.0</v>
      </c>
      <c r="L1024" s="1" t="s">
        <v>3842</v>
      </c>
      <c r="M1024" s="6" t="s">
        <v>3843</v>
      </c>
      <c r="N1024" s="7" t="str">
        <f>VLOOKUP(A1024, avaliacoes!A:G, 5, FALSE)</f>
        <v>All your questions answered in this review,Just fine for the price,Its okay okay according to price.,Good for winter times to boil the water,Bass fitting loose,Good product, no issue after using 2months,Good matereal,Only disadvantage is the cord length.</v>
      </c>
      <c r="O1024" s="7" t="str">
        <f>VLOOKUP(A1024, avaliacoes!A:G, 6, FALSE)</f>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v>
      </c>
    </row>
    <row r="1025">
      <c r="A1025" s="1" t="s">
        <v>3844</v>
      </c>
      <c r="B1025" s="1" t="s">
        <v>3845</v>
      </c>
      <c r="C1025" s="1" t="s">
        <v>3846</v>
      </c>
      <c r="D1025" s="1" t="str">
        <f t="shared" si="2"/>
        <v>Home&amp;Kitchen</v>
      </c>
      <c r="E1025" s="1" t="str">
        <f t="shared" si="3"/>
        <v>Heating,Cooling&amp;AirQuality</v>
      </c>
      <c r="F1025" s="2">
        <v>1199.0</v>
      </c>
      <c r="G1025" s="2">
        <v>1695.0</v>
      </c>
      <c r="H1025" s="3">
        <f t="shared" si="4"/>
        <v>0.2926253687</v>
      </c>
      <c r="I1025" s="4">
        <f>IFERROR(__xludf.DUMMYFUNCTION("GOOGLEFINANCE(""CURRENCY:INRBRL"")*F1025"),71.5543090372)</f>
        <v>71.55430904</v>
      </c>
      <c r="J1025" s="1">
        <v>4.51</v>
      </c>
      <c r="K1025" s="1">
        <v>133.0</v>
      </c>
      <c r="L1025" s="1" t="s">
        <v>3847</v>
      </c>
      <c r="M1025" s="6" t="s">
        <v>3848</v>
      </c>
      <c r="N1025" s="7" t="str">
        <f>VLOOKUP(A1025, avaliacoes!A:G, 5, FALSE)</f>
        <v>Good and affordable room heater,Good for tight spaces,Short shelf life,Niceeee,Very good product,It's good,Heating capacity,Good</v>
      </c>
      <c r="O1025" s="7" t="str">
        <f>VLOOKUP(A1025, avaliacoes!A:G, 6, FALSE)</f>
        <v>,Good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v>
      </c>
    </row>
    <row r="1026">
      <c r="A1026" s="1" t="s">
        <v>3849</v>
      </c>
      <c r="B1026" s="1" t="s">
        <v>3850</v>
      </c>
      <c r="C1026" s="1" t="s">
        <v>3851</v>
      </c>
      <c r="D1026" s="1" t="str">
        <f t="shared" si="2"/>
        <v>Home&amp;Kitchen</v>
      </c>
      <c r="E1026" s="1" t="str">
        <f t="shared" si="3"/>
        <v>Heating,Cooling&amp;AirQuality</v>
      </c>
      <c r="F1026" s="2">
        <v>1199.0</v>
      </c>
      <c r="G1026" s="2">
        <v>1999.0</v>
      </c>
      <c r="H1026" s="3">
        <f t="shared" si="4"/>
        <v>0.4002001001</v>
      </c>
      <c r="I1026" s="4">
        <f>IFERROR(__xludf.DUMMYFUNCTION("GOOGLEFINANCE(""CURRENCY:INRBRL"")*F1026"),71.5543090372)</f>
        <v>71.55430904</v>
      </c>
      <c r="J1026" s="1">
        <v>4.0</v>
      </c>
      <c r="K1026" s="1">
        <v>18543.0</v>
      </c>
      <c r="L1026" s="1" t="s">
        <v>3852</v>
      </c>
      <c r="M1026" s="6" t="s">
        <v>3853</v>
      </c>
      <c r="N1026" s="7" t="str">
        <f>VLOOKUP(A1026, avaliacoes!A:G, 5, FALSE)</f>
        <v>Compact and easy to you,Good work 👍,Good,Good product,Good product,Lovable and nice product,Nice product,Compact and easy to use. Suitable for a room</v>
      </c>
      <c r="O1026" s="7" t="str">
        <f>VLOOKUP(A1026, avaliacoes!A:G, 6, FALSE)</f>
        <v>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v>
      </c>
    </row>
    <row r="1027">
      <c r="A1027" s="1" t="s">
        <v>3854</v>
      </c>
      <c r="B1027" s="1" t="s">
        <v>3855</v>
      </c>
      <c r="C1027" s="1" t="s">
        <v>3856</v>
      </c>
      <c r="D1027" s="1" t="str">
        <f t="shared" si="2"/>
        <v>Home&amp;Kitchen</v>
      </c>
      <c r="E1027" s="1" t="str">
        <f t="shared" si="3"/>
        <v>Kitchen&amp;HomeAppliances</v>
      </c>
      <c r="F1027" s="2">
        <v>455.0</v>
      </c>
      <c r="G1027" s="2">
        <v>999.0</v>
      </c>
      <c r="H1027" s="3">
        <f t="shared" si="4"/>
        <v>0.5445445445</v>
      </c>
      <c r="I1027" s="4">
        <f>IFERROR(__xludf.DUMMYFUNCTION("GOOGLEFINANCE(""CURRENCY:INRBRL"")*F1027"),27.153636873999996)</f>
        <v>27.15363687</v>
      </c>
      <c r="J1027" s="1">
        <v>4.49</v>
      </c>
      <c r="K1027" s="1">
        <v>3578.0</v>
      </c>
      <c r="L1027" s="1" t="s">
        <v>3857</v>
      </c>
      <c r="M1027" s="6" t="s">
        <v>3858</v>
      </c>
      <c r="N1027" s="7" t="str">
        <f>VLOOKUP(A1027, avaliacoes!A:G, 5, FALSE)</f>
        <v>Good Product,Nice product,Good product,Good,I made my sweaters look like brand new.,Nice product,Perfect to clean lints easily,Good Product</v>
      </c>
      <c r="O1027" s="7" t="str">
        <f>VLOOKUP(A1027, avaliacoes!A:G, 6, FALSE)</f>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v>
      </c>
    </row>
    <row r="1028">
      <c r="A1028" s="1" t="s">
        <v>3859</v>
      </c>
      <c r="B1028" s="1" t="s">
        <v>3860</v>
      </c>
      <c r="C1028" s="1" t="s">
        <v>3861</v>
      </c>
      <c r="D1028" s="1" t="str">
        <f t="shared" si="2"/>
        <v>Home&amp;Kitchen</v>
      </c>
      <c r="E1028" s="1" t="str">
        <f t="shared" si="3"/>
        <v>Kitchen&amp;HomeAppliances</v>
      </c>
      <c r="F1028" s="2">
        <v>199.0</v>
      </c>
      <c r="G1028" s="2">
        <v>1999.0</v>
      </c>
      <c r="H1028" s="3">
        <f t="shared" si="4"/>
        <v>0.9004502251</v>
      </c>
      <c r="I1028" s="4">
        <f>IFERROR(__xludf.DUMMYFUNCTION("GOOGLEFINANCE(""CURRENCY:INRBRL"")*F1028"),11.8759862372)</f>
        <v>11.87598624</v>
      </c>
      <c r="J1028" s="1">
        <v>4.51</v>
      </c>
      <c r="K1028" s="1">
        <v>2031.0</v>
      </c>
      <c r="L1028" s="1" t="s">
        <v>3862</v>
      </c>
      <c r="M1028" s="6" t="s">
        <v>3863</v>
      </c>
      <c r="N1028" s="7" t="str">
        <f>VLOOKUP(A1028, avaliacoes!A:G, 5, FALSE)</f>
        <v>Value for money and accurate,Nice,Very reasonable price, product was nice,Good,Nice product.. Value for spending,Light weight,Super,JUST WOW 🤩🥳</v>
      </c>
      <c r="O1028" s="7" t="str">
        <f>VLOOKUP(A1028, avaliacoes!A:G, 6, FALSE)</f>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v>
      </c>
    </row>
    <row r="1029">
      <c r="A1029" s="1" t="s">
        <v>3864</v>
      </c>
      <c r="B1029" s="1" t="s">
        <v>3865</v>
      </c>
      <c r="C1029" s="1" t="s">
        <v>3861</v>
      </c>
      <c r="D1029" s="1" t="str">
        <f t="shared" si="2"/>
        <v>Home&amp;Kitchen</v>
      </c>
      <c r="E1029" s="1" t="str">
        <f t="shared" si="3"/>
        <v>Kitchen&amp;HomeAppliances</v>
      </c>
      <c r="F1029" s="2">
        <v>293.0</v>
      </c>
      <c r="G1029" s="2">
        <v>499.0</v>
      </c>
      <c r="H1029" s="3">
        <f t="shared" si="4"/>
        <v>0.4128256513</v>
      </c>
      <c r="I1029" s="4">
        <f>IFERROR(__xludf.DUMMYFUNCTION("GOOGLEFINANCE(""CURRENCY:INRBRL"")*F1029"),17.4857485804)</f>
        <v>17.48574858</v>
      </c>
      <c r="J1029" s="1">
        <v>4.52</v>
      </c>
      <c r="K1029" s="1">
        <v>44994.0</v>
      </c>
      <c r="L1029" s="1" t="s">
        <v>3866</v>
      </c>
      <c r="M1029" s="6" t="s">
        <v>3867</v>
      </c>
      <c r="N1029" s="7" t="str">
        <f>VLOOKUP(A1029, avaliacoes!A:G, 5, FALSE)</f>
        <v>If it had charching support.,Worth product,Cost effective,Good,Good for the price,Accurate,You can use it for everyday purposes,Good</v>
      </c>
      <c r="O1029" s="7" t="str">
        <f>VLOOKUP(A1029, avaliacoes!A:G, 6, FALSE)</f>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v>
      </c>
    </row>
    <row r="1030">
      <c r="A1030" s="1" t="s">
        <v>3868</v>
      </c>
      <c r="B1030" s="1" t="s">
        <v>3869</v>
      </c>
      <c r="C1030" s="1" t="s">
        <v>3870</v>
      </c>
      <c r="D1030" s="1" t="str">
        <f t="shared" si="2"/>
        <v>Home&amp;Kitchen</v>
      </c>
      <c r="E1030" s="1" t="str">
        <f t="shared" si="3"/>
        <v>Kitchen&amp;Dining</v>
      </c>
      <c r="F1030" s="2">
        <v>199.0</v>
      </c>
      <c r="G1030" s="2">
        <v>495.0</v>
      </c>
      <c r="H1030" s="3">
        <f t="shared" si="4"/>
        <v>0.597979798</v>
      </c>
      <c r="I1030" s="4">
        <f>IFERROR(__xludf.DUMMYFUNCTION("GOOGLEFINANCE(""CURRENCY:INRBRL"")*F1030"),11.8759862372)</f>
        <v>11.87598624</v>
      </c>
      <c r="J1030" s="1">
        <v>4.49</v>
      </c>
      <c r="K1030" s="1">
        <v>270563.0</v>
      </c>
      <c r="L1030" s="1" t="s">
        <v>3871</v>
      </c>
      <c r="M1030" s="6" t="s">
        <v>3872</v>
      </c>
      <c r="N1030" s="7" t="str">
        <f>VLOOKUP(A1030, avaliacoes!A:G, 5, FALSE)</f>
        <v>Nice chopper,Small easy use n clean,Not good,Good,Good,Probably the best purchase for my mom!,String issues,Good product.</v>
      </c>
      <c r="O1030" s="7" t="str">
        <f>VLOOKUP(A1030, avaliacoes!A:G, 6, FALSE)</f>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v>
      </c>
    </row>
    <row r="1031">
      <c r="A1031" s="1" t="s">
        <v>3873</v>
      </c>
      <c r="B1031" s="1" t="s">
        <v>3874</v>
      </c>
      <c r="C1031" s="1" t="s">
        <v>3841</v>
      </c>
      <c r="D1031" s="1" t="str">
        <f t="shared" si="2"/>
        <v>Home&amp;Kitchen</v>
      </c>
      <c r="E1031" s="1" t="str">
        <f t="shared" si="3"/>
        <v>Kitchen&amp;HomeAppliances</v>
      </c>
      <c r="F1031" s="2">
        <v>749.0</v>
      </c>
      <c r="G1031" s="2">
        <v>1245.0</v>
      </c>
      <c r="H1031" s="3">
        <f t="shared" si="4"/>
        <v>0.3983935743</v>
      </c>
      <c r="I1031" s="4">
        <f>IFERROR(__xludf.DUMMYFUNCTION("GOOGLEFINANCE(""CURRENCY:INRBRL"")*F1031"),44.699063777199996)</f>
        <v>44.69906378</v>
      </c>
      <c r="J1031" s="1">
        <v>4.52</v>
      </c>
      <c r="K1031" s="1">
        <v>31783.0</v>
      </c>
      <c r="L1031" s="1" t="s">
        <v>3875</v>
      </c>
      <c r="M1031" s="6" t="s">
        <v>3876</v>
      </c>
      <c r="N1031" s="7" t="str">
        <f>VLOOKUP(A1031, avaliacoes!A:G, 5, FALSE)</f>
        <v>Good Product Worst Delivery,Overall is ok but outer steel kafi hot 🔥 ho jata he,jo kids k liye kafi harmful he,Nice product,Lovely Product, but filtering holes are big for Ants to get in,Don't buy prestige water kettle product,best product,Medium,Heats up on handle and sides.</v>
      </c>
      <c r="O1031" s="7" t="str">
        <f>VLOOKUP(A1031, avaliacoes!A:G, 6, FALSE)</f>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v>
      </c>
    </row>
    <row r="1032">
      <c r="A1032" s="1" t="s">
        <v>3877</v>
      </c>
      <c r="B1032" s="1" t="s">
        <v>3878</v>
      </c>
      <c r="C1032" s="1" t="s">
        <v>3846</v>
      </c>
      <c r="D1032" s="1" t="str">
        <f t="shared" si="2"/>
        <v>Home&amp;Kitchen</v>
      </c>
      <c r="E1032" s="1" t="str">
        <f t="shared" si="3"/>
        <v>Heating,Cooling&amp;AirQuality</v>
      </c>
      <c r="F1032" s="2">
        <v>1399.0</v>
      </c>
      <c r="G1032" s="2">
        <v>1549.0</v>
      </c>
      <c r="H1032" s="3">
        <f t="shared" si="4"/>
        <v>0.09683666882</v>
      </c>
      <c r="I1032" s="4">
        <f>IFERROR(__xludf.DUMMYFUNCTION("GOOGLEFINANCE(""CURRENCY:INRBRL"")*F1032"),83.48997359719999)</f>
        <v>83.4899736</v>
      </c>
      <c r="J1032" s="1">
        <v>4.52</v>
      </c>
      <c r="K1032" s="1">
        <v>2602.0</v>
      </c>
      <c r="L1032" s="1" t="s">
        <v>3879</v>
      </c>
      <c r="M1032" s="6" t="s">
        <v>3880</v>
      </c>
      <c r="N1032" s="7" t="str">
        <f>VLOOKUP(A1032, avaliacoes!A:G, 5, FALSE)</f>
        <v>Quality is fine,Good,Minimum electricity maximum heat.,Light weight portable and easy to operate,Nice product,Don't buy it,Value for Money,It's average product</v>
      </c>
      <c r="O1032" s="7" t="str">
        <f>VLOOKUP(A1032, avaliacoes!A:G, 6, FALSE)</f>
        <v>Normal heat by this product.,Good,Quit good,https://m.media-amazon.com/images/I/61s-GPKkkZL._SY88.jpg,,Don't buy it because 10-11 day it will work well after that it start heating more and more ,it is plastik body,Value for Money,heating is normal</v>
      </c>
    </row>
    <row r="1033">
      <c r="A1033" s="1" t="s">
        <v>3881</v>
      </c>
      <c r="B1033" s="1" t="s">
        <v>3882</v>
      </c>
      <c r="C1033" s="1" t="s">
        <v>3841</v>
      </c>
      <c r="D1033" s="1" t="str">
        <f t="shared" si="2"/>
        <v>Home&amp;Kitchen</v>
      </c>
      <c r="E1033" s="1" t="str">
        <f t="shared" si="3"/>
        <v>Kitchen&amp;HomeAppliances</v>
      </c>
      <c r="F1033" s="2">
        <v>749.0</v>
      </c>
      <c r="G1033" s="2">
        <v>1445.0</v>
      </c>
      <c r="H1033" s="3">
        <f t="shared" si="4"/>
        <v>0.4816608997</v>
      </c>
      <c r="I1033" s="4">
        <f>IFERROR(__xludf.DUMMYFUNCTION("GOOGLEFINANCE(""CURRENCY:INRBRL"")*F1033"),44.699063777199996)</f>
        <v>44.69906378</v>
      </c>
      <c r="J1033" s="1">
        <v>4.52</v>
      </c>
      <c r="K1033" s="1">
        <v>6335.0</v>
      </c>
      <c r="L1033" s="1" t="s">
        <v>3883</v>
      </c>
      <c r="M1033" s="6" t="s">
        <v>3884</v>
      </c>
      <c r="N1033" s="7" t="str">
        <f>VLOOKUP(A1033, avaliacoes!A:G, 5, FALSE)</f>
        <v>Very nice,Good product,Packaging,Good , quick hot water suite,Good product,A plus kettle,It’s ok,Good product 👍🏼</v>
      </c>
      <c r="O1033" s="7" t="str">
        <f>VLOOKUP(A1033, avaliacoes!A:G, 6, FALSE)</f>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v>
      </c>
    </row>
    <row r="1034">
      <c r="A1034" s="1" t="s">
        <v>3885</v>
      </c>
      <c r="B1034" s="1" t="s">
        <v>3886</v>
      </c>
      <c r="C1034" s="1" t="s">
        <v>3887</v>
      </c>
      <c r="D1034" s="1" t="str">
        <f t="shared" si="2"/>
        <v>Home&amp;Kitchen</v>
      </c>
      <c r="E1034" s="1" t="str">
        <f t="shared" si="3"/>
        <v>Kitchen&amp;HomeAppliances</v>
      </c>
      <c r="F1034" s="2">
        <v>1699.0</v>
      </c>
      <c r="G1034" s="2">
        <v>3193.0</v>
      </c>
      <c r="H1034" s="3">
        <f t="shared" si="4"/>
        <v>0.467898528</v>
      </c>
      <c r="I1034" s="4">
        <f>IFERROR(__xludf.DUMMYFUNCTION("GOOGLEFINANCE(""CURRENCY:INRBRL"")*F1034"),101.3934704372)</f>
        <v>101.3934704</v>
      </c>
      <c r="J1034" s="1">
        <v>4.51</v>
      </c>
      <c r="K1034" s="1">
        <v>54032.0</v>
      </c>
      <c r="L1034" s="1" t="s">
        <v>3888</v>
      </c>
      <c r="M1034" s="6" t="s">
        <v>3889</v>
      </c>
      <c r="N1034" s="7" t="str">
        <f>VLOOKUP(A1034, avaliacoes!A:G, 5, FALSE)</f>
        <v>It helps to know about what it can and can't do while purchasing.,Good but slightly slow,Product good but its take long time to cooldown,लाजवाब हे,Good,Value for Money,Piegon induction stove,Good</v>
      </c>
      <c r="O1034" s="7" t="str">
        <f>VLOOKUP(A1034, avaliacoes!A:G, 6, FALSE)</f>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v>
      </c>
    </row>
    <row r="1035">
      <c r="A1035" s="1" t="s">
        <v>3890</v>
      </c>
      <c r="B1035" s="1" t="s">
        <v>3891</v>
      </c>
      <c r="C1035" s="1" t="s">
        <v>3841</v>
      </c>
      <c r="D1035" s="1" t="str">
        <f t="shared" si="2"/>
        <v>Home&amp;Kitchen</v>
      </c>
      <c r="E1035" s="1" t="str">
        <f t="shared" si="3"/>
        <v>Kitchen&amp;HomeAppliances</v>
      </c>
      <c r="F1035" s="2">
        <v>1043.0</v>
      </c>
      <c r="G1035" s="2">
        <v>1345.0</v>
      </c>
      <c r="H1035" s="3">
        <f t="shared" si="4"/>
        <v>0.224535316</v>
      </c>
      <c r="I1035" s="4">
        <f>IFERROR(__xludf.DUMMYFUNCTION("GOOGLEFINANCE(""CURRENCY:INRBRL"")*F1035"),62.2444906804)</f>
        <v>62.24449068</v>
      </c>
      <c r="J1035" s="1">
        <v>4.51</v>
      </c>
      <c r="K1035" s="1">
        <v>15592.0</v>
      </c>
      <c r="L1035" s="1" t="s">
        <v>3892</v>
      </c>
      <c r="M1035" s="6" t="s">
        <v>3893</v>
      </c>
      <c r="N1035" s="7" t="str">
        <f>VLOOKUP(A1035, avaliacoes!A:G, 5, FALSE)</f>
        <v>Recommended but not Best,Good,Good product but due to glass lid take care with children,Not 🚫 suitable to boil milk and eggs,It is a nice product,Not worthy of investing,Not good. prestige brand name only,Its difficult to clean and and also from handle leakage takaes place.</v>
      </c>
      <c r="O1035" s="7" t="str">
        <f>VLOOKUP(A1035, avaliacoes!A:G, 6, FALSE)</f>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v>
      </c>
    </row>
    <row r="1036">
      <c r="A1036" s="1" t="s">
        <v>3894</v>
      </c>
      <c r="B1036" s="1" t="s">
        <v>3895</v>
      </c>
      <c r="C1036" s="1" t="s">
        <v>3856</v>
      </c>
      <c r="D1036" s="1" t="str">
        <f t="shared" si="2"/>
        <v>Home&amp;Kitchen</v>
      </c>
      <c r="E1036" s="1" t="str">
        <f t="shared" si="3"/>
        <v>Kitchen&amp;HomeAppliances</v>
      </c>
      <c r="F1036" s="2">
        <v>499.0</v>
      </c>
      <c r="G1036" s="2">
        <v>999.0</v>
      </c>
      <c r="H1036" s="3">
        <f t="shared" si="4"/>
        <v>0.5005005005</v>
      </c>
      <c r="I1036" s="4">
        <f>IFERROR(__xludf.DUMMYFUNCTION("GOOGLEFINANCE(""CURRENCY:INRBRL"")*F1036"),29.7794830772)</f>
        <v>29.77948308</v>
      </c>
      <c r="J1036" s="1">
        <v>4.49</v>
      </c>
      <c r="K1036" s="1">
        <v>4859.0</v>
      </c>
      <c r="L1036" s="1" t="s">
        <v>3896</v>
      </c>
      <c r="M1036" s="6" t="s">
        <v>3897</v>
      </c>
      <c r="N1036" s="7" t="str">
        <f>VLOOKUP(A1036, avaliacoes!A:G, 5, FALSE)</f>
        <v>Serves the Purpose,GOOD TO USE but price is high,Does the job well,Go for it.,Good product,Very good product and life saver in winters,Easy to use,Solve the problem of lint on woollen fabrics</v>
      </c>
      <c r="O1036" s="7" t="str">
        <f>VLOOKUP(A1036, avaliacoes!A:G, 6, FALSE)</f>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v>
      </c>
    </row>
    <row r="1037">
      <c r="A1037" s="1" t="s">
        <v>3898</v>
      </c>
      <c r="B1037" s="1" t="s">
        <v>3899</v>
      </c>
      <c r="C1037" s="1" t="s">
        <v>3851</v>
      </c>
      <c r="D1037" s="1" t="str">
        <f t="shared" si="2"/>
        <v>Home&amp;Kitchen</v>
      </c>
      <c r="E1037" s="1" t="str">
        <f t="shared" si="3"/>
        <v>Heating,Cooling&amp;AirQuality</v>
      </c>
      <c r="F1037" s="2">
        <v>1464.0</v>
      </c>
      <c r="G1037" s="2">
        <v>1649.0</v>
      </c>
      <c r="H1037" s="3">
        <f t="shared" si="4"/>
        <v>0.1121892056</v>
      </c>
      <c r="I1037" s="4">
        <f>IFERROR(__xludf.DUMMYFUNCTION("GOOGLEFINANCE(""CURRENCY:INRBRL"")*F1037"),87.3690645792)</f>
        <v>87.36906458</v>
      </c>
      <c r="J1037" s="1">
        <v>4.49</v>
      </c>
      <c r="K1037" s="1">
        <v>1412.0</v>
      </c>
      <c r="L1037" s="1" t="s">
        <v>3900</v>
      </c>
      <c r="M1037" s="6" t="s">
        <v>3901</v>
      </c>
      <c r="N1037" s="7" t="str">
        <f>VLOOKUP(A1037, avaliacoes!A:G, 5, FALSE)</f>
        <v>Best in this range,Product is gud but shipped damaged product but new 1 is gud,Good but should be more better from company,Average product,Does it's job well,Good product,Working this product very smoothly.,Very good much 🙏🙏</v>
      </c>
      <c r="O1037" s="7" t="str">
        <f>VLOOKUP(A1037, avaliacoes!A:G, 6, FALSE)</f>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v>
      </c>
    </row>
    <row r="1038">
      <c r="A1038" s="1" t="s">
        <v>3902</v>
      </c>
      <c r="B1038" s="1" t="s">
        <v>3903</v>
      </c>
      <c r="C1038" s="1" t="s">
        <v>3904</v>
      </c>
      <c r="D1038" s="1" t="str">
        <f t="shared" si="2"/>
        <v>Home&amp;Kitchen</v>
      </c>
      <c r="E1038" s="1" t="str">
        <f t="shared" si="3"/>
        <v>Kitchen&amp;HomeAppliances</v>
      </c>
      <c r="F1038" s="2">
        <v>249.0</v>
      </c>
      <c r="G1038" s="2">
        <v>499.0</v>
      </c>
      <c r="H1038" s="3">
        <f t="shared" si="4"/>
        <v>0.501002004</v>
      </c>
      <c r="I1038" s="4">
        <f>IFERROR(__xludf.DUMMYFUNCTION("GOOGLEFINANCE(""CURRENCY:INRBRL"")*F1038"),14.8599023772)</f>
        <v>14.85990238</v>
      </c>
      <c r="J1038" s="1">
        <v>4.5</v>
      </c>
      <c r="K1038" s="1">
        <v>8427.0</v>
      </c>
      <c r="L1038" s="1" t="s">
        <v>3905</v>
      </c>
      <c r="M1038" s="6" t="s">
        <v>3906</v>
      </c>
      <c r="N1038" s="7" t="str">
        <f>VLOOKUP(A1038, avaliacoes!A:G, 5, FALSE)</f>
        <v>Working ok, but shape is not that good,Doesn’t froth and creates a mess,Very low power,Product is not working smoothly...after very hard press the button then it works.,Ok ok,Finally!,It would be nice if you give batteries along with product in this price. Thanks,Good</v>
      </c>
      <c r="O1038" s="7" t="str">
        <f>VLOOKUP(A1038, avaliacoes!A:G, 6, FALSE)</f>
        <v>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v>
      </c>
    </row>
    <row r="1039">
      <c r="A1039" s="1" t="s">
        <v>3907</v>
      </c>
      <c r="B1039" s="1" t="s">
        <v>3908</v>
      </c>
      <c r="C1039" s="1" t="s">
        <v>3909</v>
      </c>
      <c r="D1039" s="1" t="str">
        <f t="shared" si="2"/>
        <v>Home&amp;Kitchen</v>
      </c>
      <c r="E1039" s="1" t="str">
        <f t="shared" si="3"/>
        <v>Kitchen&amp;HomeAppliances</v>
      </c>
      <c r="F1039" s="2">
        <v>625.0</v>
      </c>
      <c r="G1039" s="2">
        <v>1399.0</v>
      </c>
      <c r="H1039" s="3">
        <f t="shared" si="4"/>
        <v>0.5532523231</v>
      </c>
      <c r="I1039" s="4">
        <f>IFERROR(__xludf.DUMMYFUNCTION("GOOGLEFINANCE(""CURRENCY:INRBRL"")*F1039"),37.29895175)</f>
        <v>37.29895175</v>
      </c>
      <c r="J1039" s="1">
        <v>4.5</v>
      </c>
      <c r="K1039" s="1">
        <v>23316.0</v>
      </c>
      <c r="L1039" s="1" t="s">
        <v>3910</v>
      </c>
      <c r="M1039" s="6" t="s">
        <v>3911</v>
      </c>
      <c r="N1039" s="7" t="str">
        <f>VLOOKUP(A1039, avaliacoes!A:G, 5, FALSE)</f>
        <v>Worth the money..,Good product,This is Good,Super product,Good product,Average product but value for money,For daily use,Heat temprature very slow</v>
      </c>
      <c r="O1039" s="7" t="str">
        <f>VLOOKUP(A1039, avaliacoes!A:G, 6, FALSE)</f>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v>
      </c>
    </row>
    <row r="1040">
      <c r="A1040" s="1" t="s">
        <v>3912</v>
      </c>
      <c r="B1040" s="1" t="s">
        <v>3913</v>
      </c>
      <c r="C1040" s="1" t="s">
        <v>3914</v>
      </c>
      <c r="D1040" s="1" t="str">
        <f t="shared" si="2"/>
        <v>Home&amp;Kitchen</v>
      </c>
      <c r="E1040" s="1" t="str">
        <f t="shared" si="3"/>
        <v>Kitchen&amp;HomeAppliances</v>
      </c>
      <c r="F1040" s="2">
        <v>1299.0</v>
      </c>
      <c r="G1040" s="2">
        <v>2499.0</v>
      </c>
      <c r="H1040" s="3">
        <f t="shared" si="4"/>
        <v>0.4801920768</v>
      </c>
      <c r="I1040" s="4">
        <f>IFERROR(__xludf.DUMMYFUNCTION("GOOGLEFINANCE(""CURRENCY:INRBRL"")*F1040"),77.5221413172)</f>
        <v>77.52214132</v>
      </c>
      <c r="J1040" s="1">
        <v>4.0</v>
      </c>
      <c r="K1040" s="1">
        <v>653.0</v>
      </c>
      <c r="L1040" s="1" t="s">
        <v>3915</v>
      </c>
      <c r="M1040" s="6" t="s">
        <v>3916</v>
      </c>
      <c r="N1040" s="7" t="str">
        <f>VLOOKUP(A1040, avaliacoes!A:G, 5, FALSE)</f>
        <v>Best products,Ok,Short Nd sweet product,Good,About warranty card,Good,Good 👍,It's affordable but cheap quality</v>
      </c>
      <c r="O1040" s="7" t="str">
        <f>VLOOKUP(A1040, avaliacoes!A:G, 6, FALSE)</f>
        <v>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v>
      </c>
    </row>
    <row r="1041">
      <c r="A1041" s="1" t="s">
        <v>3917</v>
      </c>
      <c r="B1041" s="1" t="s">
        <v>3918</v>
      </c>
      <c r="C1041" s="1" t="s">
        <v>3919</v>
      </c>
      <c r="D1041" s="1" t="str">
        <f t="shared" si="2"/>
        <v>Home&amp;Kitchen</v>
      </c>
      <c r="E1041" s="1" t="str">
        <f t="shared" si="3"/>
        <v>Heating,Cooling&amp;AirQuality</v>
      </c>
      <c r="F1041" s="2">
        <v>3599.0</v>
      </c>
      <c r="G1041" s="2">
        <v>6199.0</v>
      </c>
      <c r="H1041" s="3">
        <f t="shared" si="4"/>
        <v>0.4194224875</v>
      </c>
      <c r="I1041" s="4">
        <f>IFERROR(__xludf.DUMMYFUNCTION("GOOGLEFINANCE(""CURRENCY:INRBRL"")*F1041"),214.7822837572)</f>
        <v>214.7822838</v>
      </c>
      <c r="J1041" s="1">
        <v>4.5</v>
      </c>
      <c r="K1041" s="1">
        <v>11924.0</v>
      </c>
      <c r="L1041" s="1" t="s">
        <v>3920</v>
      </c>
      <c r="M1041" s="6" t="s">
        <v>3921</v>
      </c>
      <c r="N1041" s="7" t="str">
        <f>VLOOKUP(A1041, avaliacoes!A:G, 5, FALSE)</f>
        <v>Worthy, best for bucket bathing:,Water heater that does the job right,Works as promised and the installation was quick..,All good,Good product.,Worthy product to buy.,Easy to install.,Nice product and good service</v>
      </c>
      <c r="O1041" s="7" t="str">
        <f>VLOOKUP(A1041, avaliacoes!A:G, 6, FALSE)</f>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v>
      </c>
    </row>
    <row r="1042">
      <c r="A1042" s="1" t="s">
        <v>3922</v>
      </c>
      <c r="B1042" s="1" t="s">
        <v>3923</v>
      </c>
      <c r="C1042" s="1" t="s">
        <v>3924</v>
      </c>
      <c r="D1042" s="1" t="str">
        <f t="shared" si="2"/>
        <v>Home&amp;Kitchen</v>
      </c>
      <c r="E1042" s="1" t="str">
        <f t="shared" si="3"/>
        <v>Heating,Cooling&amp;AirQuality</v>
      </c>
      <c r="F1042" s="2">
        <v>6549.0</v>
      </c>
      <c r="G1042" s="2">
        <v>13999.0</v>
      </c>
      <c r="H1042" s="3">
        <f t="shared" si="4"/>
        <v>0.5321808701</v>
      </c>
      <c r="I1042" s="4">
        <f>IFERROR(__xludf.DUMMYFUNCTION("GOOGLEFINANCE(""CURRENCY:INRBRL"")*F1042"),390.8333360172)</f>
        <v>390.833336</v>
      </c>
      <c r="J1042" s="1">
        <v>4.0</v>
      </c>
      <c r="K1042" s="1">
        <v>2961.0</v>
      </c>
      <c r="L1042" s="1" t="s">
        <v>3925</v>
      </c>
      <c r="M1042" s="6" t="s">
        <v>3926</v>
      </c>
      <c r="N1042" s="7" t="str">
        <f>VLOOKUP(A1042, avaliacoes!A:G, 5, FALSE)</f>
        <v>Good product and recommend too,Good Purchase,It cannot warm a room of less than 100 square feet,Fan not working,Awesome,Good 9 Fin Oil Filler Room Heater from Morphy Richards,Good product for health conscious people,Really good product, Screws are available under lower thermocol</v>
      </c>
      <c r="O1042" s="7" t="str">
        <f>VLOOKUP(A1042, avaliacoes!A:G, 6, FALSE)</f>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v>
      </c>
    </row>
    <row r="1043">
      <c r="A1043" s="1" t="s">
        <v>3927</v>
      </c>
      <c r="B1043" s="1" t="s">
        <v>3928</v>
      </c>
      <c r="C1043" s="1" t="s">
        <v>3841</v>
      </c>
      <c r="D1043" s="1" t="str">
        <f t="shared" si="2"/>
        <v>Home&amp;Kitchen</v>
      </c>
      <c r="E1043" s="1" t="str">
        <f t="shared" si="3"/>
        <v>Kitchen&amp;HomeAppliances</v>
      </c>
      <c r="F1043" s="2">
        <v>1625.0</v>
      </c>
      <c r="G1043" s="2">
        <v>2995.0</v>
      </c>
      <c r="H1043" s="3">
        <f t="shared" si="4"/>
        <v>0.4574290484</v>
      </c>
      <c r="I1043" s="4">
        <f>IFERROR(__xludf.DUMMYFUNCTION("GOOGLEFINANCE(""CURRENCY:INRBRL"")*F1043"),96.97727454999999)</f>
        <v>96.97727455</v>
      </c>
      <c r="J1043" s="1">
        <v>4.51</v>
      </c>
      <c r="K1043" s="1">
        <v>23484.0</v>
      </c>
      <c r="L1043" s="1" t="s">
        <v>3929</v>
      </c>
      <c r="M1043" s="6" t="s">
        <v>3930</v>
      </c>
      <c r="N1043" s="7" t="str">
        <f>VLOOKUP(A1043, avaliacoes!A:G, 5, FALSE)</f>
        <v>Good product,Good Product,Very easy to use but my mom wanted a transparent one,Very good product,4 on 5,overall good,Nice,Elegant &amp; Sturdy!</v>
      </c>
      <c r="O1043" s="7" t="str">
        <f>VLOOKUP(A1043, avaliacoes!A:G, 6, FALSE)</f>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v>
      </c>
    </row>
    <row r="1044">
      <c r="A1044" s="1" t="s">
        <v>3931</v>
      </c>
      <c r="B1044" s="1" t="s">
        <v>3932</v>
      </c>
      <c r="C1044" s="1" t="s">
        <v>3919</v>
      </c>
      <c r="D1044" s="1" t="str">
        <f t="shared" si="2"/>
        <v>Home&amp;Kitchen</v>
      </c>
      <c r="E1044" s="1" t="str">
        <f t="shared" si="3"/>
        <v>Heating,Cooling&amp;AirQuality</v>
      </c>
      <c r="F1044" s="2">
        <v>2599.0</v>
      </c>
      <c r="G1044" s="2">
        <v>5899.0</v>
      </c>
      <c r="H1044" s="3">
        <f t="shared" si="4"/>
        <v>0.5594168503</v>
      </c>
      <c r="I1044" s="4">
        <f>IFERROR(__xludf.DUMMYFUNCTION("GOOGLEFINANCE(""CURRENCY:INRBRL"")*F1044"),155.1039609572)</f>
        <v>155.103961</v>
      </c>
      <c r="J1044" s="1">
        <v>4.49</v>
      </c>
      <c r="K1044" s="1">
        <v>21783.0</v>
      </c>
      <c r="L1044" s="1" t="s">
        <v>3933</v>
      </c>
      <c r="M1044" s="6" t="s">
        <v>3934</v>
      </c>
      <c r="N1044" s="7" t="str">
        <f>VLOOKUP(A1044, avaliacoes!A:G, 5, FALSE)</f>
        <v>Received used product requested replacement,Good product,Tiny bomb,Very nice,works well, but its a really small tank,Very good,Value for more,Instantly</v>
      </c>
      <c r="O1044" s="7" t="str">
        <f>VLOOKUP(A1044, avaliacoes!A:G, 6, FALSE)</f>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v>
      </c>
    </row>
    <row r="1045">
      <c r="A1045" s="1" t="s">
        <v>3935</v>
      </c>
      <c r="B1045" s="1" t="s">
        <v>3936</v>
      </c>
      <c r="C1045" s="1" t="s">
        <v>3937</v>
      </c>
      <c r="D1045" s="1" t="str">
        <f t="shared" si="2"/>
        <v>Home&amp;Kitchen</v>
      </c>
      <c r="E1045" s="1" t="str">
        <f t="shared" si="3"/>
        <v>Kitchen&amp;HomeAppliances</v>
      </c>
      <c r="F1045" s="2">
        <v>1199.0</v>
      </c>
      <c r="G1045" s="2">
        <v>1999.0</v>
      </c>
      <c r="H1045" s="3">
        <f t="shared" si="4"/>
        <v>0.4002001001</v>
      </c>
      <c r="I1045" s="4">
        <f>IFERROR(__xludf.DUMMYFUNCTION("GOOGLEFINANCE(""CURRENCY:INRBRL"")*F1045"),71.5543090372)</f>
        <v>71.55430904</v>
      </c>
      <c r="J1045" s="1">
        <v>4.0</v>
      </c>
      <c r="K1045" s="1">
        <v>1403.0</v>
      </c>
      <c r="L1045" s="1" t="s">
        <v>3938</v>
      </c>
      <c r="M1045" s="6" t="s">
        <v>3939</v>
      </c>
      <c r="N1045" s="7" t="str">
        <f>VLOOKUP(A1045, avaliacoes!A:G, 5, FALSE)</f>
        <v>Great Design , Heating ,Usage ,Easy to clean but doesn't maintain the temperature for long,easy to use,Nice,Works well.,it is a good product time saving.,Good kettle at such price,Beautiful..is the word..very happy with purchase ♥️♥️♥️,Owsm</v>
      </c>
      <c r="O1045" s="7" t="str">
        <f>VLOOKUP(A1045, avaliacoes!A:G, 6, FALSE)</f>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v>
      </c>
    </row>
    <row r="1046">
      <c r="A1046" s="1" t="s">
        <v>3940</v>
      </c>
      <c r="B1046" s="1" t="s">
        <v>3941</v>
      </c>
      <c r="C1046" s="1" t="s">
        <v>3942</v>
      </c>
      <c r="D1046" s="1" t="str">
        <f t="shared" si="2"/>
        <v>Home&amp;Kitchen</v>
      </c>
      <c r="E1046" s="1" t="str">
        <f t="shared" si="3"/>
        <v>Heating,Cooling&amp;AirQuality</v>
      </c>
      <c r="F1046" s="2">
        <v>5499.0</v>
      </c>
      <c r="G1046" s="2">
        <v>13149.0</v>
      </c>
      <c r="H1046" s="3">
        <f t="shared" si="4"/>
        <v>0.5817932923</v>
      </c>
      <c r="I1046" s="4">
        <f>IFERROR(__xludf.DUMMYFUNCTION("GOOGLEFINANCE(""CURRENCY:INRBRL"")*F1046"),328.1710970772)</f>
        <v>328.1710971</v>
      </c>
      <c r="J1046" s="1">
        <v>4.5</v>
      </c>
      <c r="K1046" s="1">
        <v>6398.0</v>
      </c>
      <c r="L1046" s="1" t="s">
        <v>3943</v>
      </c>
      <c r="M1046" s="6" t="s">
        <v>3944</v>
      </c>
      <c r="N1046" s="7" t="str">
        <f>VLOOKUP(A1046, avaliacoes!A:G, 5, FALSE)</f>
        <v>Overall good performance,No things,Nice product,Good deal with Bajaj . It compact &amp; less area coverage.,GOOD,Fast delivery,Not working,Quality product at affordable price</v>
      </c>
      <c r="O1046" s="7" t="str">
        <f>VLOOKUP(A1046, avaliacoes!A:G, 6, FALSE)</f>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v>
      </c>
    </row>
    <row r="1047">
      <c r="A1047" s="1" t="s">
        <v>3945</v>
      </c>
      <c r="B1047" s="1" t="s">
        <v>3946</v>
      </c>
      <c r="C1047" s="1" t="s">
        <v>3914</v>
      </c>
      <c r="D1047" s="1" t="str">
        <f t="shared" si="2"/>
        <v>Home&amp;Kitchen</v>
      </c>
      <c r="E1047" s="1" t="str">
        <f t="shared" si="3"/>
        <v>Kitchen&amp;HomeAppliances</v>
      </c>
      <c r="F1047" s="2">
        <v>1299.0</v>
      </c>
      <c r="G1047" s="2">
        <v>3499.0</v>
      </c>
      <c r="H1047" s="3">
        <f t="shared" si="4"/>
        <v>0.6287510717</v>
      </c>
      <c r="I1047" s="4">
        <f>IFERROR(__xludf.DUMMYFUNCTION("GOOGLEFINANCE(""CURRENCY:INRBRL"")*F1047"),77.5221413172)</f>
        <v>77.52214132</v>
      </c>
      <c r="J1047" s="1">
        <v>4.51</v>
      </c>
      <c r="K1047" s="1">
        <v>4405.0</v>
      </c>
      <c r="L1047" s="1" t="s">
        <v>3947</v>
      </c>
      <c r="M1047" s="6" t="s">
        <v>3948</v>
      </c>
      <c r="N1047" s="7" t="str">
        <f>VLOOKUP(A1047, avaliacoes!A:G, 5, FALSE)</f>
        <v>Overall satisfactory in this price range,Nothing,Noiselesss and good material quality,Pocket friendly,I like this product,Superb item.,Lifelong mixer,Best product by longlife</v>
      </c>
      <c r="O1047" s="7" t="str">
        <f>VLOOKUP(A1047, avaliacoes!A:G, 6, FALSE)</f>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v>
      </c>
    </row>
    <row r="1048">
      <c r="A1048" s="1" t="s">
        <v>3949</v>
      </c>
      <c r="B1048" s="1" t="s">
        <v>3950</v>
      </c>
      <c r="C1048" s="1" t="s">
        <v>3909</v>
      </c>
      <c r="D1048" s="1" t="str">
        <f t="shared" si="2"/>
        <v>Home&amp;Kitchen</v>
      </c>
      <c r="E1048" s="1" t="str">
        <f t="shared" si="3"/>
        <v>Kitchen&amp;HomeAppliances</v>
      </c>
      <c r="F1048" s="2">
        <v>599.0</v>
      </c>
      <c r="G1048" s="2">
        <v>785.0</v>
      </c>
      <c r="H1048" s="3">
        <f t="shared" si="4"/>
        <v>0.2369426752</v>
      </c>
      <c r="I1048" s="4">
        <f>IFERROR(__xludf.DUMMYFUNCTION("GOOGLEFINANCE(""CURRENCY:INRBRL"")*F1048"),35.747315357199994)</f>
        <v>35.74731536</v>
      </c>
      <c r="J1048" s="1">
        <v>4.5</v>
      </c>
      <c r="K1048" s="1">
        <v>24247.0</v>
      </c>
      <c r="L1048" s="1" t="s">
        <v>3951</v>
      </c>
      <c r="M1048" s="6" t="s">
        <v>3952</v>
      </c>
      <c r="N1048" s="7" t="str">
        <f>VLOOKUP(A1048, avaliacoes!A:G, 5, FALSE)</f>
        <v>Good product at this price,An excellent product experience. Does job well at this price range..,Ok,overall good at this price,The Steel around the handle gets hot too!,Light weight product,Nice,A good iron for the reasonable price, tepreture control..</v>
      </c>
      <c r="O1048" s="7" t="str">
        <f>VLOOKUP(A1048, avaliacoes!A:G, 6, FALSE)</f>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v>
      </c>
    </row>
    <row r="1049">
      <c r="A1049" s="1" t="s">
        <v>3953</v>
      </c>
      <c r="B1049" s="1" t="s">
        <v>3954</v>
      </c>
      <c r="C1049" s="1" t="s">
        <v>3914</v>
      </c>
      <c r="D1049" s="1" t="str">
        <f t="shared" si="2"/>
        <v>Home&amp;Kitchen</v>
      </c>
      <c r="E1049" s="1" t="str">
        <f t="shared" si="3"/>
        <v>Kitchen&amp;HomeAppliances</v>
      </c>
      <c r="F1049" s="2">
        <v>1999.0</v>
      </c>
      <c r="G1049" s="2">
        <v>3209.0</v>
      </c>
      <c r="H1049" s="3">
        <f t="shared" si="4"/>
        <v>0.3770645061</v>
      </c>
      <c r="I1049" s="4">
        <f>IFERROR(__xludf.DUMMYFUNCTION("GOOGLEFINANCE(""CURRENCY:INRBRL"")*F1049"),119.2969672772)</f>
        <v>119.2969673</v>
      </c>
      <c r="J1049" s="1">
        <v>4.5</v>
      </c>
      <c r="K1049" s="1">
        <v>41349.0</v>
      </c>
      <c r="L1049" s="1" t="s">
        <v>3955</v>
      </c>
      <c r="M1049" s="6" t="s">
        <v>3956</v>
      </c>
      <c r="N1049" s="7" t="str">
        <f>VLOOKUP(A1049, avaliacoes!A:G, 5, FALSE)</f>
        <v>Just go for it.👍🏻,3 PIN Plug should be there,Mixer is good as well as jar is good.But packing is very bad.,Too much noise,Good quality product......,Good,Nc,Useful</v>
      </c>
      <c r="O1049" s="7" t="str">
        <f>VLOOKUP(A1049, avaliacoes!A:G, 6, FALSE)</f>
        <v>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v>
      </c>
    </row>
    <row r="1050">
      <c r="A1050" s="1" t="s">
        <v>3957</v>
      </c>
      <c r="B1050" s="1" t="s">
        <v>3958</v>
      </c>
      <c r="C1050" s="1" t="s">
        <v>3937</v>
      </c>
      <c r="D1050" s="1" t="str">
        <f t="shared" si="2"/>
        <v>Home&amp;Kitchen</v>
      </c>
      <c r="E1050" s="1" t="str">
        <f t="shared" si="3"/>
        <v>Kitchen&amp;HomeAppliances</v>
      </c>
      <c r="F1050" s="2">
        <v>549.0</v>
      </c>
      <c r="G1050" s="2">
        <v>999.0</v>
      </c>
      <c r="H1050" s="3">
        <f t="shared" si="4"/>
        <v>0.4504504505</v>
      </c>
      <c r="I1050" s="4">
        <f>IFERROR(__xludf.DUMMYFUNCTION("GOOGLEFINANCE(""CURRENCY:INRBRL"")*F1050"),32.763399217199996)</f>
        <v>32.76339922</v>
      </c>
      <c r="J1050" s="1">
        <v>4.51</v>
      </c>
      <c r="K1050" s="1">
        <v>1074.0</v>
      </c>
      <c r="L1050" s="1" t="s">
        <v>3959</v>
      </c>
      <c r="M1050" s="6" t="s">
        <v>3960</v>
      </c>
      <c r="N1050" s="7" t="str">
        <f>VLOOKUP(A1050, avaliacoes!A:G, 5, FALSE)</f>
        <v>Well over all iits nice, make sure the lid of kettle has stell casing,cord should been long,Product is ok.,Product,Easy to use,Good,Good Product.,Product body looks week . Hope it stays long .,Good looking but not very strong. What else can you get for 499</v>
      </c>
      <c r="O1050" s="7" t="str">
        <f>VLOOKUP(A1050, avaliacoes!A:G, 6, FALSE)</f>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v>
      </c>
    </row>
    <row r="1051">
      <c r="A1051" s="1" t="s">
        <v>3961</v>
      </c>
      <c r="B1051" s="1" t="s">
        <v>3962</v>
      </c>
      <c r="C1051" s="1" t="s">
        <v>3846</v>
      </c>
      <c r="D1051" s="1" t="str">
        <f t="shared" si="2"/>
        <v>Home&amp;Kitchen</v>
      </c>
      <c r="E1051" s="1" t="str">
        <f t="shared" si="3"/>
        <v>Heating,Cooling&amp;AirQuality</v>
      </c>
      <c r="F1051" s="2">
        <v>999.0</v>
      </c>
      <c r="G1051" s="2">
        <v>1999.0</v>
      </c>
      <c r="H1051" s="3">
        <f t="shared" si="4"/>
        <v>0.5002501251</v>
      </c>
      <c r="I1051" s="4">
        <f>IFERROR(__xludf.DUMMYFUNCTION("GOOGLEFINANCE(""CURRENCY:INRBRL"")*F1051"),59.61864447719999)</f>
        <v>59.61864448</v>
      </c>
      <c r="J1051" s="1">
        <v>4.51</v>
      </c>
      <c r="K1051" s="1">
        <v>1163.0</v>
      </c>
      <c r="L1051" s="1" t="s">
        <v>3963</v>
      </c>
      <c r="M1051" s="6" t="s">
        <v>3964</v>
      </c>
      <c r="N1051" s="7" t="str">
        <f>VLOOKUP(A1051, avaliacoes!A:G, 5, FALSE)</f>
        <v>Impressive in first use,SUPERB IN ALL DEPARTMENT. BEST IN THIS PRICE RANGE,Nice product,Worth the price,It is value for money but I don't think it will last very long...,The dizion is good and comportable.,Good product,Durability may be an issue</v>
      </c>
      <c r="O1051" s="7" t="str">
        <f>VLOOKUP(A1051, avaliacoes!A:G, 6, FALSE)</f>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v>
      </c>
    </row>
    <row r="1052">
      <c r="A1052" s="1" t="s">
        <v>3965</v>
      </c>
      <c r="B1052" s="1" t="s">
        <v>3966</v>
      </c>
      <c r="C1052" s="1" t="s">
        <v>3856</v>
      </c>
      <c r="D1052" s="1" t="str">
        <f t="shared" si="2"/>
        <v>Home&amp;Kitchen</v>
      </c>
      <c r="E1052" s="1" t="str">
        <f t="shared" si="3"/>
        <v>Kitchen&amp;HomeAppliances</v>
      </c>
      <c r="F1052" s="2">
        <v>398.0</v>
      </c>
      <c r="G1052" s="2">
        <v>1999.0</v>
      </c>
      <c r="H1052" s="3">
        <f t="shared" si="4"/>
        <v>0.8009004502</v>
      </c>
      <c r="I1052" s="4">
        <f>IFERROR(__xludf.DUMMYFUNCTION("GOOGLEFINANCE(""CURRENCY:INRBRL"")*F1052"),23.7519724744)</f>
        <v>23.75197247</v>
      </c>
      <c r="J1052" s="1">
        <v>4.49</v>
      </c>
      <c r="K1052" s="1">
        <v>257.0</v>
      </c>
      <c r="L1052" s="1" t="s">
        <v>3967</v>
      </c>
      <c r="M1052" s="6" t="s">
        <v>3968</v>
      </c>
      <c r="N1052" s="7" t="str">
        <f>VLOOKUP(A1052, avaliacoes!A:G, 5, FALSE)</f>
        <v>The Best Purchase,Very useful product,Good products,Very handy to remove lint,Good product,Good product,Good,It's worth it.</v>
      </c>
      <c r="O1052" s="7" t="str">
        <f>VLOOKUP(A1052, avaliacoes!A:G, 6, FALSE)</f>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v>
      </c>
    </row>
    <row r="1053">
      <c r="A1053" s="1" t="s">
        <v>3969</v>
      </c>
      <c r="B1053" s="1" t="s">
        <v>3970</v>
      </c>
      <c r="C1053" s="1" t="s">
        <v>3971</v>
      </c>
      <c r="D1053" s="1" t="str">
        <f t="shared" si="2"/>
        <v>Home&amp;Kitchen</v>
      </c>
      <c r="E1053" s="1" t="str">
        <f t="shared" si="3"/>
        <v>Heating,Cooling&amp;AirQuality</v>
      </c>
      <c r="F1053" s="2">
        <v>539.0</v>
      </c>
      <c r="G1053" s="2">
        <v>720.0</v>
      </c>
      <c r="H1053" s="3">
        <f t="shared" si="4"/>
        <v>0.2513888889</v>
      </c>
      <c r="I1053" s="4">
        <f>IFERROR(__xludf.DUMMYFUNCTION("GOOGLEFINANCE(""CURRENCY:INRBRL"")*F1053"),32.1666159892)</f>
        <v>32.16661599</v>
      </c>
      <c r="J1053" s="1">
        <v>4.49</v>
      </c>
      <c r="K1053" s="1">
        <v>36017.0</v>
      </c>
      <c r="L1053" s="1" t="s">
        <v>3972</v>
      </c>
      <c r="M1053" s="6" t="s">
        <v>3973</v>
      </c>
      <c r="N1053" s="7" t="str">
        <f>VLOOKUP(A1053, avaliacoes!A:G, 5, FALSE)</f>
        <v>Warranty,Plug is not supporting,Good product,Great,Product is good,You can go for it but...... Read review,Fabulous,Good</v>
      </c>
      <c r="O1053" s="7" t="str">
        <f>VLOOKUP(A1053, avaliacoes!A:G, 6, FALSE)</f>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v>
      </c>
    </row>
    <row r="1054">
      <c r="A1054" s="1" t="s">
        <v>3974</v>
      </c>
      <c r="B1054" s="1" t="s">
        <v>3975</v>
      </c>
      <c r="C1054" s="1" t="s">
        <v>3841</v>
      </c>
      <c r="D1054" s="1" t="str">
        <f t="shared" si="2"/>
        <v>Home&amp;Kitchen</v>
      </c>
      <c r="E1054" s="1" t="str">
        <f t="shared" si="3"/>
        <v>Kitchen&amp;HomeAppliances</v>
      </c>
      <c r="F1054" s="2">
        <v>699.0</v>
      </c>
      <c r="G1054" s="2">
        <v>1595.0</v>
      </c>
      <c r="H1054" s="3">
        <f t="shared" si="4"/>
        <v>0.5617554859</v>
      </c>
      <c r="I1054" s="4">
        <f>IFERROR(__xludf.DUMMYFUNCTION("GOOGLEFINANCE(""CURRENCY:INRBRL"")*F1054"),41.7151476372)</f>
        <v>41.71514764</v>
      </c>
      <c r="J1054" s="1">
        <v>4.49</v>
      </c>
      <c r="K1054" s="1">
        <v>809.0</v>
      </c>
      <c r="L1054" s="1" t="s">
        <v>3976</v>
      </c>
      <c r="M1054" s="6" t="s">
        <v>3977</v>
      </c>
      <c r="N1054" s="7" t="str">
        <f>VLOOKUP(A1054, avaliacoes!A:G, 5, FALSE)</f>
        <v>Easy water boiling,Its fine... to use and easy to implement.,It's a good product.,improvement required,Good utility,Must Buy Product,Good product,It's just wow product, i used for a day and then i order for one more for my child hostel. L</v>
      </c>
      <c r="O1054" s="7" t="str">
        <f>VLOOKUP(A1054, avaliacoes!A:G, 6, FALSE)</f>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v>
      </c>
    </row>
    <row r="1055">
      <c r="A1055" s="1" t="s">
        <v>3978</v>
      </c>
      <c r="B1055" s="1" t="s">
        <v>3979</v>
      </c>
      <c r="C1055" s="1" t="s">
        <v>3887</v>
      </c>
      <c r="D1055" s="1" t="str">
        <f t="shared" si="2"/>
        <v>Home&amp;Kitchen</v>
      </c>
      <c r="E1055" s="1" t="str">
        <f t="shared" si="3"/>
        <v>Kitchen&amp;HomeAppliances</v>
      </c>
      <c r="F1055" s="2">
        <v>2148.0</v>
      </c>
      <c r="G1055" s="2">
        <v>3645.0</v>
      </c>
      <c r="H1055" s="3">
        <f t="shared" si="4"/>
        <v>0.4106995885</v>
      </c>
      <c r="I1055" s="4">
        <f>IFERROR(__xludf.DUMMYFUNCTION("GOOGLEFINANCE(""CURRENCY:INRBRL"")*F1055"),128.1890373744)</f>
        <v>128.1890374</v>
      </c>
      <c r="J1055" s="1">
        <v>4.49</v>
      </c>
      <c r="K1055" s="1">
        <v>31388.0</v>
      </c>
      <c r="L1055" s="1" t="s">
        <v>3980</v>
      </c>
      <c r="M1055" s="6" t="s">
        <v>3981</v>
      </c>
      <c r="N1055" s="7" t="str">
        <f>VLOOKUP(A1055, avaliacoes!A:G, 5, FALSE)</f>
        <v>Good product in this range,Value for money,Nice,Nice one,Superb easy to use,Everything is great only issue is durability,Fabulous,The Cable is small</v>
      </c>
      <c r="O1055" s="7" t="str">
        <f>VLOOKUP(A1055, avaliacoes!A:G, 6, FALSE)</f>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v>
      </c>
    </row>
    <row r="1056">
      <c r="A1056" s="1" t="s">
        <v>3982</v>
      </c>
      <c r="B1056" s="1" t="s">
        <v>3983</v>
      </c>
      <c r="C1056" s="1" t="s">
        <v>3984</v>
      </c>
      <c r="D1056" s="1" t="str">
        <f t="shared" si="2"/>
        <v>Home&amp;Kitchen</v>
      </c>
      <c r="E1056" s="1" t="str">
        <f t="shared" si="3"/>
        <v>Kitchen&amp;HomeAppliances</v>
      </c>
      <c r="F1056" s="2">
        <v>3599.0</v>
      </c>
      <c r="G1056" s="2">
        <v>7949.0</v>
      </c>
      <c r="H1056" s="3">
        <f t="shared" si="4"/>
        <v>0.5472386464</v>
      </c>
      <c r="I1056" s="4">
        <f>IFERROR(__xludf.DUMMYFUNCTION("GOOGLEFINANCE(""CURRENCY:INRBRL"")*F1056"),214.7822837572)</f>
        <v>214.7822838</v>
      </c>
      <c r="J1056" s="1">
        <v>4.5</v>
      </c>
      <c r="K1056" s="1">
        <v>136.0</v>
      </c>
      <c r="L1056" s="1" t="s">
        <v>3985</v>
      </c>
      <c r="M1056" s="6" t="s">
        <v>3986</v>
      </c>
      <c r="N1056" s="7" t="str">
        <f>VLOOKUP(A1056, avaliacoes!A:G, 5, FALSE)</f>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v>
      </c>
      <c r="O1056" s="7" t="str">
        <f>VLOOKUP(A1056, avaliacoes!A:G, 6, FALSE)</f>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v>
      </c>
    </row>
    <row r="1057">
      <c r="A1057" s="1" t="s">
        <v>3987</v>
      </c>
      <c r="B1057" s="1" t="s">
        <v>3988</v>
      </c>
      <c r="C1057" s="1" t="s">
        <v>3989</v>
      </c>
      <c r="D1057" s="1" t="str">
        <f t="shared" si="2"/>
        <v>Home&amp;Kitchen</v>
      </c>
      <c r="E1057" s="1" t="str">
        <f t="shared" si="3"/>
        <v>HomeStorage&amp;Organization</v>
      </c>
      <c r="F1057" s="2">
        <v>351.0</v>
      </c>
      <c r="G1057" s="2">
        <v>999.0</v>
      </c>
      <c r="H1057" s="3">
        <f t="shared" si="4"/>
        <v>0.6486486486</v>
      </c>
      <c r="I1057" s="4">
        <f>IFERROR(__xludf.DUMMYFUNCTION("GOOGLEFINANCE(""CURRENCY:INRBRL"")*F1057"),20.947091302799997)</f>
        <v>20.9470913</v>
      </c>
      <c r="J1057" s="1">
        <v>4.0</v>
      </c>
      <c r="K1057" s="1">
        <v>538.0</v>
      </c>
      <c r="L1057" s="1" t="s">
        <v>3990</v>
      </c>
      <c r="M1057" s="6" t="s">
        <v>3991</v>
      </c>
      <c r="N1057" s="7" t="str">
        <f>VLOOKUP(A1057, avaliacoes!A:G, 5, FALSE)</f>
        <v>Good buy,Item is good and recommendable,Worth the money,Satisfied,Good quality storage bag,Very useful,Good product,Not as shown in the picture. Different products received.</v>
      </c>
      <c r="O1057" s="7" t="str">
        <f>VLOOKUP(A1057, avaliacoes!A:G, 6, FALSE)</f>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v>
      </c>
    </row>
    <row r="1058">
      <c r="A1058" s="1" t="s">
        <v>3992</v>
      </c>
      <c r="B1058" s="1" t="s">
        <v>3993</v>
      </c>
      <c r="C1058" s="1" t="s">
        <v>3994</v>
      </c>
      <c r="D1058" s="1" t="str">
        <f t="shared" si="2"/>
        <v>Home&amp;Kitchen</v>
      </c>
      <c r="E1058" s="1" t="str">
        <f t="shared" si="3"/>
        <v>Kitchen&amp;HomeAppliances</v>
      </c>
      <c r="F1058" s="2">
        <v>1614.0</v>
      </c>
      <c r="G1058" s="2">
        <v>1745.0</v>
      </c>
      <c r="H1058" s="3">
        <f t="shared" si="4"/>
        <v>0.07507163324</v>
      </c>
      <c r="I1058" s="4">
        <f>IFERROR(__xludf.DUMMYFUNCTION("GOOGLEFINANCE(""CURRENCY:INRBRL"")*F1058"),96.32081299919999)</f>
        <v>96.320813</v>
      </c>
      <c r="J1058" s="1">
        <v>4.5</v>
      </c>
      <c r="K1058" s="1">
        <v>37974.0</v>
      </c>
      <c r="L1058" s="1" t="s">
        <v>3995</v>
      </c>
      <c r="M1058" s="6" t="s">
        <v>3996</v>
      </c>
      <c r="N1058" s="7" t="str">
        <f>VLOOKUP(A1058, avaliacoes!A:G, 5, FALSE)</f>
        <v>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v>
      </c>
      <c r="O1058" s="7" t="str">
        <f>VLOOKUP(A1058, avaliacoes!A:G, 6, FALSE)</f>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v>
      </c>
    </row>
    <row r="1059">
      <c r="A1059" s="1" t="s">
        <v>3997</v>
      </c>
      <c r="B1059" s="1" t="s">
        <v>3998</v>
      </c>
      <c r="C1059" s="1" t="s">
        <v>3971</v>
      </c>
      <c r="D1059" s="1" t="str">
        <f t="shared" si="2"/>
        <v>Home&amp;Kitchen</v>
      </c>
      <c r="E1059" s="1" t="str">
        <f t="shared" si="3"/>
        <v>Heating,Cooling&amp;AirQuality</v>
      </c>
      <c r="F1059" s="2">
        <v>719.0</v>
      </c>
      <c r="G1059" s="2">
        <v>1295.0</v>
      </c>
      <c r="H1059" s="3">
        <f t="shared" si="4"/>
        <v>0.4447876448</v>
      </c>
      <c r="I1059" s="4">
        <f>IFERROR(__xludf.DUMMYFUNCTION("GOOGLEFINANCE(""CURRENCY:INRBRL"")*F1059"),42.9087140932)</f>
        <v>42.90871409</v>
      </c>
      <c r="J1059" s="1">
        <v>4.5</v>
      </c>
      <c r="K1059" s="1">
        <v>17218.0</v>
      </c>
      <c r="L1059" s="1" t="s">
        <v>3999</v>
      </c>
      <c r="M1059" s="6" t="s">
        <v>4000</v>
      </c>
      <c r="N1059" s="7" t="str">
        <f>VLOOKUP(A1059, avaliacoes!A:G, 5, FALSE)</f>
        <v>Needs accessories,Gets water hot in under 10 mins,Slightly disappointed,Useful,Value for your money,Havells water heater is an excellent product.,v.nice,This product is very good and easy to use</v>
      </c>
      <c r="O1059" s="7" t="str">
        <f>VLOOKUP(A1059, avaliacoes!A:G, 6, FALSE)</f>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v>
      </c>
    </row>
    <row r="1060">
      <c r="A1060" s="1" t="s">
        <v>4001</v>
      </c>
      <c r="B1060" s="1" t="s">
        <v>4002</v>
      </c>
      <c r="C1060" s="1" t="s">
        <v>3856</v>
      </c>
      <c r="D1060" s="1" t="str">
        <f t="shared" si="2"/>
        <v>Home&amp;Kitchen</v>
      </c>
      <c r="E1060" s="1" t="str">
        <f t="shared" si="3"/>
        <v>Kitchen&amp;HomeAppliances</v>
      </c>
      <c r="F1060" s="2">
        <v>678.0</v>
      </c>
      <c r="G1060" s="2">
        <v>1499.0</v>
      </c>
      <c r="H1060" s="3">
        <f t="shared" si="4"/>
        <v>0.5476984656</v>
      </c>
      <c r="I1060" s="4">
        <f>IFERROR(__xludf.DUMMYFUNCTION("GOOGLEFINANCE(""CURRENCY:INRBRL"")*F1060"),40.461902858399995)</f>
        <v>40.46190286</v>
      </c>
      <c r="J1060" s="1">
        <v>4.5</v>
      </c>
      <c r="K1060" s="1">
        <v>900.0</v>
      </c>
      <c r="L1060" s="1" t="s">
        <v>4003</v>
      </c>
      <c r="M1060" s="6" t="s">
        <v>4004</v>
      </c>
      <c r="N1060" s="7" t="str">
        <f>VLOOKUP(A1060, avaliacoes!A:G, 5, FALSE)</f>
        <v>Good product, removes lint efficiently.,Good product. Does job well.,A recommended product,Easy to use,Good product,The Product Is Very Useful Thanks To Agaro,Good lint remover,Nice product</v>
      </c>
      <c r="O1060" s="7" t="str">
        <f>VLOOKUP(A1060, avaliacoes!A:G, 6, FALSE)</f>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v>
      </c>
    </row>
    <row r="1061">
      <c r="A1061" s="1" t="s">
        <v>4005</v>
      </c>
      <c r="B1061" s="1" t="s">
        <v>4006</v>
      </c>
      <c r="C1061" s="1" t="s">
        <v>3937</v>
      </c>
      <c r="D1061" s="1" t="str">
        <f t="shared" si="2"/>
        <v>Home&amp;Kitchen</v>
      </c>
      <c r="E1061" s="1" t="str">
        <f t="shared" si="3"/>
        <v>Kitchen&amp;HomeAppliances</v>
      </c>
      <c r="F1061" s="2">
        <v>809.0</v>
      </c>
      <c r="G1061" s="2">
        <v>1545.0</v>
      </c>
      <c r="H1061" s="3">
        <f t="shared" si="4"/>
        <v>0.4763754045</v>
      </c>
      <c r="I1061" s="4">
        <f>IFERROR(__xludf.DUMMYFUNCTION("GOOGLEFINANCE(""CURRENCY:INRBRL"")*F1061"),48.27976314519999)</f>
        <v>48.27976315</v>
      </c>
      <c r="J1061" s="1">
        <v>4.51</v>
      </c>
      <c r="K1061" s="1">
        <v>976.0</v>
      </c>
      <c r="L1061" s="1" t="s">
        <v>4007</v>
      </c>
      <c r="M1061" s="6" t="s">
        <v>4008</v>
      </c>
      <c r="N1061" s="7" t="str">
        <f>VLOOKUP(A1061, avaliacoes!A:G, 5, FALSE)</f>
        <v>Kettle is good but bottle is not good quality,Good,Ok,Bottle is not sturdy; kettle id light but heats fast,Value for money,Steel Quality is not as per expectation,Satisfactory experience,Good</v>
      </c>
      <c r="O1061" s="7" t="str">
        <f>VLOOKUP(A1061, avaliacoes!A:G, 6, FALSE)</f>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v>
      </c>
    </row>
    <row r="1062">
      <c r="A1062" s="1" t="s">
        <v>4009</v>
      </c>
      <c r="B1062" s="1" t="s">
        <v>4010</v>
      </c>
      <c r="C1062" s="1" t="s">
        <v>4011</v>
      </c>
      <c r="D1062" s="1" t="str">
        <f t="shared" si="2"/>
        <v>Home&amp;Kitchen</v>
      </c>
      <c r="E1062" s="1" t="str">
        <f t="shared" si="3"/>
        <v>Kitchen&amp;HomeAppliances</v>
      </c>
      <c r="F1062" s="2">
        <v>1969.0</v>
      </c>
      <c r="G1062" s="2">
        <v>4999.0</v>
      </c>
      <c r="H1062" s="3">
        <f t="shared" si="4"/>
        <v>0.6061212242</v>
      </c>
      <c r="I1062" s="4">
        <f>IFERROR(__xludf.DUMMYFUNCTION("GOOGLEFINANCE(""CURRENCY:INRBRL"")*F1062"),117.50661759319999)</f>
        <v>117.5066176</v>
      </c>
      <c r="J1062" s="1">
        <v>4.49</v>
      </c>
      <c r="K1062" s="1">
        <v>4927.0</v>
      </c>
      <c r="L1062" s="1" t="s">
        <v>4012</v>
      </c>
      <c r="M1062" s="6" t="s">
        <v>4013</v>
      </c>
      <c r="N1062" s="7" t="str">
        <f>VLOOKUP(A1062, avaliacoes!A:G, 5, FALSE)</f>
        <v>Used almost for a month,User friendly product  worth the money.  The product working fast.,Very happy with cookwell services,Worth,Very good product...,Good product,Good Customer Service,Good one easy to use</v>
      </c>
      <c r="O1062" s="7" t="str">
        <f>VLOOKUP(A1062, avaliacoes!A:G, 6, FALSE)</f>
        <v>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v>
      </c>
    </row>
    <row r="1063">
      <c r="A1063" s="1" t="s">
        <v>4014</v>
      </c>
      <c r="B1063" s="1" t="s">
        <v>4015</v>
      </c>
      <c r="C1063" s="1" t="s">
        <v>3856</v>
      </c>
      <c r="D1063" s="1" t="str">
        <f t="shared" si="2"/>
        <v>Home&amp;Kitchen</v>
      </c>
      <c r="E1063" s="1" t="str">
        <f t="shared" si="3"/>
        <v>Kitchen&amp;HomeAppliances</v>
      </c>
      <c r="F1063" s="2">
        <v>1499.0</v>
      </c>
      <c r="G1063" s="2">
        <v>1695.0</v>
      </c>
      <c r="H1063" s="3">
        <f t="shared" si="4"/>
        <v>0.1156342183</v>
      </c>
      <c r="I1063" s="4">
        <f>IFERROR(__xludf.DUMMYFUNCTION("GOOGLEFINANCE(""CURRENCY:INRBRL"")*F1063"),89.45780587719999)</f>
        <v>89.45780588</v>
      </c>
      <c r="J1063" s="1">
        <v>4.5</v>
      </c>
      <c r="K1063" s="1">
        <v>3543.0</v>
      </c>
      <c r="L1063" s="1" t="s">
        <v>4016</v>
      </c>
      <c r="M1063" s="6" t="s">
        <v>4017</v>
      </c>
      <c r="N1063" s="7" t="str">
        <f>VLOOKUP(A1063, avaliacoes!A:G, 5, FALSE)</f>
        <v>Good Portable product,Product is good but within 3/4 uses battery is dead now have to change its battery(cell),Finally I got my item and it works fine.,Overall Very good products and value for money , go for it,Wonderful product,Nice,It was just osm,It's best</v>
      </c>
      <c r="O1063" s="7" t="str">
        <f>VLOOKUP(A1063, avaliacoes!A:G, 6, FALSE)</f>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v>
      </c>
    </row>
    <row r="1064">
      <c r="A1064" s="1" t="s">
        <v>4018</v>
      </c>
      <c r="B1064" s="1" t="s">
        <v>4019</v>
      </c>
      <c r="C1064" s="1" t="s">
        <v>3846</v>
      </c>
      <c r="D1064" s="1" t="str">
        <f t="shared" si="2"/>
        <v>Home&amp;Kitchen</v>
      </c>
      <c r="E1064" s="1" t="str">
        <f t="shared" si="3"/>
        <v>Heating,Cooling&amp;AirQuality</v>
      </c>
      <c r="F1064" s="2">
        <v>2499.0</v>
      </c>
      <c r="G1064" s="2">
        <v>3945.0</v>
      </c>
      <c r="H1064" s="3">
        <f t="shared" si="4"/>
        <v>0.366539924</v>
      </c>
      <c r="I1064" s="4">
        <f>IFERROR(__xludf.DUMMYFUNCTION("GOOGLEFINANCE(""CURRENCY:INRBRL"")*F1064"),149.1361286772)</f>
        <v>149.1361287</v>
      </c>
      <c r="J1064" s="1">
        <v>4.51</v>
      </c>
      <c r="K1064" s="1">
        <v>2732.0</v>
      </c>
      <c r="L1064" s="1" t="s">
        <v>4020</v>
      </c>
      <c r="M1064" s="6" t="s">
        <v>4021</v>
      </c>
      <c r="N1064" s="7" t="str">
        <f>VLOOKUP(A1064, avaliacoes!A:G, 5, FALSE)</f>
        <v>Products review,Good &amp; easy to use.,Good and portable,Motor Like unusal Noise,Better product with value for money.,Nice product from havells,Very easy to yse and portable those looking for small room this s best to buy,it's good choice</v>
      </c>
      <c r="O1064" s="7" t="str">
        <f>VLOOKUP(A1064, avaliacoes!A:G, 6, FALSE)</f>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v>
      </c>
    </row>
    <row r="1065">
      <c r="A1065" s="1" t="s">
        <v>4022</v>
      </c>
      <c r="B1065" s="1" t="s">
        <v>4023</v>
      </c>
      <c r="C1065" s="1" t="s">
        <v>4024</v>
      </c>
      <c r="D1065" s="1" t="str">
        <f t="shared" si="2"/>
        <v>Home&amp;Kitchen</v>
      </c>
      <c r="E1065" s="1" t="str">
        <f t="shared" si="3"/>
        <v>Kitchen&amp;HomeAppliances</v>
      </c>
      <c r="F1065" s="2">
        <v>1665.0</v>
      </c>
      <c r="G1065" s="2">
        <v>2099.0</v>
      </c>
      <c r="H1065" s="3">
        <f t="shared" si="4"/>
        <v>0.2067651263</v>
      </c>
      <c r="I1065" s="4">
        <f>IFERROR(__xludf.DUMMYFUNCTION("GOOGLEFINANCE(""CURRENCY:INRBRL"")*F1065"),99.36440746199999)</f>
        <v>99.36440746</v>
      </c>
      <c r="J1065" s="1">
        <v>4.0</v>
      </c>
      <c r="K1065" s="1">
        <v>14368.0</v>
      </c>
      <c r="L1065" s="1" t="s">
        <v>4025</v>
      </c>
      <c r="M1065" s="6" t="s">
        <v>4026</v>
      </c>
      <c r="N1065" s="7" t="str">
        <f>VLOOKUP(A1065, avaliacoes!A:G, 5, FALSE)</f>
        <v>Vaccum cleaner,Ok,Good product,Quite loud, heats quickly but very good for cleaning upholstery,Compact in size,Only for limited &amp; light duty usage,Value for money, Good bargain,Handy n works well</v>
      </c>
      <c r="O1065" s="7" t="str">
        <f>VLOOKUP(A1065, avaliacoes!A:G, 6, FALSE)</f>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v>
      </c>
    </row>
    <row r="1066">
      <c r="A1066" s="1" t="s">
        <v>4027</v>
      </c>
      <c r="B1066" s="1" t="s">
        <v>4028</v>
      </c>
      <c r="C1066" s="1" t="s">
        <v>3887</v>
      </c>
      <c r="D1066" s="1" t="str">
        <f t="shared" si="2"/>
        <v>Home&amp;Kitchen</v>
      </c>
      <c r="E1066" s="1" t="str">
        <f t="shared" si="3"/>
        <v>Kitchen&amp;HomeAppliances</v>
      </c>
      <c r="F1066" s="2">
        <v>3229.0</v>
      </c>
      <c r="G1066" s="2">
        <v>5295.0</v>
      </c>
      <c r="H1066" s="3">
        <f t="shared" si="4"/>
        <v>0.3901794145</v>
      </c>
      <c r="I1066" s="4">
        <f>IFERROR(__xludf.DUMMYFUNCTION("GOOGLEFINANCE(""CURRENCY:INRBRL"")*F1066"),192.70130432119998)</f>
        <v>192.7013043</v>
      </c>
      <c r="J1066" s="1">
        <v>4.5</v>
      </c>
      <c r="K1066" s="1">
        <v>39724.0</v>
      </c>
      <c r="L1066" s="1" t="s">
        <v>4029</v>
      </c>
      <c r="M1066" s="6" t="s">
        <v>4030</v>
      </c>
      <c r="N1066" s="7" t="str">
        <f>VLOOKUP(A1066, avaliacoes!A:G, 5, FALSE)</f>
        <v>Product as describe,Good product,Good product but price high.,I miss my gas stove.... Induction sucks :(,Great value,No1,तेल गर्म करने में परेशानी,Good</v>
      </c>
      <c r="O1066" s="7" t="str">
        <f>VLOOKUP(A1066, avaliacoes!A:G, 6, FALSE)</f>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v>
      </c>
    </row>
    <row r="1067">
      <c r="A1067" s="1" t="s">
        <v>4031</v>
      </c>
      <c r="B1067" s="1" t="s">
        <v>4032</v>
      </c>
      <c r="C1067" s="1" t="s">
        <v>3887</v>
      </c>
      <c r="D1067" s="1" t="str">
        <f t="shared" si="2"/>
        <v>Home&amp;Kitchen</v>
      </c>
      <c r="E1067" s="1" t="str">
        <f t="shared" si="3"/>
        <v>Kitchen&amp;HomeAppliances</v>
      </c>
      <c r="F1067" s="2">
        <v>1799.0</v>
      </c>
      <c r="G1067" s="2">
        <v>3595.0</v>
      </c>
      <c r="H1067" s="3">
        <f t="shared" si="4"/>
        <v>0.4995827538</v>
      </c>
      <c r="I1067" s="4">
        <f>IFERROR(__xludf.DUMMYFUNCTION("GOOGLEFINANCE(""CURRENCY:INRBRL"")*F1067"),107.36130271719999)</f>
        <v>107.3613027</v>
      </c>
      <c r="J1067" s="1">
        <v>4.51</v>
      </c>
      <c r="K1067" s="1">
        <v>9791.0</v>
      </c>
      <c r="L1067" s="1" t="s">
        <v>4033</v>
      </c>
      <c r="M1067" s="6" t="s">
        <v>4034</v>
      </c>
      <c r="N1067" s="7" t="str">
        <f>VLOOKUP(A1067, avaliacoes!A:G, 5, FALSE)</f>
        <v>It's an okay induction stove on a budget price,Super,Nice product,Pigeon Induction,Easy to clean,Works fine issue with delivery product bit damaged,Average,It is nice product &amp; easy to use best at this price</v>
      </c>
      <c r="O1067" s="7" t="str">
        <f>VLOOKUP(A1067, avaliacoes!A:G, 6, FALSE)</f>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v>
      </c>
    </row>
    <row r="1068">
      <c r="A1068" s="1" t="s">
        <v>4035</v>
      </c>
      <c r="B1068" s="1" t="s">
        <v>4036</v>
      </c>
      <c r="C1068" s="1" t="s">
        <v>3841</v>
      </c>
      <c r="D1068" s="1" t="str">
        <f t="shared" si="2"/>
        <v>Home&amp;Kitchen</v>
      </c>
      <c r="E1068" s="1" t="str">
        <f t="shared" si="3"/>
        <v>Kitchen&amp;HomeAppliances</v>
      </c>
      <c r="F1068" s="2">
        <v>1269.0</v>
      </c>
      <c r="G1068" s="2">
        <v>1699.0</v>
      </c>
      <c r="H1068" s="3">
        <f t="shared" si="4"/>
        <v>0.253090053</v>
      </c>
      <c r="I1068" s="4">
        <f>IFERROR(__xludf.DUMMYFUNCTION("GOOGLEFINANCE(""CURRENCY:INRBRL"")*F1068"),75.73179163319999)</f>
        <v>75.73179163</v>
      </c>
      <c r="J1068" s="1">
        <v>4.5</v>
      </c>
      <c r="K1068" s="1">
        <v>2891.0</v>
      </c>
      <c r="L1068" s="1" t="s">
        <v>4037</v>
      </c>
      <c r="M1068" s="6" t="s">
        <v>4038</v>
      </c>
      <c r="N1068" s="7" t="str">
        <f>VLOOKUP(A1068, avaliacoes!A:G, 5, FALSE)</f>
        <v>600 W heating kettle with warmer &amp; temp control, half coil heating element looks odd,Overall a Good Electric Kettle,Overall good.,Good Multicooker within budget,Agaro esteem Multi kettle,Quality,Very nice product. Like it.❤,Nice one for hostellers. A must buy product.</v>
      </c>
      <c r="O1068" s="7" t="str">
        <f>VLOOKUP(A1068, avaliacoes!A:G, 6, FALSE)</f>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v>
      </c>
    </row>
    <row r="1069">
      <c r="A1069" s="1" t="s">
        <v>4039</v>
      </c>
      <c r="B1069" s="1" t="s">
        <v>4040</v>
      </c>
      <c r="C1069" s="1" t="s">
        <v>3846</v>
      </c>
      <c r="D1069" s="1" t="str">
        <f t="shared" si="2"/>
        <v>Home&amp;Kitchen</v>
      </c>
      <c r="E1069" s="1" t="str">
        <f t="shared" si="3"/>
        <v>Heating,Cooling&amp;AirQuality</v>
      </c>
      <c r="F1069" s="2">
        <v>749.0</v>
      </c>
      <c r="G1069" s="2">
        <v>1129.0</v>
      </c>
      <c r="H1069" s="3">
        <f t="shared" si="4"/>
        <v>0.3365810452</v>
      </c>
      <c r="I1069" s="4">
        <f>IFERROR(__xludf.DUMMYFUNCTION("GOOGLEFINANCE(""CURRENCY:INRBRL"")*F1069"),44.699063777199996)</f>
        <v>44.69906378</v>
      </c>
      <c r="J1069" s="1">
        <v>4.0</v>
      </c>
      <c r="K1069" s="1">
        <v>2446.0</v>
      </c>
      <c r="L1069" s="1" t="s">
        <v>4041</v>
      </c>
      <c r="M1069" s="6" t="s">
        <v>4042</v>
      </c>
      <c r="N1069" s="7" t="str">
        <f>VLOOKUP(A1069, avaliacoes!A:G, 5, FALSE)</f>
        <v>Poor packaging,Nice products,Good,Spr,Worth to money,Heating is little less,Good for heating a single room.,Acha hai</v>
      </c>
      <c r="O1069" s="7" t="str">
        <f>VLOOKUP(A1069, avaliacoes!A:G, 6, FALSE)</f>
        <v>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v>
      </c>
    </row>
    <row r="1070">
      <c r="A1070" s="1" t="s">
        <v>4043</v>
      </c>
      <c r="B1070" s="1" t="s">
        <v>4044</v>
      </c>
      <c r="C1070" s="1" t="s">
        <v>3914</v>
      </c>
      <c r="D1070" s="1" t="str">
        <f t="shared" si="2"/>
        <v>Home&amp;Kitchen</v>
      </c>
      <c r="E1070" s="1" t="str">
        <f t="shared" si="3"/>
        <v>Kitchen&amp;HomeAppliances</v>
      </c>
      <c r="F1070" s="2">
        <v>3499.0</v>
      </c>
      <c r="G1070" s="2">
        <v>5795.0</v>
      </c>
      <c r="H1070" s="3">
        <f t="shared" si="4"/>
        <v>0.3962036238</v>
      </c>
      <c r="I1070" s="4">
        <f>IFERROR(__xludf.DUMMYFUNCTION("GOOGLEFINANCE(""CURRENCY:INRBRL"")*F1070"),208.81445147719998)</f>
        <v>208.8144515</v>
      </c>
      <c r="J1070" s="1">
        <v>4.52</v>
      </c>
      <c r="K1070" s="1">
        <v>2534.0</v>
      </c>
      <c r="L1070" s="1" t="s">
        <v>4045</v>
      </c>
      <c r="M1070" s="6" t="s">
        <v>4046</v>
      </c>
      <c r="N1070" s="7" t="str">
        <f>VLOOKUP(A1070, avaliacoes!A:G, 5, FALSE)</f>
        <v>Very nice product from Amazon,Work in very good,good product,Good,Nice 👍,Good performance with cheap look,User manual book and Warranty card not in Box.,Satisfied 😁</v>
      </c>
      <c r="O1070" s="7" t="str">
        <f>VLOOKUP(A1070, avaliacoes!A:G, 6, FALSE)</f>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v>
      </c>
    </row>
    <row r="1071">
      <c r="A1071" s="1" t="s">
        <v>4047</v>
      </c>
      <c r="B1071" s="1" t="s">
        <v>4048</v>
      </c>
      <c r="C1071" s="1" t="s">
        <v>4049</v>
      </c>
      <c r="D1071" s="1" t="str">
        <f t="shared" si="2"/>
        <v>Home&amp;Kitchen</v>
      </c>
      <c r="E1071" s="1" t="str">
        <f t="shared" si="3"/>
        <v>Kitchen&amp;HomeAppliances</v>
      </c>
      <c r="F1071" s="2">
        <v>379.0</v>
      </c>
      <c r="G1071" s="2">
        <v>999.0</v>
      </c>
      <c r="H1071" s="3">
        <f t="shared" si="4"/>
        <v>0.6206206206</v>
      </c>
      <c r="I1071" s="4">
        <f>IFERROR(__xludf.DUMMYFUNCTION("GOOGLEFINANCE(""CURRENCY:INRBRL"")*F1071"),22.6180843412)</f>
        <v>22.61808434</v>
      </c>
      <c r="J1071" s="1">
        <v>4.5</v>
      </c>
      <c r="K1071" s="1">
        <v>3096.0</v>
      </c>
      <c r="L1071" s="1" t="s">
        <v>4050</v>
      </c>
      <c r="M1071" s="6" t="s">
        <v>4051</v>
      </c>
      <c r="N1071" s="7" t="str">
        <f>VLOOKUP(A1071, avaliacoes!A:G, 5, FALSE)</f>
        <v>Egg boiler,Time efficient..easy to use,Good to use,Value for money,Very good product,Achha hai egg boil achhe hote hai,Best in Business,as the price product is good</v>
      </c>
      <c r="O1071" s="7" t="str">
        <f>VLOOKUP(A1071, avaliacoes!A:G, 6, FALSE)</f>
        <v>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v>
      </c>
    </row>
    <row r="1072">
      <c r="A1072" s="1" t="s">
        <v>4052</v>
      </c>
      <c r="B1072" s="1" t="s">
        <v>4053</v>
      </c>
      <c r="C1072" s="1" t="s">
        <v>3846</v>
      </c>
      <c r="D1072" s="1" t="str">
        <f t="shared" si="2"/>
        <v>Home&amp;Kitchen</v>
      </c>
      <c r="E1072" s="1" t="str">
        <f t="shared" si="3"/>
        <v>Heating,Cooling&amp;AirQuality</v>
      </c>
      <c r="F1072" s="2">
        <v>1099.0</v>
      </c>
      <c r="G1072" s="2">
        <v>2399.0</v>
      </c>
      <c r="H1072" s="3">
        <f t="shared" si="4"/>
        <v>0.5418924552</v>
      </c>
      <c r="I1072" s="4">
        <f>IFERROR(__xludf.DUMMYFUNCTION("GOOGLEFINANCE(""CURRENCY:INRBRL"")*F1072"),65.58647675719999)</f>
        <v>65.58647676</v>
      </c>
      <c r="J1072" s="1">
        <v>4.51</v>
      </c>
      <c r="K1072" s="1">
        <v>4.0</v>
      </c>
      <c r="L1072" s="1" t="s">
        <v>4054</v>
      </c>
      <c r="M1072" s="6" t="s">
        <v>4055</v>
      </c>
      <c r="N1072" s="7" t="str">
        <f>VLOOKUP(A1072, avaliacoes!A:G, 5, FALSE)</f>
        <v>Compact and effective,Very handy and useful product,Not satisfied</v>
      </c>
      <c r="O1072" s="7" t="str">
        <f>VLOOKUP(A1072, avaliacoes!A:G, 6, FALSE)</f>
        <v>Pretty lightweight and solves the purpose.,I liked the compact size and efficiency of the product. Meets the specs and good product for a buy,Light indicator was not working,wire is too short not 1 and half metre</v>
      </c>
    </row>
    <row r="1073">
      <c r="A1073" s="1" t="s">
        <v>4056</v>
      </c>
      <c r="B1073" s="1" t="s">
        <v>4057</v>
      </c>
      <c r="C1073" s="1" t="s">
        <v>3937</v>
      </c>
      <c r="D1073" s="1" t="str">
        <f t="shared" si="2"/>
        <v>Home&amp;Kitchen</v>
      </c>
      <c r="E1073" s="1" t="str">
        <f t="shared" si="3"/>
        <v>Kitchen&amp;HomeAppliances</v>
      </c>
      <c r="F1073" s="2">
        <v>749.0</v>
      </c>
      <c r="G1073" s="2">
        <v>1299.0</v>
      </c>
      <c r="H1073" s="3">
        <f t="shared" si="4"/>
        <v>0.4234026174</v>
      </c>
      <c r="I1073" s="4">
        <f>IFERROR(__xludf.DUMMYFUNCTION("GOOGLEFINANCE(""CURRENCY:INRBRL"")*F1073"),44.699063777199996)</f>
        <v>44.69906378</v>
      </c>
      <c r="J1073" s="1">
        <v>4.0</v>
      </c>
      <c r="K1073" s="1">
        <v>119.0</v>
      </c>
      <c r="L1073" s="1" t="s">
        <v>4058</v>
      </c>
      <c r="M1073" s="6" t="s">
        <v>4059</v>
      </c>
      <c r="N1073" s="7" t="str">
        <f>VLOOKUP(A1073, avaliacoes!A:G, 5, FALSE)</f>
        <v>Worth for the price,Good,Just Average,Great!,Good product. Few minutes to boil the water and very useful,Very nice working,Good quality,Used the product.  As of everything was fine. Good</v>
      </c>
      <c r="O1073" s="7" t="str">
        <f>VLOOKUP(A1073, avaliacoes!A:G, 6, FALSE)</f>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v>
      </c>
    </row>
    <row r="1074">
      <c r="A1074" s="1" t="s">
        <v>4060</v>
      </c>
      <c r="B1074" s="1" t="s">
        <v>4061</v>
      </c>
      <c r="C1074" s="1" t="s">
        <v>4062</v>
      </c>
      <c r="D1074" s="1" t="str">
        <f t="shared" si="2"/>
        <v>Home&amp;Kitchen</v>
      </c>
      <c r="E1074" s="1" t="str">
        <f t="shared" si="3"/>
        <v>Kitchen&amp;HomeAppliances</v>
      </c>
      <c r="F1074" s="2">
        <v>1299.0</v>
      </c>
      <c r="G1074" s="2">
        <v>1299.0</v>
      </c>
      <c r="H1074" s="3">
        <f t="shared" si="4"/>
        <v>0</v>
      </c>
      <c r="I1074" s="4">
        <f>IFERROR(__xludf.DUMMYFUNCTION("GOOGLEFINANCE(""CURRENCY:INRBRL"")*F1074"),77.5221413172)</f>
        <v>77.52214132</v>
      </c>
      <c r="J1074" s="1">
        <v>4.5</v>
      </c>
      <c r="K1074" s="1">
        <v>40106.0</v>
      </c>
      <c r="L1074" s="1" t="s">
        <v>4063</v>
      </c>
      <c r="M1074" s="6" t="s">
        <v>4064</v>
      </c>
      <c r="N1074" s="7" t="str">
        <f>VLOOKUP(A1074, avaliacoes!A:G, 5, FALSE)</f>
        <v>Very useful!,Good one for the price,Temperature,temparature controll is needed,Good product but price is too be very high,Quality of material,Best,Good product</v>
      </c>
      <c r="O1074" s="7" t="str">
        <f>VLOOKUP(A1074, avaliacoes!A:G, 6, FALSE)</f>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v>
      </c>
    </row>
    <row r="1075">
      <c r="A1075" s="1" t="s">
        <v>4065</v>
      </c>
      <c r="B1075" s="1" t="s">
        <v>4066</v>
      </c>
      <c r="C1075" s="1" t="s">
        <v>3909</v>
      </c>
      <c r="D1075" s="1" t="str">
        <f t="shared" si="2"/>
        <v>Home&amp;Kitchen</v>
      </c>
      <c r="E1075" s="1" t="str">
        <f t="shared" si="3"/>
        <v>Kitchen&amp;HomeAppliances</v>
      </c>
      <c r="F1075" s="2">
        <v>549.0</v>
      </c>
      <c r="G1075" s="2">
        <v>1099.0</v>
      </c>
      <c r="H1075" s="3">
        <f t="shared" si="4"/>
        <v>0.5004549591</v>
      </c>
      <c r="I1075" s="4">
        <f>IFERROR(__xludf.DUMMYFUNCTION("GOOGLEFINANCE(""CURRENCY:INRBRL"")*F1075"),32.763399217199996)</f>
        <v>32.76339922</v>
      </c>
      <c r="J1075" s="1">
        <v>4.5</v>
      </c>
      <c r="K1075" s="1">
        <v>13029.0</v>
      </c>
      <c r="L1075" s="1" t="s">
        <v>4067</v>
      </c>
      <c r="M1075" s="6" t="s">
        <v>4068</v>
      </c>
      <c r="N1075" s="7" t="str">
        <f>VLOOKUP(A1075, avaliacoes!A:G, 5, FALSE)</f>
        <v>Worthy,Love this product,Good,Good,It can be used for two years,👍,Best in this price, will serve the purpose you bought it for.,Good choice in budget Range</v>
      </c>
      <c r="O1075" s="7" t="str">
        <f>VLOOKUP(A1075, avaliacoes!A:G, 6, FALSE)</f>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v>
      </c>
    </row>
    <row r="1076">
      <c r="A1076" s="1" t="s">
        <v>4069</v>
      </c>
      <c r="B1076" s="1" t="s">
        <v>4070</v>
      </c>
      <c r="C1076" s="1" t="s">
        <v>3851</v>
      </c>
      <c r="D1076" s="1" t="str">
        <f t="shared" si="2"/>
        <v>Home&amp;Kitchen</v>
      </c>
      <c r="E1076" s="1" t="str">
        <f t="shared" si="3"/>
        <v>Heating,Cooling&amp;AirQuality</v>
      </c>
      <c r="F1076" s="2">
        <v>899.0</v>
      </c>
      <c r="G1076" s="2">
        <v>1999.0</v>
      </c>
      <c r="H1076" s="3">
        <f t="shared" si="4"/>
        <v>0.5502751376</v>
      </c>
      <c r="I1076" s="4">
        <f>IFERROR(__xludf.DUMMYFUNCTION("GOOGLEFINANCE(""CURRENCY:INRBRL"")*F1076"),53.6508121972)</f>
        <v>53.6508122</v>
      </c>
      <c r="J1076" s="1">
        <v>4.51</v>
      </c>
      <c r="K1076" s="1">
        <v>291.0</v>
      </c>
      <c r="L1076" s="1" t="s">
        <v>4071</v>
      </c>
      <c r="M1076" s="6" t="s">
        <v>4072</v>
      </c>
      <c r="N1076" s="7" t="str">
        <f>VLOOKUP(A1076, avaliacoes!A:G, 5, FALSE)</f>
        <v>For medium sized room,Best product,For bed only,not for full room,Damage,Its okay,Does the job,Not Good , Power cord  very short,Not satisfied</v>
      </c>
      <c r="O1076" s="7" t="str">
        <f>VLOOKUP(A1076, avaliacoes!A:G, 6, FALSE)</f>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v>
      </c>
    </row>
    <row r="1077">
      <c r="A1077" s="1" t="s">
        <v>4073</v>
      </c>
      <c r="B1077" s="1" t="s">
        <v>4074</v>
      </c>
      <c r="C1077" s="1" t="s">
        <v>3909</v>
      </c>
      <c r="D1077" s="1" t="str">
        <f t="shared" si="2"/>
        <v>Home&amp;Kitchen</v>
      </c>
      <c r="E1077" s="1" t="str">
        <f t="shared" si="3"/>
        <v>Kitchen&amp;HomeAppliances</v>
      </c>
      <c r="F1077" s="2">
        <v>1321.0</v>
      </c>
      <c r="G1077" s="2">
        <v>1545.0</v>
      </c>
      <c r="H1077" s="3">
        <f t="shared" si="4"/>
        <v>0.1449838188</v>
      </c>
      <c r="I1077" s="4">
        <f>IFERROR(__xludf.DUMMYFUNCTION("GOOGLEFINANCE(""CURRENCY:INRBRL"")*F1077"),78.83506441879999)</f>
        <v>78.83506442</v>
      </c>
      <c r="J1077" s="1">
        <v>4.5</v>
      </c>
      <c r="K1077" s="1">
        <v>15453.0</v>
      </c>
      <c r="L1077" s="1" t="s">
        <v>4075</v>
      </c>
      <c r="M1077" s="6" t="s">
        <v>4076</v>
      </c>
      <c r="N1077" s="7" t="str">
        <f>VLOOKUP(A1077, avaliacoes!A:G, 5, FALSE)</f>
        <v>Good product worth of money,It’s okay,Not so superb,Philips Always THE BEST,Heavy weight iron,Very good,Super nice,Good One iron. Value for money and best one to used it</v>
      </c>
      <c r="O1077" s="7" t="str">
        <f>VLOOKUP(A1077, avaliacoes!A:G, 6, FALSE)</f>
        <v>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v>
      </c>
    </row>
    <row r="1078">
      <c r="A1078" s="1" t="s">
        <v>4077</v>
      </c>
      <c r="B1078" s="1" t="s">
        <v>4078</v>
      </c>
      <c r="C1078" s="1" t="s">
        <v>3856</v>
      </c>
      <c r="D1078" s="1" t="str">
        <f t="shared" si="2"/>
        <v>Home&amp;Kitchen</v>
      </c>
      <c r="E1078" s="1" t="str">
        <f t="shared" si="3"/>
        <v>Kitchen&amp;HomeAppliances</v>
      </c>
      <c r="F1078" s="2">
        <v>1099.0</v>
      </c>
      <c r="G1078" s="2">
        <v>1999.0</v>
      </c>
      <c r="H1078" s="3">
        <f t="shared" si="4"/>
        <v>0.4502251126</v>
      </c>
      <c r="I1078" s="4">
        <f>IFERROR(__xludf.DUMMYFUNCTION("GOOGLEFINANCE(""CURRENCY:INRBRL"")*F1078"),65.58647675719999)</f>
        <v>65.58647676</v>
      </c>
      <c r="J1078" s="1">
        <v>4.0</v>
      </c>
      <c r="K1078" s="1">
        <v>604.0</v>
      </c>
      <c r="L1078" s="1" t="s">
        <v>4079</v>
      </c>
      <c r="M1078" s="6" t="s">
        <v>4080</v>
      </c>
      <c r="N1078" s="7" t="str">
        <f>VLOOKUP(A1078, avaliacoes!A:G, 5, FALSE)</f>
        <v>Good product must have for winters cloths.,All over good,Beautiful product and easy to use having items as shown in the details.,Working good but need to do some improvement,Nice product.,Awesome Product,Awesome finishing on clothes,Amazing best product</v>
      </c>
      <c r="O1078" s="7" t="str">
        <f>VLOOKUP(A1078, avaliacoes!A:G, 6, FALSE)</f>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v>
      </c>
    </row>
    <row r="1079">
      <c r="A1079" s="1" t="s">
        <v>4081</v>
      </c>
      <c r="B1079" s="1" t="s">
        <v>4082</v>
      </c>
      <c r="C1079" s="1" t="s">
        <v>3909</v>
      </c>
      <c r="D1079" s="1" t="str">
        <f t="shared" si="2"/>
        <v>Home&amp;Kitchen</v>
      </c>
      <c r="E1079" s="1" t="str">
        <f t="shared" si="3"/>
        <v>Kitchen&amp;HomeAppliances</v>
      </c>
      <c r="F1079" s="2">
        <v>775.0</v>
      </c>
      <c r="G1079" s="2">
        <v>875.0</v>
      </c>
      <c r="H1079" s="3">
        <f t="shared" si="4"/>
        <v>0.1142857143</v>
      </c>
      <c r="I1079" s="4">
        <f>IFERROR(__xludf.DUMMYFUNCTION("GOOGLEFINANCE(""CURRENCY:INRBRL"")*F1079"),46.250700169999995)</f>
        <v>46.25070017</v>
      </c>
      <c r="J1079" s="1">
        <v>4.5</v>
      </c>
      <c r="K1079" s="1">
        <v>46647.0</v>
      </c>
      <c r="L1079" s="1" t="s">
        <v>4083</v>
      </c>
      <c r="M1079" s="6" t="s">
        <v>4084</v>
      </c>
      <c r="N1079" s="7" t="str">
        <f>VLOOKUP(A1079, avaliacoes!A:G, 5, FALSE)</f>
        <v>Nice iron box. Temperature control can be better.,Product quality,Very nice product,Great Product,It is gud for normal use...,Okk,It's good,Nice product</v>
      </c>
      <c r="O1079" s="7" t="str">
        <f>VLOOKUP(A1079, avaliacoes!A:G, 6, FALSE)</f>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v>
      </c>
    </row>
    <row r="1080">
      <c r="A1080" s="1" t="s">
        <v>4085</v>
      </c>
      <c r="B1080" s="1" t="s">
        <v>4086</v>
      </c>
      <c r="C1080" s="1" t="s">
        <v>3942</v>
      </c>
      <c r="D1080" s="1" t="str">
        <f t="shared" si="2"/>
        <v>Home&amp;Kitchen</v>
      </c>
      <c r="E1080" s="1" t="str">
        <f t="shared" si="3"/>
        <v>Heating,Cooling&amp;AirQuality</v>
      </c>
      <c r="F1080" s="2">
        <v>6299.0</v>
      </c>
      <c r="G1080" s="2">
        <v>15279.0</v>
      </c>
      <c r="H1080" s="3">
        <f t="shared" si="4"/>
        <v>0.5877347994</v>
      </c>
      <c r="I1080" s="4">
        <f>IFERROR(__xludf.DUMMYFUNCTION("GOOGLEFINANCE(""CURRENCY:INRBRL"")*F1080"),375.91375531719996)</f>
        <v>375.9137553</v>
      </c>
      <c r="J1080" s="1">
        <v>4.49</v>
      </c>
      <c r="K1080" s="1">
        <v>3233.0</v>
      </c>
      <c r="L1080" s="1" t="s">
        <v>4087</v>
      </c>
      <c r="M1080" s="6" t="s">
        <v>4088</v>
      </c>
      <c r="N1080" s="7" t="str">
        <f>VLOOKUP(A1080, avaliacoes!A:G, 5, FALSE)</f>
        <v>पैसा वसूल,Nice,Not a good dilvery by bajaj,Almost gud product but takes time for getting hot water,Uuummhh,Good product,Overall average to good product.,Good</v>
      </c>
      <c r="O1080" s="7" t="str">
        <f>VLOOKUP(A1080, avaliacoes!A:G, 6, FALSE)</f>
        <v>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v>
      </c>
    </row>
    <row r="1081">
      <c r="A1081" s="1" t="s">
        <v>4089</v>
      </c>
      <c r="B1081" s="1" t="s">
        <v>4090</v>
      </c>
      <c r="C1081" s="1" t="s">
        <v>3994</v>
      </c>
      <c r="D1081" s="1" t="str">
        <f t="shared" si="2"/>
        <v>Home&amp;Kitchen</v>
      </c>
      <c r="E1081" s="1" t="str">
        <f t="shared" si="3"/>
        <v>Kitchen&amp;HomeAppliances</v>
      </c>
      <c r="F1081" s="2">
        <v>3199.0</v>
      </c>
      <c r="G1081" s="2">
        <v>4195.0</v>
      </c>
      <c r="H1081" s="3">
        <f t="shared" si="4"/>
        <v>0.2374255066</v>
      </c>
      <c r="I1081" s="4">
        <f>IFERROR(__xludf.DUMMYFUNCTION("GOOGLEFINANCE(""CURRENCY:INRBRL"")*F1081"),190.91095463719998)</f>
        <v>190.9109546</v>
      </c>
      <c r="J1081" s="1">
        <v>4.0</v>
      </c>
      <c r="K1081" s="1">
        <v>1282.0</v>
      </c>
      <c r="L1081" s="1" t="s">
        <v>4091</v>
      </c>
      <c r="M1081" s="6" t="s">
        <v>4092</v>
      </c>
      <c r="N1081" s="7" t="str">
        <f>VLOOKUP(A1081, avaliacoes!A:G, 5, FALSE)</f>
        <v>Save ur clothes,Loved it.,Superb,Average product. Handy but has flaws.,Takes time to cool, but overall good product,great product and really handy!,Great product..nd best to carry in traveling,Too costly</v>
      </c>
      <c r="O1081" s="7" t="str">
        <f>VLOOKUP(A1081, avaliacoes!A:G, 6, FALSE)</f>
        <v>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v>
      </c>
    </row>
    <row r="1082">
      <c r="A1082" s="1" t="s">
        <v>4093</v>
      </c>
      <c r="B1082" s="1" t="s">
        <v>4094</v>
      </c>
      <c r="C1082" s="1" t="s">
        <v>3846</v>
      </c>
      <c r="D1082" s="1" t="str">
        <f t="shared" si="2"/>
        <v>Home&amp;Kitchen</v>
      </c>
      <c r="E1082" s="1" t="str">
        <f t="shared" si="3"/>
        <v>Heating,Cooling&amp;AirQuality</v>
      </c>
      <c r="F1082" s="2">
        <v>799.0</v>
      </c>
      <c r="G1082" s="2">
        <v>1989.0</v>
      </c>
      <c r="H1082" s="3">
        <f t="shared" si="4"/>
        <v>0.5982905983</v>
      </c>
      <c r="I1082" s="4">
        <f>IFERROR(__xludf.DUMMYFUNCTION("GOOGLEFINANCE(""CURRENCY:INRBRL"")*F1082"),47.682979917199994)</f>
        <v>47.68297992</v>
      </c>
      <c r="J1082" s="1">
        <v>4.5</v>
      </c>
      <c r="K1082" s="1">
        <v>70.0</v>
      </c>
      <c r="L1082" s="1" t="s">
        <v>4095</v>
      </c>
      <c r="M1082" s="6" t="s">
        <v>4096</v>
      </c>
      <c r="N1082" s="7" t="str">
        <f>VLOOKUP(A1082, avaliacoes!A:G, 5, FALSE)</f>
        <v>Good for small rooms,Better,Good quality,Nice product,Good product,Potable room heater,Room heater is useful,Good Heater</v>
      </c>
      <c r="O1082" s="7" t="str">
        <f>VLOOKUP(A1082, avaliacoes!A:G, 6, FALSE)</f>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v>
      </c>
    </row>
    <row r="1083">
      <c r="A1083" s="1" t="s">
        <v>4097</v>
      </c>
      <c r="B1083" s="1" t="s">
        <v>4098</v>
      </c>
      <c r="C1083" s="1" t="s">
        <v>4011</v>
      </c>
      <c r="D1083" s="1" t="str">
        <f t="shared" si="2"/>
        <v>Home&amp;Kitchen</v>
      </c>
      <c r="E1083" s="1" t="str">
        <f t="shared" si="3"/>
        <v>Kitchen&amp;HomeAppliances</v>
      </c>
      <c r="F1083" s="2">
        <v>2699.0</v>
      </c>
      <c r="G1083" s="2">
        <v>4999.0</v>
      </c>
      <c r="H1083" s="3">
        <f t="shared" si="4"/>
        <v>0.4600920184</v>
      </c>
      <c r="I1083" s="4">
        <f>IFERROR(__xludf.DUMMYFUNCTION("GOOGLEFINANCE(""CURRENCY:INRBRL"")*F1083"),161.07179323719998)</f>
        <v>161.0717932</v>
      </c>
      <c r="J1083" s="1">
        <v>4.0</v>
      </c>
      <c r="K1083" s="1">
        <v>26164.0</v>
      </c>
      <c r="L1083" s="1" t="s">
        <v>4099</v>
      </c>
      <c r="M1083" s="6" t="s">
        <v>4100</v>
      </c>
      <c r="N1083" s="7" t="str">
        <f>VLOOKUP(A1083, avaliacoes!A:G, 5, FALSE)</f>
        <v>Good stuff,Perfect for small kitchen,Convenient for small quantity,Nice and compact product,Nice product, good small grinder /blender,Not satisfied.,Good,Small jar defective</v>
      </c>
      <c r="O1083" s="7" t="str">
        <f>VLOOKUP(A1083, avaliacoes!A:G, 6, FALSE)</f>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v>
      </c>
    </row>
    <row r="1084">
      <c r="A1084" s="1" t="s">
        <v>4101</v>
      </c>
      <c r="B1084" s="1" t="s">
        <v>4102</v>
      </c>
      <c r="C1084" s="1" t="s">
        <v>3909</v>
      </c>
      <c r="D1084" s="1" t="str">
        <f t="shared" si="2"/>
        <v>Home&amp;Kitchen</v>
      </c>
      <c r="E1084" s="1" t="str">
        <f t="shared" si="3"/>
        <v>Kitchen&amp;HomeAppliances</v>
      </c>
      <c r="F1084" s="2">
        <v>599.0</v>
      </c>
      <c r="G1084" s="2">
        <v>990.0</v>
      </c>
      <c r="H1084" s="3">
        <f t="shared" si="4"/>
        <v>0.3949494949</v>
      </c>
      <c r="I1084" s="4">
        <f>IFERROR(__xludf.DUMMYFUNCTION("GOOGLEFINANCE(""CURRENCY:INRBRL"")*F1084"),35.747315357199994)</f>
        <v>35.74731536</v>
      </c>
      <c r="J1084" s="1">
        <v>4.52</v>
      </c>
      <c r="K1084" s="1">
        <v>16166.0</v>
      </c>
      <c r="L1084" s="1" t="s">
        <v>4103</v>
      </c>
      <c r="M1084" s="6" t="s">
        <v>4104</v>
      </c>
      <c r="N1084" s="7" t="str">
        <f>VLOOKUP(A1084, avaliacoes!A:G, 5, FALSE)</f>
        <v>A travel companion,Small and thin wire,Good product product thanks usha.,Nice,Good,Good buy,Ok product.,VfM</v>
      </c>
      <c r="O1084" s="7" t="str">
        <f>VLOOKUP(A1084, avaliacoes!A:G, 6, FALSE)</f>
        <v>Bought for as my travel tool to easy ironing,https://m.media-amazon.com/images/W/WEBP_402378-T2/images/I/618k+pbSNxL._SY88.jpg,Good product with good quality.,Nice,Good,Light weight,Good according to price ok. 1200,VfM</v>
      </c>
    </row>
    <row r="1085">
      <c r="A1085" s="1" t="s">
        <v>4105</v>
      </c>
      <c r="B1085" s="1" t="s">
        <v>4106</v>
      </c>
      <c r="C1085" s="1" t="s">
        <v>3937</v>
      </c>
      <c r="D1085" s="1" t="str">
        <f t="shared" si="2"/>
        <v>Home&amp;Kitchen</v>
      </c>
      <c r="E1085" s="1" t="str">
        <f t="shared" si="3"/>
        <v>Kitchen&amp;HomeAppliances</v>
      </c>
      <c r="F1085" s="2">
        <v>749.0</v>
      </c>
      <c r="G1085" s="2">
        <v>1111.0</v>
      </c>
      <c r="H1085" s="3">
        <f t="shared" si="4"/>
        <v>0.3258325833</v>
      </c>
      <c r="I1085" s="4">
        <f>IFERROR(__xludf.DUMMYFUNCTION("GOOGLEFINANCE(""CURRENCY:INRBRL"")*F1085"),44.699063777199996)</f>
        <v>44.69906378</v>
      </c>
      <c r="J1085" s="1">
        <v>4.5</v>
      </c>
      <c r="K1085" s="1">
        <v>35693.0</v>
      </c>
      <c r="L1085" s="1" t="s">
        <v>4107</v>
      </c>
      <c r="M1085" s="6" t="s">
        <v>4108</v>
      </c>
      <c r="N1085" s="7" t="str">
        <f>VLOOKUP(A1085, avaliacoes!A:G, 5, FALSE)</f>
        <v>good,Nice product,Worth for money,Good product,Very good,Does what is needed to do,Good product,Nice kettle in 699 rs</v>
      </c>
      <c r="O1085" s="7" t="str">
        <f>VLOOKUP(A1085, avaliacoes!A:G, 6, FALSE)</f>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v>
      </c>
    </row>
    <row r="1086">
      <c r="A1086" s="1" t="s">
        <v>4109</v>
      </c>
      <c r="B1086" s="1" t="s">
        <v>4110</v>
      </c>
      <c r="C1086" s="1" t="s">
        <v>3942</v>
      </c>
      <c r="D1086" s="1" t="str">
        <f t="shared" si="2"/>
        <v>Home&amp;Kitchen</v>
      </c>
      <c r="E1086" s="1" t="str">
        <f t="shared" si="3"/>
        <v>Heating,Cooling&amp;AirQuality</v>
      </c>
      <c r="F1086" s="2">
        <v>6199.0</v>
      </c>
      <c r="G1086" s="2">
        <v>10399.0</v>
      </c>
      <c r="H1086" s="3">
        <f t="shared" si="4"/>
        <v>0.4038849889</v>
      </c>
      <c r="I1086" s="4">
        <f>IFERROR(__xludf.DUMMYFUNCTION("GOOGLEFINANCE(""CURRENCY:INRBRL"")*F1086"),369.9459230372)</f>
        <v>369.945923</v>
      </c>
      <c r="J1086" s="1">
        <v>4.49</v>
      </c>
      <c r="K1086" s="1">
        <v>14391.0</v>
      </c>
      <c r="L1086" s="1" t="s">
        <v>4111</v>
      </c>
      <c r="M1086" s="6" t="s">
        <v>4112</v>
      </c>
      <c r="N1086" s="7" t="str">
        <f>VLOOKUP(A1086, avaliacoes!A:G, 5, FALSE)</f>
        <v>Product is good but the installation provider team is pathetic,Mediocre performance with pathetic installation experience,Satisfaction,No invoice inside the cartoon for warranty claim,Ok,Happy  😊 😃,Good product,Good ... But some problems in installing</v>
      </c>
      <c r="O1086" s="7" t="str">
        <f>VLOOKUP(A1086, avaliacoes!A:G, 6, FALSE)</f>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v>
      </c>
    </row>
    <row r="1087">
      <c r="A1087" s="1" t="s">
        <v>4113</v>
      </c>
      <c r="B1087" s="1" t="s">
        <v>4114</v>
      </c>
      <c r="C1087" s="1" t="s">
        <v>4115</v>
      </c>
      <c r="D1087" s="1" t="str">
        <f t="shared" si="2"/>
        <v>Home&amp;Kitchen</v>
      </c>
      <c r="E1087" s="1" t="str">
        <f t="shared" si="3"/>
        <v>Kitchen&amp;HomeAppliances</v>
      </c>
      <c r="F1087" s="2">
        <v>1819.0</v>
      </c>
      <c r="G1087" s="2">
        <v>2499.0</v>
      </c>
      <c r="H1087" s="3">
        <f t="shared" si="4"/>
        <v>0.2721088435</v>
      </c>
      <c r="I1087" s="4">
        <f>IFERROR(__xludf.DUMMYFUNCTION("GOOGLEFINANCE(""CURRENCY:INRBRL"")*F1087"),108.55486917319999)</f>
        <v>108.5548692</v>
      </c>
      <c r="J1087" s="1">
        <v>4.5</v>
      </c>
      <c r="K1087" s="1">
        <v>7946.0</v>
      </c>
      <c r="L1087" s="1" t="s">
        <v>4116</v>
      </c>
      <c r="M1087" s="6" t="s">
        <v>4117</v>
      </c>
      <c r="N1087" s="7" t="str">
        <f>VLOOKUP(A1087, avaliacoes!A:G, 5, FALSE)</f>
        <v>Good product,I haven't received my warranty bill inside,Whisking attachment not received,Awesome,Great Product! Go for it!!!,Nice,Good product .,Must have for every kitchen</v>
      </c>
      <c r="O1087" s="7" t="str">
        <f>VLOOKUP(A1087, avaliacoes!A:G, 6, FALSE)</f>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v>
      </c>
    </row>
    <row r="1088">
      <c r="A1088" s="1" t="s">
        <v>4118</v>
      </c>
      <c r="B1088" s="1" t="s">
        <v>4119</v>
      </c>
      <c r="C1088" s="1" t="s">
        <v>3937</v>
      </c>
      <c r="D1088" s="1" t="str">
        <f t="shared" si="2"/>
        <v>Home&amp;Kitchen</v>
      </c>
      <c r="E1088" s="1" t="str">
        <f t="shared" si="3"/>
        <v>Kitchen&amp;HomeAppliances</v>
      </c>
      <c r="F1088" s="2">
        <v>1199.0</v>
      </c>
      <c r="G1088" s="2">
        <v>1899.0</v>
      </c>
      <c r="H1088" s="3">
        <f t="shared" si="4"/>
        <v>0.3686150606</v>
      </c>
      <c r="I1088" s="4">
        <f>IFERROR(__xludf.DUMMYFUNCTION("GOOGLEFINANCE(""CURRENCY:INRBRL"")*F1088"),71.5543090372)</f>
        <v>71.55430904</v>
      </c>
      <c r="J1088" s="1">
        <v>4.0</v>
      </c>
      <c r="K1088" s="1">
        <v>1765.0</v>
      </c>
      <c r="L1088" s="1" t="s">
        <v>4120</v>
      </c>
      <c r="M1088" s="6" t="s">
        <v>4121</v>
      </c>
      <c r="N1088" s="7" t="str">
        <f>VLOOKUP(A1088, avaliacoes!A:G, 5, FALSE)</f>
        <v>Easy to operate and rich look,Good,Very good product,Kent electric kettle,Nice,Electric Wire is too short..It should be expanded...,Better products,Worth it</v>
      </c>
      <c r="O1088" s="7" t="str">
        <f>VLOOKUP(A1088, avaliacoes!A:G, 6, FALSE)</f>
        <v>Product is good but now price is increased  I was brought it for 1099 and now it's price is 1199 with in 15 days,Good,Must buy,Nice looking or good control heart,Night,Electric Wire is too short..It should be expanded for easy of use.....,Good performance,Nice product</v>
      </c>
    </row>
    <row r="1089">
      <c r="A1089" s="1" t="s">
        <v>4122</v>
      </c>
      <c r="B1089" s="1" t="s">
        <v>4123</v>
      </c>
      <c r="C1089" s="1" t="s">
        <v>3914</v>
      </c>
      <c r="D1089" s="1" t="str">
        <f t="shared" si="2"/>
        <v>Home&amp;Kitchen</v>
      </c>
      <c r="E1089" s="1" t="str">
        <f t="shared" si="3"/>
        <v>Kitchen&amp;HomeAppliances</v>
      </c>
      <c r="F1089" s="2">
        <v>3249.0</v>
      </c>
      <c r="G1089" s="2">
        <v>6295.0</v>
      </c>
      <c r="H1089" s="3">
        <f t="shared" si="4"/>
        <v>0.4838760921</v>
      </c>
      <c r="I1089" s="4">
        <f>IFERROR(__xludf.DUMMYFUNCTION("GOOGLEFINANCE(""CURRENCY:INRBRL"")*F1089"),193.8948707772)</f>
        <v>193.8948708</v>
      </c>
      <c r="J1089" s="1">
        <v>4.51</v>
      </c>
      <c r="K1089" s="1">
        <v>14062.0</v>
      </c>
      <c r="L1089" s="1" t="s">
        <v>4124</v>
      </c>
      <c r="M1089" s="6" t="s">
        <v>4125</v>
      </c>
      <c r="N1089" s="7" t="str">
        <f>VLOOKUP(A1089, avaliacoes!A:G, 5, FALSE)</f>
        <v>So far it is good. Purchased only in October 2022.,Good,Best product in best price range.,Average price good 👍,Good looking,Create too much noise, overall good product,Good,Bahut badhiya hai</v>
      </c>
      <c r="O1089" s="7" t="str">
        <f>VLOOKUP(A1089, avaliacoes!A:G, 6, FALSE)</f>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v>
      </c>
    </row>
    <row r="1090">
      <c r="A1090" s="1" t="s">
        <v>4126</v>
      </c>
      <c r="B1090" s="1" t="s">
        <v>4127</v>
      </c>
      <c r="C1090" s="1" t="s">
        <v>4049</v>
      </c>
      <c r="D1090" s="1" t="str">
        <f t="shared" si="2"/>
        <v>Home&amp;Kitchen</v>
      </c>
      <c r="E1090" s="1" t="str">
        <f t="shared" si="3"/>
        <v>Kitchen&amp;HomeAppliances</v>
      </c>
      <c r="F1090" s="2">
        <v>349.0</v>
      </c>
      <c r="G1090" s="2">
        <v>999.0</v>
      </c>
      <c r="H1090" s="3">
        <f t="shared" si="4"/>
        <v>0.6506506507</v>
      </c>
      <c r="I1090" s="4">
        <f>IFERROR(__xludf.DUMMYFUNCTION("GOOGLEFINANCE(""CURRENCY:INRBRL"")*F1090"),20.827734657199997)</f>
        <v>20.82773466</v>
      </c>
      <c r="J1090" s="1">
        <v>4.0</v>
      </c>
      <c r="K1090" s="1">
        <v>15646.0</v>
      </c>
      <c r="L1090" s="1" t="s">
        <v>4128</v>
      </c>
      <c r="M1090" s="6" t="s">
        <v>4129</v>
      </c>
      <c r="N1090" s="7" t="str">
        <f>VLOOKUP(A1090, avaliacoes!A:G, 5, FALSE)</f>
        <v>Perfect egg boiler,Good to use,Worth the price,U buying this items,Price is affordable.,Great product and working fine,Very nice product..only wire is small in size otherwise its good,easy to use but very very short wire</v>
      </c>
      <c r="O1090" s="7" t="str">
        <f>VLOOKUP(A1090, avaliacoes!A:G, 6, FALSE)</f>
        <v>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v>
      </c>
    </row>
    <row r="1091">
      <c r="A1091" s="1" t="s">
        <v>4130</v>
      </c>
      <c r="B1091" s="1" t="s">
        <v>4131</v>
      </c>
      <c r="C1091" s="1" t="s">
        <v>3851</v>
      </c>
      <c r="D1091" s="1" t="str">
        <f t="shared" si="2"/>
        <v>Home&amp;Kitchen</v>
      </c>
      <c r="E1091" s="1" t="str">
        <f t="shared" si="3"/>
        <v>Heating,Cooling&amp;AirQuality</v>
      </c>
      <c r="F1091" s="2">
        <v>1049.0</v>
      </c>
      <c r="G1091" s="2">
        <v>1699.0</v>
      </c>
      <c r="H1091" s="3">
        <f t="shared" si="4"/>
        <v>0.3825779871</v>
      </c>
      <c r="I1091" s="4">
        <f>IFERROR(__xludf.DUMMYFUNCTION("GOOGLEFINANCE(""CURRENCY:INRBRL"")*F1091"),62.6025606172)</f>
        <v>62.60256062</v>
      </c>
      <c r="J1091" s="1">
        <v>4.49</v>
      </c>
      <c r="K1091" s="1">
        <v>111.0</v>
      </c>
      <c r="L1091" s="1" t="s">
        <v>4132</v>
      </c>
      <c r="M1091" s="6" t="s">
        <v>4133</v>
      </c>
      <c r="N1091" s="7" t="str">
        <f>VLOOKUP(A1091, avaliacoes!A:G, 5, FALSE)</f>
        <v>It's good 👍,Good...,Good Product,Satisfied,Good for small room,Unsure,Not bad,Don't bye it....</v>
      </c>
      <c r="O1091" s="7" t="str">
        <f>VLOOKUP(A1091, avaliacoes!A:G, 6, FALSE)</f>
        <v>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v>
      </c>
    </row>
    <row r="1092">
      <c r="A1092" s="1" t="s">
        <v>4134</v>
      </c>
      <c r="B1092" s="1" t="s">
        <v>4135</v>
      </c>
      <c r="C1092" s="1" t="s">
        <v>4136</v>
      </c>
      <c r="D1092" s="1" t="str">
        <f t="shared" si="2"/>
        <v>Home&amp;Kitchen</v>
      </c>
      <c r="E1092" s="1" t="str">
        <f t="shared" si="3"/>
        <v>Kitchen&amp;HomeAppliances</v>
      </c>
      <c r="F1092" s="2">
        <v>799.0</v>
      </c>
      <c r="G1092" s="2">
        <v>1499.0</v>
      </c>
      <c r="H1092" s="3">
        <f t="shared" si="4"/>
        <v>0.4669779853</v>
      </c>
      <c r="I1092" s="4">
        <f>IFERROR(__xludf.DUMMYFUNCTION("GOOGLEFINANCE(""CURRENCY:INRBRL"")*F1092"),47.682979917199994)</f>
        <v>47.68297992</v>
      </c>
      <c r="J1092" s="1">
        <v>4.5</v>
      </c>
      <c r="K1092" s="1">
        <v>9695.0</v>
      </c>
      <c r="L1092" s="1" t="s">
        <v>4137</v>
      </c>
      <c r="M1092" s="6" t="s">
        <v>4138</v>
      </c>
      <c r="N1092" s="7" t="str">
        <f>VLOOKUP(A1092, avaliacoes!A:G, 5, FALSE)</f>
        <v>Nice,Good Quality,Good product,Product is good but some issues with it,Good,Good product.,Good and easy to use,Good one</v>
      </c>
      <c r="O1092" s="7" t="str">
        <f>VLOOKUP(A1092, avaliacoes!A:G, 6, FALSE)</f>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v>
      </c>
    </row>
    <row r="1093">
      <c r="A1093" s="1" t="s">
        <v>4139</v>
      </c>
      <c r="B1093" s="1" t="s">
        <v>4140</v>
      </c>
      <c r="C1093" s="1" t="s">
        <v>3942</v>
      </c>
      <c r="D1093" s="1" t="str">
        <f t="shared" si="2"/>
        <v>Home&amp;Kitchen</v>
      </c>
      <c r="E1093" s="1" t="str">
        <f t="shared" si="3"/>
        <v>Heating,Cooling&amp;AirQuality</v>
      </c>
      <c r="F1093" s="2">
        <v>4999.0</v>
      </c>
      <c r="G1093" s="2">
        <v>9649.0</v>
      </c>
      <c r="H1093" s="3">
        <f t="shared" si="4"/>
        <v>0.4819152244</v>
      </c>
      <c r="I1093" s="4">
        <f>IFERROR(__xludf.DUMMYFUNCTION("GOOGLEFINANCE(""CURRENCY:INRBRL"")*F1093"),298.33193567719997)</f>
        <v>298.3319357</v>
      </c>
      <c r="J1093" s="1">
        <v>4.5</v>
      </c>
      <c r="K1093" s="1">
        <v>1772.0</v>
      </c>
      <c r="L1093" s="1" t="s">
        <v>4141</v>
      </c>
      <c r="M1093" s="6" t="s">
        <v>4142</v>
      </c>
      <c r="N1093" s="7" t="str">
        <f>VLOOKUP(A1093, avaliacoes!A:G, 5, FALSE)</f>
        <v>very good geyser and value for money,Only geyser comes with the box,Good may be very good,Good product,Accessories missing,Value for the money product,Excellent product,Worth For money</v>
      </c>
      <c r="O1093" s="7" t="str">
        <f>VLOOKUP(A1093, avaliacoes!A:G, 6, FALSE)</f>
        <v>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v>
      </c>
    </row>
    <row r="1094">
      <c r="A1094" s="1" t="s">
        <v>4143</v>
      </c>
      <c r="B1094" s="1" t="s">
        <v>4144</v>
      </c>
      <c r="C1094" s="1" t="s">
        <v>3914</v>
      </c>
      <c r="D1094" s="1" t="str">
        <f t="shared" si="2"/>
        <v>Home&amp;Kitchen</v>
      </c>
      <c r="E1094" s="1" t="str">
        <f t="shared" si="3"/>
        <v>Kitchen&amp;HomeAppliances</v>
      </c>
      <c r="F1094" s="2">
        <v>6999.0</v>
      </c>
      <c r="G1094" s="2">
        <v>10599.0</v>
      </c>
      <c r="H1094" s="3">
        <f t="shared" si="4"/>
        <v>0.3396546844</v>
      </c>
      <c r="I1094" s="4">
        <f>IFERROR(__xludf.DUMMYFUNCTION("GOOGLEFINANCE(""CURRENCY:INRBRL"")*F1094"),417.68858127719994)</f>
        <v>417.6885813</v>
      </c>
      <c r="J1094" s="1">
        <v>4.5</v>
      </c>
      <c r="K1094" s="1">
        <v>11499.0</v>
      </c>
      <c r="L1094" s="1" t="s">
        <v>4145</v>
      </c>
      <c r="M1094" s="6" t="s">
        <v>4146</v>
      </c>
      <c r="N1094" s="7" t="str">
        <f>VLOOKUP(A1094, avaliacoes!A:G, 5, FALSE)</f>
        <v>Heavy duty mixer grinder, delivers what it promises,Works fast,It's not working good I had bought in 2020 and the motor is making,Good machine but cap locks can be much better,Good 👍,Great Mixer Grinder but not good for juices,Powerfull mixer grinder,Powerful but Pricey</v>
      </c>
      <c r="O1094" s="7" t="str">
        <f>VLOOKUP(A1094, avaliacoes!A:G, 6, FALSE)</f>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v>
      </c>
    </row>
    <row r="1095">
      <c r="A1095" s="1" t="s">
        <v>4147</v>
      </c>
      <c r="B1095" s="1" t="s">
        <v>4148</v>
      </c>
      <c r="C1095" s="1" t="s">
        <v>3861</v>
      </c>
      <c r="D1095" s="1" t="str">
        <f t="shared" si="2"/>
        <v>Home&amp;Kitchen</v>
      </c>
      <c r="E1095" s="1" t="str">
        <f t="shared" si="3"/>
        <v>Kitchen&amp;HomeAppliances</v>
      </c>
      <c r="F1095" s="2">
        <v>799.0</v>
      </c>
      <c r="G1095" s="2">
        <v>1999.0</v>
      </c>
      <c r="H1095" s="3">
        <f t="shared" si="4"/>
        <v>0.6003001501</v>
      </c>
      <c r="I1095" s="4">
        <f>IFERROR(__xludf.DUMMYFUNCTION("GOOGLEFINANCE(""CURRENCY:INRBRL"")*F1095"),47.682979917199994)</f>
        <v>47.68297992</v>
      </c>
      <c r="J1095" s="1">
        <v>4.49</v>
      </c>
      <c r="K1095" s="1">
        <v>2162.0</v>
      </c>
      <c r="L1095" s="1" t="s">
        <v>4149</v>
      </c>
      <c r="M1095" s="6" t="s">
        <v>4150</v>
      </c>
      <c r="N1095" s="7" t="str">
        <f>VLOOKUP(A1095, avaliacoes!A:G, 5, FALSE)</f>
        <v>Helthgenie product - Just received, as of now looks good.,Product seems good. The batteries packed separately inside leaked.,Wonderful, but ...,Good but it's plastic,Good for now.,Awesome product,Value for money,ONE IN A MILLION</v>
      </c>
      <c r="O1095" s="7" t="str">
        <f>VLOOKUP(A1095, avaliacoes!A:G, 6, FALSE)</f>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v>
      </c>
    </row>
    <row r="1096">
      <c r="A1096" s="1" t="s">
        <v>4151</v>
      </c>
      <c r="B1096" s="1" t="s">
        <v>4152</v>
      </c>
      <c r="C1096" s="1" t="s">
        <v>4153</v>
      </c>
      <c r="D1096" s="1" t="str">
        <f t="shared" si="2"/>
        <v>Home&amp;Kitchen</v>
      </c>
      <c r="E1096" s="1" t="str">
        <f t="shared" si="3"/>
        <v>Kitchen&amp;HomeAppliances</v>
      </c>
      <c r="F1096" s="2">
        <v>89.0</v>
      </c>
      <c r="G1096" s="2">
        <v>89.0</v>
      </c>
      <c r="H1096" s="3">
        <f t="shared" si="4"/>
        <v>0</v>
      </c>
      <c r="I1096" s="4">
        <f>IFERROR(__xludf.DUMMYFUNCTION("GOOGLEFINANCE(""CURRENCY:INRBRL"")*F1096"),5.311370729199999)</f>
        <v>5.311370729</v>
      </c>
      <c r="J1096" s="1">
        <v>4.5</v>
      </c>
      <c r="K1096" s="1">
        <v>19621.0</v>
      </c>
      <c r="L1096" s="1" t="s">
        <v>4154</v>
      </c>
      <c r="M1096" s="6" t="s">
        <v>4155</v>
      </c>
      <c r="N1096" s="7" t="str">
        <f>VLOOKUP(A1096, avaliacoes!A:G, 5, FALSE)</f>
        <v>Very nice,Works as it should,Not the best but value for money,Value for money,Useful product,Good Kitchen Product,Good,Good</v>
      </c>
      <c r="O1096" s="7" t="str">
        <f>VLOOKUP(A1096, avaliacoes!A:G, 6, FALSE)</f>
        <v>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v>
      </c>
    </row>
    <row r="1097">
      <c r="A1097" s="1" t="s">
        <v>4156</v>
      </c>
      <c r="B1097" s="1" t="s">
        <v>4157</v>
      </c>
      <c r="C1097" s="1" t="s">
        <v>4158</v>
      </c>
      <c r="D1097" s="1" t="str">
        <f t="shared" si="2"/>
        <v>Home&amp;Kitchen</v>
      </c>
      <c r="E1097" s="1" t="str">
        <f t="shared" si="3"/>
        <v>Heating,Cooling&amp;AirQuality</v>
      </c>
      <c r="F1097" s="2">
        <v>1399.0</v>
      </c>
      <c r="G1097" s="2">
        <v>2485.0</v>
      </c>
      <c r="H1097" s="3">
        <f t="shared" si="4"/>
        <v>0.4370221328</v>
      </c>
      <c r="I1097" s="4">
        <f>IFERROR(__xludf.DUMMYFUNCTION("GOOGLEFINANCE(""CURRENCY:INRBRL"")*F1097"),83.48997359719999)</f>
        <v>83.4899736</v>
      </c>
      <c r="J1097" s="1">
        <v>4.49</v>
      </c>
      <c r="K1097" s="1">
        <v>19998.0</v>
      </c>
      <c r="L1097" s="1" t="s">
        <v>4159</v>
      </c>
      <c r="M1097" s="6" t="s">
        <v>4160</v>
      </c>
      <c r="N1097" s="7" t="str">
        <f>VLOOKUP(A1097, avaliacoes!A:G, 5, FALSE)</f>
        <v>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v>
      </c>
      <c r="O1097" s="7" t="str">
        <f>VLOOKUP(A1097, avaliacoes!A:G, 6, FALSE)</f>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v>
      </c>
    </row>
    <row r="1098">
      <c r="A1098" s="1" t="s">
        <v>4161</v>
      </c>
      <c r="B1098" s="1" t="s">
        <v>4162</v>
      </c>
      <c r="C1098" s="1" t="s">
        <v>3989</v>
      </c>
      <c r="D1098" s="1" t="str">
        <f t="shared" si="2"/>
        <v>Home&amp;Kitchen</v>
      </c>
      <c r="E1098" s="1" t="str">
        <f t="shared" si="3"/>
        <v>HomeStorage&amp;Organization</v>
      </c>
      <c r="F1098" s="2">
        <v>355.0</v>
      </c>
      <c r="G1098" s="2">
        <v>899.0</v>
      </c>
      <c r="H1098" s="3">
        <f t="shared" si="4"/>
        <v>0.6051167964</v>
      </c>
      <c r="I1098" s="4">
        <f>IFERROR(__xludf.DUMMYFUNCTION("GOOGLEFINANCE(""CURRENCY:INRBRL"")*F1098"),21.185804593999997)</f>
        <v>21.18580459</v>
      </c>
      <c r="J1098" s="1">
        <v>4.49</v>
      </c>
      <c r="K1098" s="1">
        <v>1051.0</v>
      </c>
      <c r="L1098" s="1" t="s">
        <v>4163</v>
      </c>
      <c r="M1098" s="6" t="s">
        <v>4164</v>
      </c>
      <c r="N1098" s="7" t="str">
        <f>VLOOKUP(A1098, avaliacoes!A:G, 5, FALSE)</f>
        <v>Overall good purchase,Good,Good Purchase,Ok hi upar ka dhakkan bahut acchi quality ka nahi hi,Nice,A must have product for your home...gud capacity nice look,Decent buy,Good product</v>
      </c>
      <c r="O1098" s="7" t="str">
        <f>VLOOKUP(A1098, avaliacoes!A:G, 6, FALSE)</f>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v>
      </c>
    </row>
    <row r="1099">
      <c r="A1099" s="1" t="s">
        <v>4165</v>
      </c>
      <c r="B1099" s="1" t="s">
        <v>4166</v>
      </c>
      <c r="C1099" s="1" t="s">
        <v>3846</v>
      </c>
      <c r="D1099" s="1" t="str">
        <f t="shared" si="2"/>
        <v>Home&amp;Kitchen</v>
      </c>
      <c r="E1099" s="1" t="str">
        <f t="shared" si="3"/>
        <v>Heating,Cooling&amp;AirQuality</v>
      </c>
      <c r="F1099" s="2">
        <v>2169.0</v>
      </c>
      <c r="G1099" s="2">
        <v>3279.0</v>
      </c>
      <c r="H1099" s="3">
        <f t="shared" si="4"/>
        <v>0.3385178408</v>
      </c>
      <c r="I1099" s="4">
        <f>IFERROR(__xludf.DUMMYFUNCTION("GOOGLEFINANCE(""CURRENCY:INRBRL"")*F1099"),129.44228215319998)</f>
        <v>129.4422822</v>
      </c>
      <c r="J1099" s="1">
        <v>4.49</v>
      </c>
      <c r="K1099" s="1">
        <v>1716.0</v>
      </c>
      <c r="L1099" s="1" t="s">
        <v>4167</v>
      </c>
      <c r="M1099" s="6" t="s">
        <v>4168</v>
      </c>
      <c r="N1099" s="7" t="str">
        <f>VLOOKUP(A1099, avaliacoes!A:G, 5, FALSE)</f>
        <v>Useful on winter / cold deasons,Socket required,nice,GOOD QUALITY,Handy,Handy and easy  to use,Liked it,Good</v>
      </c>
      <c r="O1099" s="7" t="str">
        <f>VLOOKUP(A1099, avaliacoes!A:G, 6, FALSE)</f>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v>
      </c>
    </row>
    <row r="1100">
      <c r="A1100" s="1" t="s">
        <v>4169</v>
      </c>
      <c r="B1100" s="1" t="s">
        <v>4170</v>
      </c>
      <c r="C1100" s="1" t="s">
        <v>4171</v>
      </c>
      <c r="D1100" s="1" t="str">
        <f t="shared" si="2"/>
        <v>Home&amp;Kitchen</v>
      </c>
      <c r="E1100" s="1" t="str">
        <f t="shared" si="3"/>
        <v>Kitchen&amp;HomeAppliances</v>
      </c>
      <c r="F1100" s="2">
        <v>2799.0</v>
      </c>
      <c r="G1100" s="2">
        <v>3799.0</v>
      </c>
      <c r="H1100" s="3">
        <f t="shared" si="4"/>
        <v>0.263227165</v>
      </c>
      <c r="I1100" s="4">
        <f>IFERROR(__xludf.DUMMYFUNCTION("GOOGLEFINANCE(""CURRENCY:INRBRL"")*F1100"),167.0396255172)</f>
        <v>167.0396255</v>
      </c>
      <c r="J1100" s="1">
        <v>4.52</v>
      </c>
      <c r="K1100" s="1">
        <v>32931.0</v>
      </c>
      <c r="L1100" s="1" t="s">
        <v>4172</v>
      </c>
      <c r="M1100" s="6" t="s">
        <v>4173</v>
      </c>
      <c r="N1100" s="7" t="str">
        <f>VLOOKUP(A1100, avaliacoes!A:G, 5, FALSE)</f>
        <v>Decent product,Handy and easy to use,Good product,Dustbag,Review,Good product with budget price,Nice and compact product for office use.,Very good product</v>
      </c>
      <c r="O1100" s="7" t="str">
        <f>VLOOKUP(A1100, avaliacoes!A:G, 6, FALSE)</f>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v>
      </c>
    </row>
    <row r="1101">
      <c r="A1101" s="1" t="s">
        <v>4174</v>
      </c>
      <c r="B1101" s="1" t="s">
        <v>4175</v>
      </c>
      <c r="C1101" s="1" t="s">
        <v>3841</v>
      </c>
      <c r="D1101" s="1" t="str">
        <f t="shared" si="2"/>
        <v>Home&amp;Kitchen</v>
      </c>
      <c r="E1101" s="1" t="str">
        <f t="shared" si="3"/>
        <v>Kitchen&amp;HomeAppliances</v>
      </c>
      <c r="F1101" s="2">
        <v>899.0</v>
      </c>
      <c r="G1101" s="2">
        <v>1249.0</v>
      </c>
      <c r="H1101" s="3">
        <f t="shared" si="4"/>
        <v>0.2802241793</v>
      </c>
      <c r="I1101" s="4">
        <f>IFERROR(__xludf.DUMMYFUNCTION("GOOGLEFINANCE(""CURRENCY:INRBRL"")*F1101"),53.6508121972)</f>
        <v>53.6508122</v>
      </c>
      <c r="J1101" s="1">
        <v>4.52</v>
      </c>
      <c r="K1101" s="1">
        <v>17424.0</v>
      </c>
      <c r="L1101" s="1" t="s">
        <v>4176</v>
      </c>
      <c r="M1101" s="6" t="s">
        <v>4177</v>
      </c>
      <c r="N1101" s="7" t="str">
        <f>VLOOKUP(A1101, avaliacoes!A:G, 5, FALSE)</f>
        <v>Nice product,Need to improve length of cord,Water hot only few minutes.,Good product,Problem with the kettle.,Very good product 👍,Good performance,Good product</v>
      </c>
      <c r="O1101" s="7" t="str">
        <f>VLOOKUP(A1101, avaliacoes!A:G, 6, FALSE)</f>
        <v>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v>
      </c>
    </row>
    <row r="1102">
      <c r="A1102" s="1" t="s">
        <v>4178</v>
      </c>
      <c r="B1102" s="1" t="s">
        <v>4179</v>
      </c>
      <c r="C1102" s="1" t="s">
        <v>3924</v>
      </c>
      <c r="D1102" s="1" t="str">
        <f t="shared" si="2"/>
        <v>Home&amp;Kitchen</v>
      </c>
      <c r="E1102" s="1" t="str">
        <f t="shared" si="3"/>
        <v>Heating,Cooling&amp;AirQuality</v>
      </c>
      <c r="F1102" s="2">
        <v>2.5</v>
      </c>
      <c r="G1102" s="2">
        <v>4999.0</v>
      </c>
      <c r="H1102" s="3">
        <f t="shared" si="4"/>
        <v>0.9994999</v>
      </c>
      <c r="I1102" s="4">
        <f>IFERROR(__xludf.DUMMYFUNCTION("GOOGLEFINANCE(""CURRENCY:INRBRL"")*F1102"),0.14919580699999999)</f>
        <v>0.149195807</v>
      </c>
      <c r="J1102" s="1">
        <v>4.51</v>
      </c>
      <c r="K1102" s="1">
        <v>1889.0</v>
      </c>
      <c r="L1102" s="1" t="s">
        <v>4180</v>
      </c>
      <c r="M1102" s="6" t="s">
        <v>4181</v>
      </c>
      <c r="N1102" s="7" t="str">
        <f>VLOOKUP(A1102, avaliacoes!A:G, 5, FALSE)</f>
        <v>Good product,One month is gone,How to buy lights extra ??????????,Best product,Waste product I received a broken product,Built quality not good,Don't buy. Maharaja is a cheater company,Does the job, but have one concern!!!,Value for money.</v>
      </c>
      <c r="O1102" s="7" t="str">
        <f>VLOOKUP(A1102, avaliacoes!A:G, 6, FALSE)</f>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v>
      </c>
    </row>
    <row r="1103">
      <c r="A1103" s="1" t="s">
        <v>4182</v>
      </c>
      <c r="B1103" s="1" t="s">
        <v>4183</v>
      </c>
      <c r="C1103" s="1" t="s">
        <v>3919</v>
      </c>
      <c r="D1103" s="1" t="str">
        <f t="shared" si="2"/>
        <v>Home&amp;Kitchen</v>
      </c>
      <c r="E1103" s="1" t="str">
        <f t="shared" si="3"/>
        <v>Heating,Cooling&amp;AirQuality</v>
      </c>
      <c r="F1103" s="2">
        <v>3.6</v>
      </c>
      <c r="G1103" s="2">
        <v>7299.0</v>
      </c>
      <c r="H1103" s="3">
        <f t="shared" si="4"/>
        <v>0.9995067818</v>
      </c>
      <c r="I1103" s="4">
        <f>IFERROR(__xludf.DUMMYFUNCTION("GOOGLEFINANCE(""CURRENCY:INRBRL"")*F1103"),0.21484196207999998)</f>
        <v>0.2148419621</v>
      </c>
      <c r="J1103" s="1">
        <v>4.0</v>
      </c>
      <c r="K1103" s="1">
        <v>10324.0</v>
      </c>
      <c r="L1103" s="1" t="s">
        <v>4184</v>
      </c>
      <c r="M1103" s="6" t="s">
        <v>4185</v>
      </c>
      <c r="N1103" s="7" t="str">
        <f>VLOOKUP(A1103, avaliacoes!A:G, 5, FALSE)</f>
        <v>Best geyser hai saste dam mein Mera experience iske sath achcha Raha,Nice product,Good product,Working as expected,Good Product,Very Quick and Good customer service,Good product,Does the work</v>
      </c>
      <c r="O1103" s="7" t="str">
        <f>VLOOKUP(A1103, avaliacoes!A:G, 6, FALSE)</f>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v>
      </c>
    </row>
    <row r="1104">
      <c r="A1104" s="1" t="s">
        <v>4186</v>
      </c>
      <c r="B1104" s="1" t="s">
        <v>4187</v>
      </c>
      <c r="C1104" s="1" t="s">
        <v>3909</v>
      </c>
      <c r="D1104" s="1" t="str">
        <f t="shared" si="2"/>
        <v>Home&amp;Kitchen</v>
      </c>
      <c r="E1104" s="1" t="str">
        <f t="shared" si="3"/>
        <v>Kitchen&amp;HomeAppliances</v>
      </c>
      <c r="F1104" s="2">
        <v>499.0</v>
      </c>
      <c r="G1104" s="2">
        <v>625.0</v>
      </c>
      <c r="H1104" s="3">
        <f t="shared" si="4"/>
        <v>0.2016</v>
      </c>
      <c r="I1104" s="4">
        <f>IFERROR(__xludf.DUMMYFUNCTION("GOOGLEFINANCE(""CURRENCY:INRBRL"")*F1104"),29.7794830772)</f>
        <v>29.77948308</v>
      </c>
      <c r="J1104" s="1">
        <v>4.5</v>
      </c>
      <c r="K1104" s="1">
        <v>5355.0</v>
      </c>
      <c r="L1104" s="1" t="s">
        <v>4188</v>
      </c>
      <c r="M1104" s="6" t="s">
        <v>4189</v>
      </c>
      <c r="N1104" s="7" t="str">
        <f>VLOOKUP(A1104, avaliacoes!A:G, 5, FALSE)</f>
        <v>Good  product,Ok. To. Use and good for this offered price 485rs,All over Quolity is Good.,Nice job,Nice,Its good but iron is not otuo disconnect.,Good product,Why package is very poor</v>
      </c>
      <c r="O1104" s="7" t="str">
        <f>VLOOKUP(A1104, avaliacoes!A:G, 6, FALSE)</f>
        <v>Nice product,Good,All Over Quolity is Good very usful.,Product is good working completely safe to use it, but the size is small,Nice product,Its look very good quick heating but it is not outo disconecting pouwer.,Good,Excellent very fast heating and build quality is good</v>
      </c>
    </row>
    <row r="1105">
      <c r="A1105" s="1" t="s">
        <v>4190</v>
      </c>
      <c r="B1105" s="1" t="s">
        <v>4191</v>
      </c>
      <c r="C1105" s="1" t="s">
        <v>3971</v>
      </c>
      <c r="D1105" s="1" t="str">
        <f t="shared" si="2"/>
        <v>Home&amp;Kitchen</v>
      </c>
      <c r="E1105" s="1" t="str">
        <f t="shared" si="3"/>
        <v>Heating,Cooling&amp;AirQuality</v>
      </c>
      <c r="F1105" s="2">
        <v>653.0</v>
      </c>
      <c r="G1105" s="2">
        <v>1099.0</v>
      </c>
      <c r="H1105" s="3">
        <f t="shared" si="4"/>
        <v>0.4058234759</v>
      </c>
      <c r="I1105" s="4">
        <f>IFERROR(__xludf.DUMMYFUNCTION("GOOGLEFINANCE(""CURRENCY:INRBRL"")*F1105"),38.9699447884)</f>
        <v>38.96994479</v>
      </c>
      <c r="J1105" s="1">
        <v>4.49</v>
      </c>
      <c r="K1105" s="1">
        <v>3366.0</v>
      </c>
      <c r="L1105" s="1" t="s">
        <v>4192</v>
      </c>
      <c r="M1105" s="6" t="s">
        <v>4193</v>
      </c>
      <c r="N1105" s="7" t="str">
        <f>VLOOKUP(A1105, avaliacoes!A:G, 5, FALSE)</f>
        <v>Highly time consumption.....,Slowly,It's good.,The cord length is ok, but the jack point is different,Useful product,Good Product,Good,good</v>
      </c>
      <c r="O1105" s="7" t="str">
        <f>VLOOKUP(A1105, avaliacoes!A:G, 6, FALSE)</f>
        <v>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v>
      </c>
    </row>
    <row r="1106">
      <c r="A1106" s="1" t="s">
        <v>4194</v>
      </c>
      <c r="B1106" s="1" t="s">
        <v>4195</v>
      </c>
      <c r="C1106" s="1" t="s">
        <v>4196</v>
      </c>
      <c r="D1106" s="1" t="str">
        <f t="shared" si="2"/>
        <v>Home&amp;Kitchen</v>
      </c>
      <c r="E1106" s="1" t="str">
        <f t="shared" si="3"/>
        <v>Kitchen&amp;HomeAppliances</v>
      </c>
      <c r="F1106" s="2">
        <v>4789.0</v>
      </c>
      <c r="G1106" s="2">
        <v>8999.0</v>
      </c>
      <c r="H1106" s="3">
        <f t="shared" si="4"/>
        <v>0.4678297589</v>
      </c>
      <c r="I1106" s="4">
        <f>IFERROR(__xludf.DUMMYFUNCTION("GOOGLEFINANCE(""CURRENCY:INRBRL"")*F1106"),285.79948788919995)</f>
        <v>285.7994879</v>
      </c>
      <c r="J1106" s="1">
        <v>4.5</v>
      </c>
      <c r="K1106" s="1">
        <v>1017.0</v>
      </c>
      <c r="L1106" s="1" t="s">
        <v>4197</v>
      </c>
      <c r="M1106" s="6" t="s">
        <v>4198</v>
      </c>
      <c r="N1106" s="7" t="str">
        <f>VLOOKUP(A1106, avaliacoes!A:G, 5, FALSE)</f>
        <v>good machine in budget,Very good product...,Over all experience is good with this product,Very good machine insuch a price range,Overall,Good product.easy to use,Good product compared to the price range..and performance is satifactory,Useful product with good build quality</v>
      </c>
      <c r="O1106" s="7" t="str">
        <f>VLOOKUP(A1106, avaliacoes!A:G, 6, FALSE)</f>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v>
      </c>
    </row>
    <row r="1107">
      <c r="A1107" s="1" t="s">
        <v>4199</v>
      </c>
      <c r="B1107" s="1" t="s">
        <v>4200</v>
      </c>
      <c r="C1107" s="1" t="s">
        <v>4201</v>
      </c>
      <c r="D1107" s="1" t="str">
        <f t="shared" si="2"/>
        <v>Home&amp;Kitchen</v>
      </c>
      <c r="E1107" s="1" t="str">
        <f t="shared" si="3"/>
        <v>Heating,Cooling&amp;AirQuality</v>
      </c>
      <c r="F1107" s="2">
        <v>1409.0</v>
      </c>
      <c r="G1107" s="2">
        <v>1639.0</v>
      </c>
      <c r="H1107" s="3">
        <f t="shared" si="4"/>
        <v>0.1403294692</v>
      </c>
      <c r="I1107" s="4">
        <f>IFERROR(__xludf.DUMMYFUNCTION("GOOGLEFINANCE(""CURRENCY:INRBRL"")*F1107"),84.0867568252)</f>
        <v>84.08675683</v>
      </c>
      <c r="J1107" s="1">
        <v>4.51</v>
      </c>
      <c r="K1107" s="1">
        <v>787.0</v>
      </c>
      <c r="L1107" s="1" t="s">
        <v>4202</v>
      </c>
      <c r="M1107" s="6" t="s">
        <v>4203</v>
      </c>
      <c r="N1107" s="7" t="str">
        <f>VLOOKUP(A1107, avaliacoes!A:G, 5, FALSE)</f>
        <v>Overall good product,Value for money 👍,Brand,Heater,Good product for home room heater,It's not repairable at all.,Electricity Current Passing Through its Entire Body,one rod is not working  solution i have</v>
      </c>
      <c r="O1107" s="7" t="str">
        <f>VLOOKUP(A1107, avaliacoes!A:G, 6, FALSE)</f>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v>
      </c>
    </row>
    <row r="1108">
      <c r="A1108" s="1" t="s">
        <v>4204</v>
      </c>
      <c r="B1108" s="1" t="s">
        <v>4205</v>
      </c>
      <c r="C1108" s="1" t="s">
        <v>3904</v>
      </c>
      <c r="D1108" s="1" t="str">
        <f t="shared" si="2"/>
        <v>Home&amp;Kitchen</v>
      </c>
      <c r="E1108" s="1" t="str">
        <f t="shared" si="3"/>
        <v>Kitchen&amp;HomeAppliances</v>
      </c>
      <c r="F1108" s="2">
        <v>753.0</v>
      </c>
      <c r="G1108" s="2">
        <v>899.0</v>
      </c>
      <c r="H1108" s="3">
        <f t="shared" si="4"/>
        <v>0.1624026696</v>
      </c>
      <c r="I1108" s="4">
        <f>IFERROR(__xludf.DUMMYFUNCTION("GOOGLEFINANCE(""CURRENCY:INRBRL"")*F1108"),44.937777068399996)</f>
        <v>44.93777707</v>
      </c>
      <c r="J1108" s="1">
        <v>4.5</v>
      </c>
      <c r="K1108" s="1">
        <v>18462.0</v>
      </c>
      <c r="L1108" s="1" t="s">
        <v>4206</v>
      </c>
      <c r="M1108" s="6" t="s">
        <v>4207</v>
      </c>
      <c r="N1108" s="7" t="str">
        <f>VLOOKUP(A1108, avaliacoes!A:G, 5, FALSE)</f>
        <v>Nice product but little bit costly,Is good,Value for money,Ok,Good product,Nice product,we can use it for every work like chatni, shake, blending, etc so you must try it.,Using it since 2019</v>
      </c>
      <c r="O1108" s="7" t="str">
        <f>VLOOKUP(A1108, avaliacoes!A:G, 6, FALSE)</f>
        <v>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v>
      </c>
    </row>
    <row r="1109">
      <c r="A1109" s="1" t="s">
        <v>4208</v>
      </c>
      <c r="B1109" s="1" t="s">
        <v>4209</v>
      </c>
      <c r="C1109" s="1" t="s">
        <v>4049</v>
      </c>
      <c r="D1109" s="1" t="str">
        <f t="shared" si="2"/>
        <v>Home&amp;Kitchen</v>
      </c>
      <c r="E1109" s="1" t="str">
        <f t="shared" si="3"/>
        <v>Kitchen&amp;HomeAppliances</v>
      </c>
      <c r="F1109" s="2">
        <v>353.0</v>
      </c>
      <c r="G1109" s="2">
        <v>1199.0</v>
      </c>
      <c r="H1109" s="3">
        <f t="shared" si="4"/>
        <v>0.70558799</v>
      </c>
      <c r="I1109" s="4">
        <f>IFERROR(__xludf.DUMMYFUNCTION("GOOGLEFINANCE(""CURRENCY:INRBRL"")*F1109"),21.066447948399997)</f>
        <v>21.06644795</v>
      </c>
      <c r="J1109" s="1">
        <v>4.5</v>
      </c>
      <c r="K1109" s="1">
        <v>629.0</v>
      </c>
      <c r="L1109" s="1" t="s">
        <v>4210</v>
      </c>
      <c r="M1109" s="6" t="s">
        <v>4211</v>
      </c>
      <c r="N1109" s="7" t="str">
        <f>VLOOKUP(A1109, avaliacoes!A:G, 5, FALSE)</f>
        <v>Good product,Worth of cast and useful of batchelors,This product quality is very good,i like this product,Value for Money,Verry use ful,Good product and easy to use,Looks nice,Excellent product</v>
      </c>
      <c r="O1109" s="7" t="str">
        <f>VLOOKUP(A1109, avaliacoes!A:G, 6, FALSE)</f>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v>
      </c>
    </row>
    <row r="1110">
      <c r="A1110" s="1" t="s">
        <v>4212</v>
      </c>
      <c r="B1110" s="1" t="s">
        <v>4213</v>
      </c>
      <c r="C1110" s="1" t="s">
        <v>3861</v>
      </c>
      <c r="D1110" s="1" t="str">
        <f t="shared" si="2"/>
        <v>Home&amp;Kitchen</v>
      </c>
      <c r="E1110" s="1" t="str">
        <f t="shared" si="3"/>
        <v>Kitchen&amp;HomeAppliances</v>
      </c>
      <c r="F1110" s="2">
        <v>1099.0</v>
      </c>
      <c r="G1110" s="2">
        <v>1899.0</v>
      </c>
      <c r="H1110" s="3">
        <f t="shared" si="4"/>
        <v>0.4212743549</v>
      </c>
      <c r="I1110" s="4">
        <f>IFERROR(__xludf.DUMMYFUNCTION("GOOGLEFINANCE(""CURRENCY:INRBRL"")*F1110"),65.58647675719999)</f>
        <v>65.58647676</v>
      </c>
      <c r="J1110" s="1">
        <v>4.5</v>
      </c>
      <c r="K1110" s="1">
        <v>15276.0</v>
      </c>
      <c r="L1110" s="1" t="s">
        <v>4214</v>
      </c>
      <c r="M1110" s="6" t="s">
        <v>4215</v>
      </c>
      <c r="N1110" s="7" t="str">
        <f>VLOOKUP(A1110, avaliacoes!A:G, 5, FALSE)</f>
        <v>Very light weight. Almost accurate measurements.,Easy to use and on point!,Highly recommend product..just need some minor advanced feature in measuring liquid,Received in a decent condition,Good machine with precision,Great product,Excellent scale,Good Product</v>
      </c>
      <c r="O1110" s="7" t="str">
        <f>VLOOKUP(A1110, avaliacoes!A:G, 6, FALSE)</f>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v>
      </c>
    </row>
    <row r="1111">
      <c r="A1111" s="1" t="s">
        <v>4216</v>
      </c>
      <c r="B1111" s="1" t="s">
        <v>4217</v>
      </c>
      <c r="C1111" s="1" t="s">
        <v>3984</v>
      </c>
      <c r="D1111" s="1" t="str">
        <f t="shared" si="2"/>
        <v>Home&amp;Kitchen</v>
      </c>
      <c r="E1111" s="1" t="str">
        <f t="shared" si="3"/>
        <v>Kitchen&amp;HomeAppliances</v>
      </c>
      <c r="F1111" s="2">
        <v>8799.0</v>
      </c>
      <c r="G1111" s="2">
        <v>11595.0</v>
      </c>
      <c r="H1111" s="3">
        <f t="shared" si="4"/>
        <v>0.2411384217</v>
      </c>
      <c r="I1111" s="4">
        <f>IFERROR(__xludf.DUMMYFUNCTION("GOOGLEFINANCE(""CURRENCY:INRBRL"")*F1111"),525.1095623172)</f>
        <v>525.1095623</v>
      </c>
      <c r="J1111" s="1">
        <v>4.5</v>
      </c>
      <c r="K1111" s="1">
        <v>2981.0</v>
      </c>
      <c r="L1111" s="1" t="s">
        <v>4218</v>
      </c>
      <c r="M1111" s="6" t="s">
        <v>4219</v>
      </c>
      <c r="N1111" s="7" t="str">
        <f>VLOOKUP(A1111, avaliacoes!A:G, 5, FALSE)</f>
        <v>Healthy alternative to traditional deep frying,A new useful equipment for kitchen,Nice product. A must have for healthier cooking,Best in class Air fryer from Philips,Very nice product for Oil free cooking,Very useful product,Less Oil  food to eat,Quick snack machine</v>
      </c>
      <c r="O1111" s="7" t="str">
        <f>VLOOKUP(A1111, avaliacoes!A:G, 6, FALSE)</f>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v>
      </c>
    </row>
    <row r="1112">
      <c r="A1112" s="1" t="s">
        <v>4220</v>
      </c>
      <c r="B1112" s="1" t="s">
        <v>4221</v>
      </c>
      <c r="C1112" s="1" t="s">
        <v>3841</v>
      </c>
      <c r="D1112" s="1" t="str">
        <f t="shared" si="2"/>
        <v>Home&amp;Kitchen</v>
      </c>
      <c r="E1112" s="1" t="str">
        <f t="shared" si="3"/>
        <v>Kitchen&amp;HomeAppliances</v>
      </c>
      <c r="F1112" s="2">
        <v>1345.0</v>
      </c>
      <c r="G1112" s="2">
        <v>1749.0</v>
      </c>
      <c r="H1112" s="3">
        <f t="shared" si="4"/>
        <v>0.2309891366</v>
      </c>
      <c r="I1112" s="4">
        <f>IFERROR(__xludf.DUMMYFUNCTION("GOOGLEFINANCE(""CURRENCY:INRBRL"")*F1112"),80.267344166)</f>
        <v>80.26734417</v>
      </c>
      <c r="J1112" s="1">
        <v>4.51</v>
      </c>
      <c r="K1112" s="1">
        <v>2466.0</v>
      </c>
      <c r="L1112" s="1" t="s">
        <v>4222</v>
      </c>
      <c r="M1112" s="6" t="s">
        <v>4223</v>
      </c>
      <c r="N1112" s="7" t="str">
        <f>VLOOKUP(A1112, avaliacoes!A:G, 5, FALSE)</f>
        <v>Good at this budget,Good product,Cord length,Cord length is too short,Product is good,Power cable is too short !!!,Value for money 💰,Short wire</v>
      </c>
      <c r="O1112" s="7" t="str">
        <f>VLOOKUP(A1112, avaliacoes!A:G, 6, FALSE)</f>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v>
      </c>
    </row>
    <row r="1113">
      <c r="A1113" s="1" t="s">
        <v>4224</v>
      </c>
      <c r="B1113" s="1" t="s">
        <v>4225</v>
      </c>
      <c r="C1113" s="1" t="s">
        <v>4226</v>
      </c>
      <c r="D1113" s="1" t="str">
        <f t="shared" si="2"/>
        <v>Home&amp;Kitchen</v>
      </c>
      <c r="E1113" s="1" t="str">
        <f t="shared" si="3"/>
        <v>Kitchen&amp;HomeAppliances</v>
      </c>
      <c r="F1113" s="2">
        <v>2095.0</v>
      </c>
      <c r="G1113" s="2">
        <v>2095.0</v>
      </c>
      <c r="H1113" s="3">
        <f t="shared" si="4"/>
        <v>0</v>
      </c>
      <c r="I1113" s="4">
        <f>IFERROR(__xludf.DUMMYFUNCTION("GOOGLEFINANCE(""CURRENCY:INRBRL"")*F1113"),125.026086266)</f>
        <v>125.0260863</v>
      </c>
      <c r="J1113" s="1">
        <v>4.51</v>
      </c>
      <c r="K1113" s="1">
        <v>7949.0</v>
      </c>
      <c r="L1113" s="1" t="s">
        <v>4227</v>
      </c>
      <c r="M1113" s="6" t="s">
        <v>4228</v>
      </c>
      <c r="N1113" s="7" t="str">
        <f>VLOOKUP(A1113, avaliacoes!A:G, 5, FALSE)</f>
        <v>Good toaster,Seamless. Undoubtedly the best,Good product,Everything,Nice and okayish to use at home.,Value for money,Good pop-up toaster. Bun warmer feature is a nice addition,Wonderful product.</v>
      </c>
      <c r="O1113" s="7" t="str">
        <f>VLOOKUP(A1113, avaliacoes!A:G, 6, FALSE)</f>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v>
      </c>
    </row>
    <row r="1114">
      <c r="A1114" s="1" t="s">
        <v>4229</v>
      </c>
      <c r="B1114" s="1" t="s">
        <v>4230</v>
      </c>
      <c r="C1114" s="1" t="s">
        <v>3846</v>
      </c>
      <c r="D1114" s="1" t="str">
        <f t="shared" si="2"/>
        <v>Home&amp;Kitchen</v>
      </c>
      <c r="E1114" s="1" t="str">
        <f t="shared" si="3"/>
        <v>Heating,Cooling&amp;AirQuality</v>
      </c>
      <c r="F1114" s="2">
        <v>1498.0</v>
      </c>
      <c r="G1114" s="2">
        <v>2299.0</v>
      </c>
      <c r="H1114" s="3">
        <f t="shared" si="4"/>
        <v>0.3484123532</v>
      </c>
      <c r="I1114" s="4">
        <f>IFERROR(__xludf.DUMMYFUNCTION("GOOGLEFINANCE(""CURRENCY:INRBRL"")*F1114"),89.39812755439999)</f>
        <v>89.39812755</v>
      </c>
      <c r="J1114" s="1">
        <v>4.51</v>
      </c>
      <c r="K1114" s="1">
        <v>95.0</v>
      </c>
      <c r="L1114" s="1" t="s">
        <v>4231</v>
      </c>
      <c r="M1114" s="6" t="s">
        <v>4232</v>
      </c>
      <c r="N1114" s="7" t="str">
        <f>VLOOKUP(A1114, avaliacoes!A:G, 5, FALSE)</f>
        <v>Good product,Very nice products good quality 👌👌,use carefully,No fear of over loading,very nice,Safety switch not working witch required change,Not stainless Steel make reflector !,Bullshit product</v>
      </c>
      <c r="O1114" s="7" t="str">
        <f>VLOOKUP(A1114, avaliacoes!A:G, 6, FALSE)</f>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v>
      </c>
    </row>
    <row r="1115">
      <c r="A1115" s="1" t="s">
        <v>4233</v>
      </c>
      <c r="B1115" s="1" t="s">
        <v>4234</v>
      </c>
      <c r="C1115" s="1" t="s">
        <v>4235</v>
      </c>
      <c r="D1115" s="1" t="str">
        <f t="shared" si="2"/>
        <v>Home&amp;Kitchen</v>
      </c>
      <c r="E1115" s="1" t="str">
        <f t="shared" si="3"/>
        <v>Heating,Cooling&amp;AirQuality</v>
      </c>
      <c r="F1115" s="2">
        <v>2199.0</v>
      </c>
      <c r="G1115" s="2">
        <v>2999.0</v>
      </c>
      <c r="H1115" s="3">
        <f t="shared" si="4"/>
        <v>0.2667555852</v>
      </c>
      <c r="I1115" s="4">
        <f>IFERROR(__xludf.DUMMYFUNCTION("GOOGLEFINANCE(""CURRENCY:INRBRL"")*F1115"),131.2326318372)</f>
        <v>131.2326318</v>
      </c>
      <c r="J1115" s="1">
        <v>4.51</v>
      </c>
      <c r="K1115" s="1">
        <v>1558.0</v>
      </c>
      <c r="L1115" s="1" t="s">
        <v>4236</v>
      </c>
      <c r="M1115" s="6" t="s">
        <v>4237</v>
      </c>
      <c r="N1115" s="7" t="str">
        <f>VLOOKUP(A1115, avaliacoes!A:G, 5, FALSE)</f>
        <v>Should you buy this?, read to find out ....,Good one,Good,Best product,Stopped working in just 18days and worst after sale service,Perfect,Price seems to be high,Solid one .better and best one.</v>
      </c>
      <c r="O1115" s="7" t="str">
        <f>VLOOKUP(A1115, avaliacoes!A:G, 6, FALSE)</f>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v>
      </c>
    </row>
    <row r="1116">
      <c r="A1116" s="1" t="s">
        <v>4238</v>
      </c>
      <c r="B1116" s="1" t="s">
        <v>4239</v>
      </c>
      <c r="C1116" s="1" t="s">
        <v>3914</v>
      </c>
      <c r="D1116" s="1" t="str">
        <f t="shared" si="2"/>
        <v>Home&amp;Kitchen</v>
      </c>
      <c r="E1116" s="1" t="str">
        <f t="shared" si="3"/>
        <v>Kitchen&amp;HomeAppliances</v>
      </c>
      <c r="F1116" s="2">
        <v>3699.0</v>
      </c>
      <c r="G1116" s="2">
        <v>4295.0</v>
      </c>
      <c r="H1116" s="3">
        <f t="shared" si="4"/>
        <v>0.138766007</v>
      </c>
      <c r="I1116" s="4">
        <f>IFERROR(__xludf.DUMMYFUNCTION("GOOGLEFINANCE(""CURRENCY:INRBRL"")*F1116"),220.75011603719997)</f>
        <v>220.750116</v>
      </c>
      <c r="J1116" s="1">
        <v>4.49</v>
      </c>
      <c r="K1116" s="1">
        <v>26543.0</v>
      </c>
      <c r="L1116" s="1" t="s">
        <v>4240</v>
      </c>
      <c r="M1116" s="6" t="s">
        <v>4241</v>
      </c>
      <c r="N1116" s="7" t="str">
        <f>VLOOKUP(A1116, avaliacoes!A:G, 5, FALSE)</f>
        <v>It is a dependable mixer one can buy without any hesitation,Good kitchen addition,It does not have light indicater,Nil,Noise is too much,Nice deal.,Nice product,😒</v>
      </c>
      <c r="O1116" s="7" t="str">
        <f>VLOOKUP(A1116, avaliacoes!A:G, 6, FALSE)</f>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v>
      </c>
    </row>
    <row r="1117">
      <c r="A1117" s="1" t="s">
        <v>4242</v>
      </c>
      <c r="B1117" s="1" t="s">
        <v>4243</v>
      </c>
      <c r="C1117" s="1" t="s">
        <v>3989</v>
      </c>
      <c r="D1117" s="1" t="str">
        <f t="shared" si="2"/>
        <v>Home&amp;Kitchen</v>
      </c>
      <c r="E1117" s="1" t="str">
        <f t="shared" si="3"/>
        <v>HomeStorage&amp;Organization</v>
      </c>
      <c r="F1117" s="2">
        <v>177.0</v>
      </c>
      <c r="G1117" s="2">
        <v>199.0</v>
      </c>
      <c r="H1117" s="3">
        <f t="shared" si="4"/>
        <v>0.1105527638</v>
      </c>
      <c r="I1117" s="4">
        <f>IFERROR(__xludf.DUMMYFUNCTION("GOOGLEFINANCE(""CURRENCY:INRBRL"")*F1117"),10.563063135599998)</f>
        <v>10.56306314</v>
      </c>
      <c r="J1117" s="1">
        <v>4.49</v>
      </c>
      <c r="K1117" s="1">
        <v>3688.0</v>
      </c>
      <c r="L1117" s="1" t="s">
        <v>4244</v>
      </c>
      <c r="M1117" s="6" t="s">
        <v>4245</v>
      </c>
      <c r="N1117" s="7" t="str">
        <f>VLOOKUP(A1117, avaliacoes!A:G, 5, FALSE)</f>
        <v>good product,Nice one,Product is gud but size could be little more,Best Buying,Good product,Material is good,Worth for cost,Sturdiness of Kuber Industries Waterproof Round Non Woven Laundry Bag</v>
      </c>
      <c r="O1117" s="7" t="str">
        <f>VLOOKUP(A1117, avaliacoes!A:G, 6, FALSE)</f>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v>
      </c>
    </row>
    <row r="1118">
      <c r="A1118" s="1" t="s">
        <v>4246</v>
      </c>
      <c r="B1118" s="1" t="s">
        <v>4247</v>
      </c>
      <c r="C1118" s="1" t="s">
        <v>3914</v>
      </c>
      <c r="D1118" s="1" t="str">
        <f t="shared" si="2"/>
        <v>Home&amp;Kitchen</v>
      </c>
      <c r="E1118" s="1" t="str">
        <f t="shared" si="3"/>
        <v>Kitchen&amp;HomeAppliances</v>
      </c>
      <c r="F1118" s="2">
        <v>1149.0</v>
      </c>
      <c r="G1118" s="2">
        <v>2499.0</v>
      </c>
      <c r="H1118" s="3">
        <f t="shared" si="4"/>
        <v>0.5402160864</v>
      </c>
      <c r="I1118" s="4">
        <f>IFERROR(__xludf.DUMMYFUNCTION("GOOGLEFINANCE(""CURRENCY:INRBRL"")*F1118"),68.5703928972)</f>
        <v>68.5703929</v>
      </c>
      <c r="J1118" s="1">
        <v>4.51</v>
      </c>
      <c r="K1118" s="1">
        <v>4383.0</v>
      </c>
      <c r="L1118" s="1" t="s">
        <v>4248</v>
      </c>
      <c r="M1118" s="6" t="s">
        <v>4249</v>
      </c>
      <c r="N1118" s="7" t="str">
        <f>VLOOKUP(A1118, avaliacoes!A:G, 5, FALSE)</f>
        <v>Good one.....i liked it,Very rare noise,Very easy to use,Good Product,Nice product,Good one, but heating problem,Nice product,Nice product</v>
      </c>
      <c r="O1118" s="7" t="str">
        <f>VLOOKUP(A1118, avaliacoes!A:G, 6, FALSE)</f>
        <v>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v>
      </c>
    </row>
    <row r="1119">
      <c r="A1119" s="1" t="s">
        <v>4250</v>
      </c>
      <c r="B1119" s="1" t="s">
        <v>4251</v>
      </c>
      <c r="C1119" s="1" t="s">
        <v>4252</v>
      </c>
      <c r="D1119" s="1" t="str">
        <f t="shared" si="2"/>
        <v>Home&amp;Kitchen</v>
      </c>
      <c r="E1119" s="1" t="str">
        <f t="shared" si="3"/>
        <v>Kitchen&amp;HomeAppliances</v>
      </c>
      <c r="F1119" s="2">
        <v>244.0</v>
      </c>
      <c r="G1119" s="2">
        <v>499.0</v>
      </c>
      <c r="H1119" s="3">
        <f t="shared" si="4"/>
        <v>0.5110220441</v>
      </c>
      <c r="I1119" s="4">
        <f>IFERROR(__xludf.DUMMYFUNCTION("GOOGLEFINANCE(""CURRENCY:INRBRL"")*F1119"),14.5615107632)</f>
        <v>14.56151076</v>
      </c>
      <c r="J1119" s="1">
        <v>4.5</v>
      </c>
      <c r="K1119" s="1">
        <v>478.0</v>
      </c>
      <c r="L1119" s="1" t="s">
        <v>4253</v>
      </c>
      <c r="M1119" s="6" t="s">
        <v>4254</v>
      </c>
      <c r="N1119" s="7" t="str">
        <f>VLOOKUP(A1119, avaliacoes!A:G, 5, FALSE)</f>
        <v>Buy from ikea directly,Good quality,one battery set should be provided with the frother. The battery is not available locally,very bad product dont buy even no return option available,Not IKEA quality,Average quality,Really Good,Not powerful enough</v>
      </c>
      <c r="O1119" s="7" t="str">
        <f>VLOOKUP(A1119, avaliacoes!A:G, 6, FALSE)</f>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v>
      </c>
    </row>
    <row r="1120">
      <c r="A1120" s="1" t="s">
        <v>4255</v>
      </c>
      <c r="B1120" s="1" t="s">
        <v>4256</v>
      </c>
      <c r="C1120" s="1" t="s">
        <v>3846</v>
      </c>
      <c r="D1120" s="1" t="str">
        <f t="shared" si="2"/>
        <v>Home&amp;Kitchen</v>
      </c>
      <c r="E1120" s="1" t="str">
        <f t="shared" si="3"/>
        <v>Heating,Cooling&amp;AirQuality</v>
      </c>
      <c r="F1120" s="2">
        <v>1959.0</v>
      </c>
      <c r="G1120" s="2">
        <v>2399.0</v>
      </c>
      <c r="H1120" s="3">
        <f t="shared" si="4"/>
        <v>0.1834097541</v>
      </c>
      <c r="I1120" s="4">
        <f>IFERROR(__xludf.DUMMYFUNCTION("GOOGLEFINANCE(""CURRENCY:INRBRL"")*F1120"),116.9098343652)</f>
        <v>116.9098344</v>
      </c>
      <c r="J1120" s="1">
        <v>4.0</v>
      </c>
      <c r="K1120" s="1">
        <v>237.0</v>
      </c>
      <c r="L1120" s="1" t="s">
        <v>4257</v>
      </c>
      <c r="M1120" s="6" t="s">
        <v>4258</v>
      </c>
      <c r="N1120" s="7" t="str">
        <f>VLOOKUP(A1120, avaliacoes!A:G, 5, FALSE)</f>
        <v>Nice heater,Nice,Plug needs an adaptor,Elements is not of good quality burning smell,It's ok ☺️,Beautiful design light weight effective one,Plug issue,Damaged item received</v>
      </c>
      <c r="O1120" s="7" t="str">
        <f>VLOOKUP(A1120, avaliacoes!A:G, 6, FALSE)</f>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v>
      </c>
    </row>
    <row r="1121">
      <c r="A1121" s="1" t="s">
        <v>4259</v>
      </c>
      <c r="B1121" s="1" t="s">
        <v>4260</v>
      </c>
      <c r="C1121" s="1" t="s">
        <v>3856</v>
      </c>
      <c r="D1121" s="1" t="str">
        <f t="shared" si="2"/>
        <v>Home&amp;Kitchen</v>
      </c>
      <c r="E1121" s="1" t="str">
        <f t="shared" si="3"/>
        <v>Kitchen&amp;HomeAppliances</v>
      </c>
      <c r="F1121" s="2">
        <v>319.0</v>
      </c>
      <c r="G1121" s="2">
        <v>749.0</v>
      </c>
      <c r="H1121" s="3">
        <f t="shared" si="4"/>
        <v>0.5740987984</v>
      </c>
      <c r="I1121" s="4">
        <f>IFERROR(__xludf.DUMMYFUNCTION("GOOGLEFINANCE(""CURRENCY:INRBRL"")*F1121"),19.0373849732)</f>
        <v>19.03738497</v>
      </c>
      <c r="J1121" s="1">
        <v>4.51</v>
      </c>
      <c r="K1121" s="1">
        <v>124.0</v>
      </c>
      <c r="L1121" s="1" t="s">
        <v>4261</v>
      </c>
      <c r="M1121" s="6" t="s">
        <v>4262</v>
      </c>
      <c r="N1121" s="7" t="str">
        <f>VLOOKUP(A1121, avaliacoes!A:G, 5, FALSE)</f>
        <v>good,Overall good product but got stop inbetween there is some gap for long term use.,Perfect,Useful,Must buy,Overall nice product,Good product,Amazing product</v>
      </c>
      <c r="O1121" s="7" t="str">
        <f>VLOOKUP(A1121, avaliacoes!A:G, 6, FALSE)</f>
        <v>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v>
      </c>
    </row>
    <row r="1122">
      <c r="A1122" s="1" t="s">
        <v>4263</v>
      </c>
      <c r="B1122" s="1" t="s">
        <v>4264</v>
      </c>
      <c r="C1122" s="1" t="s">
        <v>3841</v>
      </c>
      <c r="D1122" s="1" t="str">
        <f t="shared" si="2"/>
        <v>Home&amp;Kitchen</v>
      </c>
      <c r="E1122" s="1" t="str">
        <f t="shared" si="3"/>
        <v>Kitchen&amp;HomeAppliances</v>
      </c>
      <c r="F1122" s="2">
        <v>1499.0</v>
      </c>
      <c r="G1122" s="2">
        <v>1775.0</v>
      </c>
      <c r="H1122" s="3">
        <f t="shared" si="4"/>
        <v>0.1554929577</v>
      </c>
      <c r="I1122" s="4">
        <f>IFERROR(__xludf.DUMMYFUNCTION("GOOGLEFINANCE(""CURRENCY:INRBRL"")*F1122"),89.45780587719999)</f>
        <v>89.45780588</v>
      </c>
      <c r="J1122" s="1">
        <v>4.52</v>
      </c>
      <c r="K1122" s="1">
        <v>14667.0</v>
      </c>
      <c r="L1122" s="1" t="s">
        <v>4265</v>
      </c>
      <c r="M1122" s="6" t="s">
        <v>4266</v>
      </c>
      <c r="N1122" s="7" t="str">
        <f>VLOOKUP(A1122, avaliacoes!A:G, 5, FALSE)</f>
        <v>Nice product,Best for hostel guys,Easy to handle,Very nicely,Easy to use ...,Best for bachelor 👌👌👌,Heating is not even and happens only side of the kettle.,There is no flame adjustment</v>
      </c>
      <c r="O1122" s="7" t="str">
        <f>VLOOKUP(A1122, avaliacoes!A:G, 6, FALSE)</f>
        <v>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v>
      </c>
    </row>
    <row r="1123">
      <c r="A1123" s="1" t="s">
        <v>4267</v>
      </c>
      <c r="B1123" s="1" t="s">
        <v>4268</v>
      </c>
      <c r="C1123" s="1" t="s">
        <v>3856</v>
      </c>
      <c r="D1123" s="1" t="str">
        <f t="shared" si="2"/>
        <v>Home&amp;Kitchen</v>
      </c>
      <c r="E1123" s="1" t="str">
        <f t="shared" si="3"/>
        <v>Kitchen&amp;HomeAppliances</v>
      </c>
      <c r="F1123" s="2">
        <v>469.0</v>
      </c>
      <c r="G1123" s="2">
        <v>1599.0</v>
      </c>
      <c r="H1123" s="3">
        <f t="shared" si="4"/>
        <v>0.7066916823</v>
      </c>
      <c r="I1123" s="4">
        <f>IFERROR(__xludf.DUMMYFUNCTION("GOOGLEFINANCE(""CURRENCY:INRBRL"")*F1123"),27.9891333932)</f>
        <v>27.98913339</v>
      </c>
      <c r="J1123" s="1">
        <v>4.51</v>
      </c>
      <c r="K1123" s="1">
        <v>6.0</v>
      </c>
      <c r="L1123" s="1" t="s">
        <v>4269</v>
      </c>
      <c r="M1123" s="6" t="s">
        <v>4270</v>
      </c>
      <c r="N1123" s="7" t="str">
        <f>VLOOKUP(A1123, avaliacoes!A:G, 5, FALSE)</f>
        <v>Amazing results,Bestest product ever</v>
      </c>
      <c r="O1123" s="7" t="str">
        <f>VLOOKUP(A1123, avaliacoes!A:G, 6, FALSE)</f>
        <v>I usually don't write review but this product is amazing everyone should give it a try , u will not disappoint after buying....,No words to say. Amazing👍😍🤩 you can see the picture I hv shared.</v>
      </c>
    </row>
    <row r="1124">
      <c r="A1124" s="1" t="s">
        <v>4271</v>
      </c>
      <c r="B1124" s="1" t="s">
        <v>4272</v>
      </c>
      <c r="C1124" s="1" t="s">
        <v>4226</v>
      </c>
      <c r="D1124" s="1" t="str">
        <f t="shared" si="2"/>
        <v>Home&amp;Kitchen</v>
      </c>
      <c r="E1124" s="1" t="str">
        <f t="shared" si="3"/>
        <v>Kitchen&amp;HomeAppliances</v>
      </c>
      <c r="F1124" s="2">
        <v>1099.0</v>
      </c>
      <c r="G1124" s="2">
        <v>1795.0</v>
      </c>
      <c r="H1124" s="3">
        <f t="shared" si="4"/>
        <v>0.3877437326</v>
      </c>
      <c r="I1124" s="4">
        <f>IFERROR(__xludf.DUMMYFUNCTION("GOOGLEFINANCE(""CURRENCY:INRBRL"")*F1124"),65.58647675719999)</f>
        <v>65.58647676</v>
      </c>
      <c r="J1124" s="1">
        <v>4.5</v>
      </c>
      <c r="K1124" s="1">
        <v>4244.0</v>
      </c>
      <c r="L1124" s="1" t="s">
        <v>4273</v>
      </c>
      <c r="M1124" s="6" t="s">
        <v>4274</v>
      </c>
      <c r="N1124" s="7" t="str">
        <f>VLOOKUP(A1124, avaliacoes!A:G, 5, FALSE)</f>
        <v>Good one,Nice,Wrong information provided by pigeon,Good product.,Best in class for this price,Best in this budget,Good product,Nice product</v>
      </c>
      <c r="O1124" s="7" t="str">
        <f>VLOOKUP(A1124, avaliacoes!A:G, 6, FALSE)</f>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v>
      </c>
    </row>
    <row r="1125">
      <c r="A1125" s="1" t="s">
        <v>4275</v>
      </c>
      <c r="B1125" s="1" t="s">
        <v>4276</v>
      </c>
      <c r="C1125" s="1" t="s">
        <v>3851</v>
      </c>
      <c r="D1125" s="1" t="str">
        <f t="shared" si="2"/>
        <v>Home&amp;Kitchen</v>
      </c>
      <c r="E1125" s="1" t="str">
        <f t="shared" si="3"/>
        <v>Heating,Cooling&amp;AirQuality</v>
      </c>
      <c r="F1125" s="2">
        <v>9599.0</v>
      </c>
      <c r="G1125" s="2">
        <v>15999.0</v>
      </c>
      <c r="H1125" s="3">
        <f t="shared" si="4"/>
        <v>0.4000250016</v>
      </c>
      <c r="I1125" s="4">
        <f>IFERROR(__xludf.DUMMYFUNCTION("GOOGLEFINANCE(""CURRENCY:INRBRL"")*F1125"),572.8522205572)</f>
        <v>572.8522206</v>
      </c>
      <c r="J1125" s="1">
        <v>4.49</v>
      </c>
      <c r="K1125" s="1">
        <v>1017.0</v>
      </c>
      <c r="L1125" s="1" t="s">
        <v>4277</v>
      </c>
      <c r="M1125" s="6" t="s">
        <v>4278</v>
      </c>
      <c r="N1125" s="7" t="str">
        <f>VLOOKUP(A1125, avaliacoes!A:G, 5, FALSE)</f>
        <v>Good, but not fast enough,Excellent product,Very slow heating,A silent heater,Easy to operate and the performance is good.,Recived room heater of only 9 fins than 11.,It's nice,Heats the the room very well</v>
      </c>
      <c r="O1125" s="7" t="str">
        <f>VLOOKUP(A1125, avaliacoes!A:G, 6, FALSE)</f>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v>
      </c>
    </row>
    <row r="1126">
      <c r="A1126" s="1" t="s">
        <v>4279</v>
      </c>
      <c r="B1126" s="1" t="s">
        <v>4280</v>
      </c>
      <c r="C1126" s="1" t="s">
        <v>4281</v>
      </c>
      <c r="D1126" s="1" t="str">
        <f t="shared" si="2"/>
        <v>Home&amp;Kitchen</v>
      </c>
      <c r="E1126" s="1" t="str">
        <f t="shared" si="3"/>
        <v>Heating,Cooling&amp;AirQuality</v>
      </c>
      <c r="F1126" s="2">
        <v>999.0</v>
      </c>
      <c r="G1126" s="2">
        <v>1499.0</v>
      </c>
      <c r="H1126" s="3">
        <f t="shared" si="4"/>
        <v>0.3335557038</v>
      </c>
      <c r="I1126" s="4">
        <f>IFERROR(__xludf.DUMMYFUNCTION("GOOGLEFINANCE(""CURRENCY:INRBRL"")*F1126"),59.61864447719999)</f>
        <v>59.61864448</v>
      </c>
      <c r="J1126" s="1">
        <v>4.49</v>
      </c>
      <c r="K1126" s="1">
        <v>12999.0</v>
      </c>
      <c r="L1126" s="1" t="s">
        <v>4282</v>
      </c>
      <c r="M1126" s="6" t="s">
        <v>4283</v>
      </c>
      <c r="N1126" s="7" t="str">
        <f>VLOOKUP(A1126, avaliacoes!A:G, 5, FALSE)</f>
        <v>It's good product for other company.,Value for money!,Not satisfy with the speed,Cleaning is problematic,Ok,Good,Good looking fan but motor fitted with fiber body.. Quality ok.,Good one, with bigger, not sure about dimension wise.</v>
      </c>
      <c r="O1126" s="7" t="str">
        <f>VLOOKUP(A1126, avaliacoes!A:G, 6, FALSE)</f>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v>
      </c>
    </row>
    <row r="1127">
      <c r="A1127" s="1" t="s">
        <v>4284</v>
      </c>
      <c r="B1127" s="1" t="s">
        <v>4285</v>
      </c>
      <c r="C1127" s="1" t="s">
        <v>3937</v>
      </c>
      <c r="D1127" s="1" t="str">
        <f t="shared" si="2"/>
        <v>Home&amp;Kitchen</v>
      </c>
      <c r="E1127" s="1" t="str">
        <f t="shared" si="3"/>
        <v>Kitchen&amp;HomeAppliances</v>
      </c>
      <c r="F1127" s="2">
        <v>1299.0</v>
      </c>
      <c r="G1127" s="2">
        <v>1999.0</v>
      </c>
      <c r="H1127" s="3">
        <f t="shared" si="4"/>
        <v>0.3501750875</v>
      </c>
      <c r="I1127" s="4">
        <f>IFERROR(__xludf.DUMMYFUNCTION("GOOGLEFINANCE(""CURRENCY:INRBRL"")*F1127"),77.5221413172)</f>
        <v>77.52214132</v>
      </c>
      <c r="J1127" s="1">
        <v>4.51</v>
      </c>
      <c r="K1127" s="1">
        <v>311.0</v>
      </c>
      <c r="L1127" s="1" t="s">
        <v>4286</v>
      </c>
      <c r="M1127" s="6" t="s">
        <v>4287</v>
      </c>
      <c r="N1127" s="7" t="str">
        <f>VLOOKUP(A1127, avaliacoes!A:G, 5, FALSE)</f>
        <v>I received a damaged product,Some defects but working as of now,Using for morenthan 6 months now.,Very good product,Cord length is too small,Easy to use,Noise,of good quality</v>
      </c>
      <c r="O1127" s="7" t="str">
        <f>VLOOKUP(A1127, avaliacoes!A:G, 6, FALSE)</f>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v>
      </c>
    </row>
    <row r="1128">
      <c r="A1128" s="1" t="s">
        <v>4288</v>
      </c>
      <c r="B1128" s="1" t="s">
        <v>4289</v>
      </c>
      <c r="C1128" s="1" t="s">
        <v>4290</v>
      </c>
      <c r="D1128" s="1" t="str">
        <f t="shared" si="2"/>
        <v>Home&amp;Kitchen</v>
      </c>
      <c r="E1128" s="1" t="str">
        <f t="shared" si="3"/>
        <v>Kitchen&amp;HomeAppliances</v>
      </c>
      <c r="F1128" s="2">
        <v>292.0</v>
      </c>
      <c r="G1128" s="2">
        <v>499.0</v>
      </c>
      <c r="H1128" s="3">
        <f t="shared" si="4"/>
        <v>0.4148296593</v>
      </c>
      <c r="I1128" s="4">
        <f>IFERROR(__xludf.DUMMYFUNCTION("GOOGLEFINANCE(""CURRENCY:INRBRL"")*F1128"),17.4260702576)</f>
        <v>17.42607026</v>
      </c>
      <c r="J1128" s="1">
        <v>4.49</v>
      </c>
      <c r="K1128" s="1">
        <v>4238.0</v>
      </c>
      <c r="L1128" s="1" t="s">
        <v>4291</v>
      </c>
      <c r="M1128" s="6" t="s">
        <v>4292</v>
      </c>
      <c r="N1128" s="7" t="str">
        <f>VLOOKUP(A1128, avaliacoes!A:G, 5, FALSE)</f>
        <v>Coffee Filter,Just go for it!,Happy with the product,If you drink 1 or 2 cups of coffee a day, this's it,Works well! But pricey,Easy to make coffee with and sustainable.,GOOD FILTER,good for a person or two</v>
      </c>
      <c r="O1128" s="7" t="str">
        <f>VLOOKUP(A1128, avaliacoes!A:G, 6, FALSE)</f>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v>
      </c>
    </row>
    <row r="1129">
      <c r="A1129" s="1" t="s">
        <v>4293</v>
      </c>
      <c r="B1129" s="1" t="s">
        <v>4294</v>
      </c>
      <c r="C1129" s="1" t="s">
        <v>4153</v>
      </c>
      <c r="D1129" s="1" t="str">
        <f t="shared" si="2"/>
        <v>Home&amp;Kitchen</v>
      </c>
      <c r="E1129" s="1" t="str">
        <f t="shared" si="3"/>
        <v>Kitchen&amp;HomeAppliances</v>
      </c>
      <c r="F1129" s="2">
        <v>160.0</v>
      </c>
      <c r="G1129" s="2">
        <v>299.0</v>
      </c>
      <c r="H1129" s="3">
        <f t="shared" si="4"/>
        <v>0.4648829431</v>
      </c>
      <c r="I1129" s="4">
        <f>IFERROR(__xludf.DUMMYFUNCTION("GOOGLEFINANCE(""CURRENCY:INRBRL"")*F1129"),9.548531647999999)</f>
        <v>9.548531648</v>
      </c>
      <c r="J1129" s="1">
        <v>4.51</v>
      </c>
      <c r="K1129" s="1">
        <v>2781.0</v>
      </c>
      <c r="L1129" s="1" t="s">
        <v>4295</v>
      </c>
      <c r="M1129" s="6" t="s">
        <v>4296</v>
      </c>
      <c r="N1129" s="7" t="str">
        <f>VLOOKUP(A1129, avaliacoes!A:G, 5, FALSE)</f>
        <v>It is Okay.,Amazing product and fast shipping,Sturdy,Good, its Useful.,most useful products for every kitchen,value for money,Good Quality Product,Good clips</v>
      </c>
      <c r="O1129" s="7" t="str">
        <f>VLOOKUP(A1129, avaliacoes!A:G, 6, FALSE)</f>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v>
      </c>
    </row>
    <row r="1130">
      <c r="A1130" s="1" t="s">
        <v>4297</v>
      </c>
      <c r="B1130" s="1" t="s">
        <v>4298</v>
      </c>
      <c r="C1130" s="1" t="s">
        <v>4299</v>
      </c>
      <c r="D1130" s="1" t="str">
        <f t="shared" si="2"/>
        <v>Home&amp;Kitchen</v>
      </c>
      <c r="E1130" s="1" t="str">
        <f t="shared" si="3"/>
        <v>Kitchen&amp;HomeAppliances</v>
      </c>
      <c r="F1130" s="2">
        <v>600.0</v>
      </c>
      <c r="G1130" s="2">
        <v>600.0</v>
      </c>
      <c r="H1130" s="3">
        <f t="shared" si="4"/>
        <v>0</v>
      </c>
      <c r="I1130" s="4">
        <f>IFERROR(__xludf.DUMMYFUNCTION("GOOGLEFINANCE(""CURRENCY:INRBRL"")*F1130"),35.80699368)</f>
        <v>35.80699368</v>
      </c>
      <c r="J1130" s="1">
        <v>4.49</v>
      </c>
      <c r="K1130" s="1">
        <v>10907.0</v>
      </c>
      <c r="L1130" s="1" t="s">
        <v>4300</v>
      </c>
      <c r="M1130" s="6" t="s">
        <v>4301</v>
      </c>
      <c r="N1130" s="7" t="str">
        <f>VLOOKUP(A1130, avaliacoes!A:G, 5, FALSE)</f>
        <v>Wrong battery,It's working,Good,Ordinary product,Good,Poor packing not expected from a reputed brand like HUL😣😣😣,Water purifier,upset with product not good</v>
      </c>
      <c r="O1130" s="7" t="str">
        <f>VLOOKUP(A1130, avaliacoes!A:G, 6, FALSE)</f>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v>
      </c>
    </row>
    <row r="1131">
      <c r="A1131" s="1" t="s">
        <v>4302</v>
      </c>
      <c r="B1131" s="1" t="s">
        <v>4303</v>
      </c>
      <c r="C1131" s="1" t="s">
        <v>4304</v>
      </c>
      <c r="D1131" s="1" t="str">
        <f t="shared" si="2"/>
        <v>Home&amp;Kitchen</v>
      </c>
      <c r="E1131" s="1" t="str">
        <f t="shared" si="3"/>
        <v>Kitchen&amp;HomeAppliances</v>
      </c>
      <c r="F1131" s="2">
        <v>1299.0</v>
      </c>
      <c r="G1131" s="2">
        <v>1299.0</v>
      </c>
      <c r="H1131" s="3">
        <f t="shared" si="4"/>
        <v>0</v>
      </c>
      <c r="I1131" s="4">
        <f>IFERROR(__xludf.DUMMYFUNCTION("GOOGLEFINANCE(""CURRENCY:INRBRL"")*F1131"),77.5221413172)</f>
        <v>77.52214132</v>
      </c>
      <c r="J1131" s="1">
        <v>4.5</v>
      </c>
      <c r="K1131" s="1">
        <v>1325.0</v>
      </c>
      <c r="L1131" s="1" t="s">
        <v>4305</v>
      </c>
      <c r="M1131" s="6" t="s">
        <v>4306</v>
      </c>
      <c r="N1131" s="7" t="str">
        <f>VLOOKUP(A1131, avaliacoes!A:G, 5, FALSE)</f>
        <v>Good product,Nice product up to the mark,Good one,Excellent,Water purifier,Good,Super,Good it helping us</v>
      </c>
      <c r="O1131" s="7" t="str">
        <f>VLOOKUP(A1131, avaliacoes!A:G, 6, FALSE)</f>
        <v>Nice product, value of money,Nice,I have received the product with broken seal. Otherwise purchase is ok.,100%,Nice,Good,Super super super super,Good</v>
      </c>
    </row>
    <row r="1132">
      <c r="A1132" s="1" t="s">
        <v>4307</v>
      </c>
      <c r="B1132" s="1" t="s">
        <v>4308</v>
      </c>
      <c r="C1132" s="1" t="s">
        <v>3914</v>
      </c>
      <c r="D1132" s="1" t="str">
        <f t="shared" si="2"/>
        <v>Home&amp;Kitchen</v>
      </c>
      <c r="E1132" s="1" t="str">
        <f t="shared" si="3"/>
        <v>Kitchen&amp;HomeAppliances</v>
      </c>
      <c r="F1132" s="2">
        <v>3249.0</v>
      </c>
      <c r="G1132" s="2">
        <v>6295.0</v>
      </c>
      <c r="H1132" s="3">
        <f t="shared" si="4"/>
        <v>0.4838760921</v>
      </c>
      <c r="I1132" s="4">
        <f>IFERROR(__xludf.DUMMYFUNCTION("GOOGLEFINANCE(""CURRENCY:INRBRL"")*F1132"),193.8948707772)</f>
        <v>193.8948708</v>
      </c>
      <c r="J1132" s="1">
        <v>4.52</v>
      </c>
      <c r="K1132" s="1">
        <v>4307.0</v>
      </c>
      <c r="L1132" s="1" t="s">
        <v>4309</v>
      </c>
      <c r="M1132" s="6" t="s">
        <v>4310</v>
      </c>
      <c r="N1132" s="7" t="str">
        <f>VLOOKUP(A1132, avaliacoes!A:G, 5, FALSE)</f>
        <v>Juicer is not effective,Ok good,Products quality very  good,Coupler stopped working within 2 months of buying,It is good,Good to buy,Good,Weight less</v>
      </c>
      <c r="O1132" s="7" t="str">
        <f>VLOOKUP(A1132, avaliacoes!A:G, 6, FALSE)</f>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v>
      </c>
    </row>
    <row r="1133">
      <c r="A1133" s="1" t="s">
        <v>4311</v>
      </c>
      <c r="B1133" s="1" t="s">
        <v>4312</v>
      </c>
      <c r="C1133" s="1" t="s">
        <v>3914</v>
      </c>
      <c r="D1133" s="1" t="str">
        <f t="shared" si="2"/>
        <v>Home&amp;Kitchen</v>
      </c>
      <c r="E1133" s="1" t="str">
        <f t="shared" si="3"/>
        <v>Kitchen&amp;HomeAppliances</v>
      </c>
      <c r="F1133" s="2">
        <v>3599.0</v>
      </c>
      <c r="G1133" s="2">
        <v>9455.0</v>
      </c>
      <c r="H1133" s="3">
        <f t="shared" si="4"/>
        <v>0.6193548387</v>
      </c>
      <c r="I1133" s="4">
        <f>IFERROR(__xludf.DUMMYFUNCTION("GOOGLEFINANCE(""CURRENCY:INRBRL"")*F1133"),214.7822837572)</f>
        <v>214.7822838</v>
      </c>
      <c r="J1133" s="1">
        <v>4.49</v>
      </c>
      <c r="K1133" s="1">
        <v>11828.0</v>
      </c>
      <c r="L1133" s="1" t="s">
        <v>4313</v>
      </c>
      <c r="M1133" s="6" t="s">
        <v>4314</v>
      </c>
      <c r="N1133" s="7" t="str">
        <f>VLOOKUP(A1133, avaliacoes!A:G, 5, FALSE)</f>
        <v>My sister is very happy with the performance of this item . Good buy and good deal,Product is good,Good,Great product,Good product,Good quality product but price is too high,Value for money,Good</v>
      </c>
      <c r="O1133" s="7" t="str">
        <f>VLOOKUP(A1133, avaliacoes!A:G, 6, FALSE)</f>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v>
      </c>
    </row>
    <row r="1134">
      <c r="A1134" s="1" t="s">
        <v>4315</v>
      </c>
      <c r="B1134" s="1" t="s">
        <v>4316</v>
      </c>
      <c r="C1134" s="1" t="s">
        <v>4049</v>
      </c>
      <c r="D1134" s="1" t="str">
        <f t="shared" si="2"/>
        <v>Home&amp;Kitchen</v>
      </c>
      <c r="E1134" s="1" t="str">
        <f t="shared" si="3"/>
        <v>Kitchen&amp;HomeAppliances</v>
      </c>
      <c r="F1134" s="2">
        <v>368.0</v>
      </c>
      <c r="G1134" s="2">
        <v>699.0</v>
      </c>
      <c r="H1134" s="3">
        <f t="shared" si="4"/>
        <v>0.4735336195</v>
      </c>
      <c r="I1134" s="4">
        <f>IFERROR(__xludf.DUMMYFUNCTION("GOOGLEFINANCE(""CURRENCY:INRBRL"")*F1134"),21.9616227904)</f>
        <v>21.96162279</v>
      </c>
      <c r="J1134" s="1">
        <v>4.49</v>
      </c>
      <c r="K1134" s="1">
        <v>124.0</v>
      </c>
      <c r="L1134" s="1" t="s">
        <v>4317</v>
      </c>
      <c r="M1134" s="6" t="s">
        <v>4318</v>
      </c>
      <c r="N1134" s="7" t="str">
        <f>VLOOKUP(A1134, avaliacoes!A:G, 5, FALSE)</f>
        <v>Highly displayed,Very convenient for egg boiling,Good produvt,Good,Nice 👍👍👍👍👍,Fitting issue,Quality of item,Auto-cut stopped working after 10 days</v>
      </c>
      <c r="O1134" s="7" t="str">
        <f>VLOOKUP(A1134, avaliacoes!A:G, 6, FALSE)</f>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v>
      </c>
    </row>
    <row r="1135">
      <c r="A1135" s="1" t="s">
        <v>4319</v>
      </c>
      <c r="B1135" s="1" t="s">
        <v>4320</v>
      </c>
      <c r="C1135" s="1" t="s">
        <v>3914</v>
      </c>
      <c r="D1135" s="1" t="str">
        <f t="shared" si="2"/>
        <v>Home&amp;Kitchen</v>
      </c>
      <c r="E1135" s="1" t="str">
        <f t="shared" si="3"/>
        <v>Kitchen&amp;HomeAppliances</v>
      </c>
      <c r="F1135" s="2">
        <v>3199.0</v>
      </c>
      <c r="G1135" s="2">
        <v>4999.0</v>
      </c>
      <c r="H1135" s="3">
        <f t="shared" si="4"/>
        <v>0.3600720144</v>
      </c>
      <c r="I1135" s="4">
        <f>IFERROR(__xludf.DUMMYFUNCTION("GOOGLEFINANCE(""CURRENCY:INRBRL"")*F1135"),190.91095463719998)</f>
        <v>190.9109546</v>
      </c>
      <c r="J1135" s="1">
        <v>4.0</v>
      </c>
      <c r="K1135" s="1">
        <v>20869.0</v>
      </c>
      <c r="L1135" s="1" t="s">
        <v>4321</v>
      </c>
      <c r="M1135" s="6" t="s">
        <v>4322</v>
      </c>
      <c r="N1135" s="7" t="str">
        <f>VLOOKUP(A1135, avaliacoes!A:G, 5, FALSE)</f>
        <v>5 star,LED light is not there.,Nice look,Better,Nice,Worthy product,Nice product,Noice very high improve that first priority</v>
      </c>
      <c r="O1135" s="7" t="str">
        <f>VLOOKUP(A1135, avaliacoes!A:G, 6, FALSE)</f>
        <v>Superb,,Easy to use and low sound hearing good look,Value of the money,Good product,Fine grinding,Nice product,Good</v>
      </c>
    </row>
    <row r="1136">
      <c r="A1136" s="1" t="s">
        <v>4323</v>
      </c>
      <c r="B1136" s="1" t="s">
        <v>4324</v>
      </c>
      <c r="C1136" s="1" t="s">
        <v>4325</v>
      </c>
      <c r="D1136" s="1" t="str">
        <f t="shared" si="2"/>
        <v>Home&amp;Kitchen</v>
      </c>
      <c r="E1136" s="1" t="str">
        <f t="shared" si="3"/>
        <v>Kitchen&amp;HomeAppliances</v>
      </c>
      <c r="F1136" s="2">
        <v>1599.0</v>
      </c>
      <c r="G1136" s="2">
        <v>2999.0</v>
      </c>
      <c r="H1136" s="3">
        <f t="shared" si="4"/>
        <v>0.4668222741</v>
      </c>
      <c r="I1136" s="4">
        <f>IFERROR(__xludf.DUMMYFUNCTION("GOOGLEFINANCE(""CURRENCY:INRBRL"")*F1136"),95.4256381572)</f>
        <v>95.42563816</v>
      </c>
      <c r="J1136" s="1">
        <v>4.51</v>
      </c>
      <c r="K1136" s="1">
        <v>441.0</v>
      </c>
      <c r="L1136" s="1" t="s">
        <v>4326</v>
      </c>
      <c r="M1136" s="6" t="s">
        <v>4327</v>
      </c>
      <c r="N1136" s="7" t="str">
        <f>VLOOKUP(A1136, avaliacoes!A:G, 5, FALSE)</f>
        <v>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v>
      </c>
      <c r="O1136" s="7" t="str">
        <f>VLOOKUP(A1136, avaliacoes!A:G, 6, FALSE)</f>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v>
      </c>
    </row>
    <row r="1137">
      <c r="A1137" s="1" t="s">
        <v>4328</v>
      </c>
      <c r="B1137" s="1" t="s">
        <v>4329</v>
      </c>
      <c r="C1137" s="1" t="s">
        <v>3904</v>
      </c>
      <c r="D1137" s="1" t="str">
        <f t="shared" si="2"/>
        <v>Home&amp;Kitchen</v>
      </c>
      <c r="E1137" s="1" t="str">
        <f t="shared" si="3"/>
        <v>Kitchen&amp;HomeAppliances</v>
      </c>
      <c r="F1137" s="2">
        <v>1999.0</v>
      </c>
      <c r="G1137" s="2">
        <v>2499.0</v>
      </c>
      <c r="H1137" s="3">
        <f t="shared" si="4"/>
        <v>0.200080032</v>
      </c>
      <c r="I1137" s="4">
        <f>IFERROR(__xludf.DUMMYFUNCTION("GOOGLEFINANCE(""CURRENCY:INRBRL"")*F1137"),119.2969672772)</f>
        <v>119.2969673</v>
      </c>
      <c r="J1137" s="1">
        <v>4.49</v>
      </c>
      <c r="K1137" s="1">
        <v>1034.0</v>
      </c>
      <c r="L1137" s="1" t="s">
        <v>4330</v>
      </c>
      <c r="M1137" s="6" t="s">
        <v>4331</v>
      </c>
      <c r="N1137" s="7" t="str">
        <f>VLOOKUP(A1137, avaliacoes!A:G, 5, FALSE)</f>
        <v>Great for smoothies and shakes,Very good products,Very nice portable and easy to wash blender,Good product,Great build quality,Good,This  item made my day,Good product</v>
      </c>
      <c r="O1137" s="7" t="str">
        <f>VLOOKUP(A1137, avaliacoes!A:G, 6, FALSE)</f>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v>
      </c>
    </row>
    <row r="1138">
      <c r="A1138" s="1" t="s">
        <v>4332</v>
      </c>
      <c r="B1138" s="1" t="s">
        <v>4333</v>
      </c>
      <c r="C1138" s="1" t="s">
        <v>3909</v>
      </c>
      <c r="D1138" s="1" t="str">
        <f t="shared" si="2"/>
        <v>Home&amp;Kitchen</v>
      </c>
      <c r="E1138" s="1" t="str">
        <f t="shared" si="3"/>
        <v>Kitchen&amp;HomeAppliances</v>
      </c>
      <c r="F1138" s="2">
        <v>616.0</v>
      </c>
      <c r="G1138" s="2">
        <v>1199.0</v>
      </c>
      <c r="H1138" s="3">
        <f t="shared" si="4"/>
        <v>0.4862385321</v>
      </c>
      <c r="I1138" s="4">
        <f>IFERROR(__xludf.DUMMYFUNCTION("GOOGLEFINANCE(""CURRENCY:INRBRL"")*F1138"),36.7618468448)</f>
        <v>36.76184684</v>
      </c>
      <c r="J1138" s="1">
        <v>4.49</v>
      </c>
      <c r="K1138" s="1">
        <v>37126.0</v>
      </c>
      <c r="L1138" s="1" t="s">
        <v>4334</v>
      </c>
      <c r="M1138" s="6" t="s">
        <v>4335</v>
      </c>
      <c r="N1138" s="7" t="str">
        <f>VLOOKUP(A1138, avaliacoes!A:G, 5, FALSE)</f>
        <v>Lightweight Dry Iron,Best Iron on cheap rate,Simple and good,Good Product in this price range. However, I recevied a bit damaged product at the handle.,Good,Amazing product,Hot11,Not happy with performance</v>
      </c>
      <c r="O1138" s="7" t="str">
        <f>VLOOKUP(A1138, avaliacoes!A:G, 6, FALSE)</f>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v>
      </c>
    </row>
    <row r="1139">
      <c r="A1139" s="1" t="s">
        <v>4336</v>
      </c>
      <c r="B1139" s="1" t="s">
        <v>4337</v>
      </c>
      <c r="C1139" s="1" t="s">
        <v>3904</v>
      </c>
      <c r="D1139" s="1" t="str">
        <f t="shared" si="2"/>
        <v>Home&amp;Kitchen</v>
      </c>
      <c r="E1139" s="1" t="str">
        <f t="shared" si="3"/>
        <v>Kitchen&amp;HomeAppliances</v>
      </c>
      <c r="F1139" s="2">
        <v>1499.0</v>
      </c>
      <c r="G1139" s="2">
        <v>2099.0</v>
      </c>
      <c r="H1139" s="3">
        <f t="shared" si="4"/>
        <v>0.285850405</v>
      </c>
      <c r="I1139" s="4">
        <f>IFERROR(__xludf.DUMMYFUNCTION("GOOGLEFINANCE(""CURRENCY:INRBRL"")*F1139"),89.45780587719999)</f>
        <v>89.45780588</v>
      </c>
      <c r="J1139" s="1">
        <v>4.49</v>
      </c>
      <c r="K1139" s="1">
        <v>6355.0</v>
      </c>
      <c r="L1139" s="1" t="s">
        <v>4338</v>
      </c>
      <c r="M1139" s="6" t="s">
        <v>4339</v>
      </c>
      <c r="N1139" s="7" t="str">
        <f>VLOOKUP(A1139, avaliacoes!A:G, 5, FALSE)</f>
        <v>Good product,Working fine,Best hand blender,Good product,Nice product,Good Product,Nice gadget for simple use.,Defected product recieved have put it on replacement</v>
      </c>
      <c r="O1139" s="7" t="str">
        <f>VLOOKUP(A1139, avaliacoes!A:G, 6, FALSE)</f>
        <v>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v>
      </c>
    </row>
    <row r="1140">
      <c r="A1140" s="1" t="s">
        <v>4340</v>
      </c>
      <c r="B1140" s="1" t="s">
        <v>4341</v>
      </c>
      <c r="C1140" s="1" t="s">
        <v>4153</v>
      </c>
      <c r="D1140" s="1" t="str">
        <f t="shared" si="2"/>
        <v>Home&amp;Kitchen</v>
      </c>
      <c r="E1140" s="1" t="str">
        <f t="shared" si="3"/>
        <v>Kitchen&amp;HomeAppliances</v>
      </c>
      <c r="F1140" s="2">
        <v>199.0</v>
      </c>
      <c r="G1140" s="2">
        <v>499.0</v>
      </c>
      <c r="H1140" s="3">
        <f t="shared" si="4"/>
        <v>0.6012024048</v>
      </c>
      <c r="I1140" s="4">
        <f>IFERROR(__xludf.DUMMYFUNCTION("GOOGLEFINANCE(""CURRENCY:INRBRL"")*F1140"),11.8759862372)</f>
        <v>11.87598624</v>
      </c>
      <c r="J1140" s="1">
        <v>4.5</v>
      </c>
      <c r="K1140" s="1">
        <v>12.0</v>
      </c>
      <c r="L1140" s="1" t="s">
        <v>4342</v>
      </c>
      <c r="M1140" s="6" t="s">
        <v>4343</v>
      </c>
      <c r="N1140" s="7" t="str">
        <f>VLOOKUP(A1140, avaliacoes!A:G, 5, FALSE)</f>
        <v>Very useful product and value for money,Not working,Don't buy,Valuable product,Not working useless product,Return</v>
      </c>
      <c r="O1140" s="7" t="str">
        <f>VLOOKUP(A1140, avaliacoes!A:G, 6, FALSE)</f>
        <v>Very useful product and value for money,Its not working,Don't buy,We vacuum-sealed ground beef, walnuts, raspberries, pork chops, crackers, and chips to test for suction capability, sealing strength, and ease of use.,Tried many times but still not working useless,</v>
      </c>
    </row>
    <row r="1141">
      <c r="A1141" s="1" t="s">
        <v>4344</v>
      </c>
      <c r="B1141" s="1" t="s">
        <v>4345</v>
      </c>
      <c r="C1141" s="1" t="s">
        <v>3971</v>
      </c>
      <c r="D1141" s="1" t="str">
        <f t="shared" si="2"/>
        <v>Home&amp;Kitchen</v>
      </c>
      <c r="E1141" s="1" t="str">
        <f t="shared" si="3"/>
        <v>Heating,Cooling&amp;AirQuality</v>
      </c>
      <c r="F1141" s="2">
        <v>610.0</v>
      </c>
      <c r="G1141" s="2">
        <v>825.0</v>
      </c>
      <c r="H1141" s="3">
        <f t="shared" si="4"/>
        <v>0.2606060606</v>
      </c>
      <c r="I1141" s="4">
        <f>IFERROR(__xludf.DUMMYFUNCTION("GOOGLEFINANCE(""CURRENCY:INRBRL"")*F1141"),36.403776908)</f>
        <v>36.40377691</v>
      </c>
      <c r="J1141" s="1">
        <v>4.49</v>
      </c>
      <c r="K1141" s="1">
        <v>13165.0</v>
      </c>
      <c r="L1141" s="1" t="s">
        <v>4346</v>
      </c>
      <c r="M1141" s="6" t="s">
        <v>4347</v>
      </c>
      <c r="N1141" s="7" t="str">
        <f>VLOOKUP(A1141, avaliacoes!A:G, 5, FALSE)</f>
        <v>It costs Rs 500 in local electric shop,Good product 👌,It's really a good product, required a better holding to pull it back from socket,Nice and excellent quality,Easy use,Nice product,Nice Product,Plug size</v>
      </c>
      <c r="O1141" s="7" t="str">
        <f>VLOOKUP(A1141, avaliacoes!A:G, 6, FALSE)</f>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v>
      </c>
    </row>
    <row r="1142">
      <c r="A1142" s="1" t="s">
        <v>4348</v>
      </c>
      <c r="B1142" s="1" t="s">
        <v>4349</v>
      </c>
      <c r="C1142" s="1" t="s">
        <v>4115</v>
      </c>
      <c r="D1142" s="1" t="str">
        <f t="shared" si="2"/>
        <v>Home&amp;Kitchen</v>
      </c>
      <c r="E1142" s="1" t="str">
        <f t="shared" si="3"/>
        <v>Kitchen&amp;HomeAppliances</v>
      </c>
      <c r="F1142" s="2">
        <v>999.0</v>
      </c>
      <c r="G1142" s="2">
        <v>1499.0</v>
      </c>
      <c r="H1142" s="3">
        <f t="shared" si="4"/>
        <v>0.3335557038</v>
      </c>
      <c r="I1142" s="4">
        <f>IFERROR(__xludf.DUMMYFUNCTION("GOOGLEFINANCE(""CURRENCY:INRBRL"")*F1142"),59.61864447719999)</f>
        <v>59.61864448</v>
      </c>
      <c r="J1142" s="1">
        <v>4.49</v>
      </c>
      <c r="K1142" s="1">
        <v>1646.0</v>
      </c>
      <c r="L1142" s="1" t="s">
        <v>4350</v>
      </c>
      <c r="M1142" s="6" t="s">
        <v>4351</v>
      </c>
      <c r="N1142" s="7" t="str">
        <f>VLOOKUP(A1142, avaliacoes!A:G, 5, FALSE)</f>
        <v>Cute n handy product for small family ☺️,Good for small items,Easy to work with,Good product.....,Very good product,Compact for travel,very good,Ok</v>
      </c>
      <c r="O1142" s="7" t="str">
        <f>VLOOKUP(A1142, avaliacoes!A:G, 6, FALSE)</f>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v>
      </c>
    </row>
    <row r="1143">
      <c r="A1143" s="1" t="s">
        <v>4352</v>
      </c>
      <c r="B1143" s="1" t="s">
        <v>4353</v>
      </c>
      <c r="C1143" s="1" t="s">
        <v>4171</v>
      </c>
      <c r="D1143" s="1" t="str">
        <f t="shared" si="2"/>
        <v>Home&amp;Kitchen</v>
      </c>
      <c r="E1143" s="1" t="str">
        <f t="shared" si="3"/>
        <v>Kitchen&amp;HomeAppliances</v>
      </c>
      <c r="F1143" s="2">
        <v>8999.0</v>
      </c>
      <c r="G1143" s="2">
        <v>9995.0</v>
      </c>
      <c r="H1143" s="3">
        <f t="shared" si="4"/>
        <v>0.09964982491</v>
      </c>
      <c r="I1143" s="4">
        <f>IFERROR(__xludf.DUMMYFUNCTION("GOOGLEFINANCE(""CURRENCY:INRBRL"")*F1143"),537.0452268772)</f>
        <v>537.0452269</v>
      </c>
      <c r="J1143" s="1">
        <v>4.5</v>
      </c>
      <c r="K1143" s="1">
        <v>17994.0</v>
      </c>
      <c r="L1143" s="1" t="s">
        <v>4354</v>
      </c>
      <c r="M1143" s="6" t="s">
        <v>4355</v>
      </c>
      <c r="N1143" s="7" t="str">
        <f>VLOOKUP(A1143, avaliacoes!A:G, 5, FALSE)</f>
        <v>Hassle free bagless vacuum cleaner | No more of maintaining/cleaning/replacing bags,Nice little vacuum cleaner but with a couple of drawbacks.,Simple and Effective,A,On the heavier side but satisfied with the product,Good quality, heavy noise,Great Product!,Awesome Cleaning Machine</v>
      </c>
      <c r="O1143" s="7" t="str">
        <f>VLOOKUP(A1143, avaliacoes!A:G, 6, FALSE)</f>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v>
      </c>
    </row>
    <row r="1144">
      <c r="A1144" s="1" t="s">
        <v>4356</v>
      </c>
      <c r="B1144" s="1" t="s">
        <v>4357</v>
      </c>
      <c r="C1144" s="1" t="s">
        <v>3856</v>
      </c>
      <c r="D1144" s="1" t="str">
        <f t="shared" si="2"/>
        <v>Home&amp;Kitchen</v>
      </c>
      <c r="E1144" s="1" t="str">
        <f t="shared" si="3"/>
        <v>Kitchen&amp;HomeAppliances</v>
      </c>
      <c r="F1144" s="2">
        <v>453.0</v>
      </c>
      <c r="G1144" s="2">
        <v>999.0</v>
      </c>
      <c r="H1144" s="3">
        <f t="shared" si="4"/>
        <v>0.5465465465</v>
      </c>
      <c r="I1144" s="4">
        <f>IFERROR(__xludf.DUMMYFUNCTION("GOOGLEFINANCE(""CURRENCY:INRBRL"")*F1144"),27.034280228399997)</f>
        <v>27.03428023</v>
      </c>
      <c r="J1144" s="1">
        <v>4.5</v>
      </c>
      <c r="K1144" s="1">
        <v>610.0</v>
      </c>
      <c r="L1144" s="1" t="s">
        <v>4358</v>
      </c>
      <c r="M1144" s="6" t="s">
        <v>4359</v>
      </c>
      <c r="N1144" s="7" t="str">
        <f>VLOOKUP(A1144, avaliacoes!A:G, 5, FALSE)</f>
        <v>Good one,It’s effective,Amazing product for lint removal,Must for every household,Best use,Amazing product,Good product and easy to use,Easy to use</v>
      </c>
      <c r="O1144" s="7" t="str">
        <f>VLOOKUP(A1144, avaliacoes!A:G, 6, FALSE)</f>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v>
      </c>
    </row>
    <row r="1145">
      <c r="A1145" s="1" t="s">
        <v>4360</v>
      </c>
      <c r="B1145" s="1" t="s">
        <v>4361</v>
      </c>
      <c r="C1145" s="1" t="s">
        <v>3914</v>
      </c>
      <c r="D1145" s="1" t="str">
        <f t="shared" si="2"/>
        <v>Home&amp;Kitchen</v>
      </c>
      <c r="E1145" s="1" t="str">
        <f t="shared" si="3"/>
        <v>Kitchen&amp;HomeAppliances</v>
      </c>
      <c r="F1145" s="2">
        <v>2464.0</v>
      </c>
      <c r="G1145" s="2">
        <v>5999.0</v>
      </c>
      <c r="H1145" s="3">
        <f t="shared" si="4"/>
        <v>0.5892648775</v>
      </c>
      <c r="I1145" s="4">
        <f>IFERROR(__xludf.DUMMYFUNCTION("GOOGLEFINANCE(""CURRENCY:INRBRL"")*F1145"),147.0473873792)</f>
        <v>147.0473874</v>
      </c>
      <c r="J1145" s="1">
        <v>4.49</v>
      </c>
      <c r="K1145" s="1">
        <v>8866.0</v>
      </c>
      <c r="L1145" s="1" t="s">
        <v>4362</v>
      </c>
      <c r="M1145" s="6" t="s">
        <v>4363</v>
      </c>
      <c r="N1145" s="7" t="str">
        <f>VLOOKUP(A1145, avaliacoes!A:G, 5, FALSE)</f>
        <v>Worth for money and best customer service.,Good buy,Helpful.. customer care amazing,Good performance with less space,Best suited for bachelors,Best mixer grinder for small daily kitchen requirement..,Happy with cookwell☺,Nice product</v>
      </c>
      <c r="O1145" s="7" t="str">
        <f>VLOOKUP(A1145, avaliacoes!A:G, 6, FALSE)</f>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v>
      </c>
    </row>
    <row r="1146">
      <c r="A1146" s="1" t="s">
        <v>4364</v>
      </c>
      <c r="B1146" s="1" t="s">
        <v>4365</v>
      </c>
      <c r="C1146" s="1" t="s">
        <v>4325</v>
      </c>
      <c r="D1146" s="1" t="str">
        <f t="shared" si="2"/>
        <v>Home&amp;Kitchen</v>
      </c>
      <c r="E1146" s="1" t="str">
        <f t="shared" si="3"/>
        <v>Kitchen&amp;HomeAppliances</v>
      </c>
      <c r="F1146" s="2">
        <v>2719.0</v>
      </c>
      <c r="G1146" s="2">
        <v>3945.0</v>
      </c>
      <c r="H1146" s="3">
        <f t="shared" si="4"/>
        <v>0.3107731305</v>
      </c>
      <c r="I1146" s="4">
        <f>IFERROR(__xludf.DUMMYFUNCTION("GOOGLEFINANCE(""CURRENCY:INRBRL"")*F1146"),162.2653596932)</f>
        <v>162.2653597</v>
      </c>
      <c r="J1146" s="1">
        <v>4.51</v>
      </c>
      <c r="K1146" s="1">
        <v>13406.0</v>
      </c>
      <c r="L1146" s="1" t="s">
        <v>4366</v>
      </c>
      <c r="M1146" s="6" t="s">
        <v>4367</v>
      </c>
      <c r="N1146" s="7" t="str">
        <f>VLOOKUP(A1146, avaliacoes!A:G, 5, FALSE)</f>
        <v>Totally simple and good product,Good,Normal,Rice cooker is good,Excellent product,Gud product,Power,Good product</v>
      </c>
      <c r="O1146" s="7" t="str">
        <f>VLOOKUP(A1146, avaliacoes!A:G, 6, FALSE)</f>
        <v>We are using it for cooking rice,,Its getting repair regularly,Recently I buy new rice cooker it is average,Excellent product,Very good product,Power adapter is not working pins are gone wrong. Remaking all are good,Like</v>
      </c>
    </row>
    <row r="1147">
      <c r="A1147" s="1" t="s">
        <v>4368</v>
      </c>
      <c r="B1147" s="1" t="s">
        <v>4369</v>
      </c>
      <c r="C1147" s="1" t="s">
        <v>3919</v>
      </c>
      <c r="D1147" s="1" t="str">
        <f t="shared" si="2"/>
        <v>Home&amp;Kitchen</v>
      </c>
      <c r="E1147" s="1" t="str">
        <f t="shared" si="3"/>
        <v>Heating,Cooling&amp;AirQuality</v>
      </c>
      <c r="F1147" s="2">
        <v>1439.0</v>
      </c>
      <c r="G1147" s="2">
        <v>1999.0</v>
      </c>
      <c r="H1147" s="3">
        <f t="shared" si="4"/>
        <v>0.28014007</v>
      </c>
      <c r="I1147" s="4">
        <f>IFERROR(__xludf.DUMMYFUNCTION("GOOGLEFINANCE(""CURRENCY:INRBRL"")*F1147"),85.87710650919999)</f>
        <v>85.87710651</v>
      </c>
      <c r="J1147" s="1">
        <v>4.51</v>
      </c>
      <c r="K1147" s="1">
        <v>53803.0</v>
      </c>
      <c r="L1147" s="1" t="s">
        <v>4370</v>
      </c>
      <c r="M1147" s="6" t="s">
        <v>4371</v>
      </c>
      <c r="N1147" s="7" t="str">
        <f>VLOOKUP(A1147, avaliacoes!A:G, 5, FALSE)</f>
        <v>Best Product,It’s expansive but it works well upto 800sqft area,Great product</v>
      </c>
      <c r="O1147" s="7" t="str">
        <f>VLOOKUP(A1147, avaliacoes!A:G, 6, FALSE)</f>
        <v>Must buy best Fabulous product I recommend this👍👍,For small place it’s gud,A great product. Works wonders on my vitrified tile floors.</v>
      </c>
    </row>
    <row r="1148">
      <c r="A1148" s="1" t="s">
        <v>4372</v>
      </c>
      <c r="B1148" s="1" t="s">
        <v>4373</v>
      </c>
      <c r="C1148" s="1" t="s">
        <v>3904</v>
      </c>
      <c r="D1148" s="1" t="str">
        <f t="shared" si="2"/>
        <v>Home&amp;Kitchen</v>
      </c>
      <c r="E1148" s="1" t="str">
        <f t="shared" si="3"/>
        <v>Kitchen&amp;HomeAppliances</v>
      </c>
      <c r="F1148" s="2">
        <v>2799.0</v>
      </c>
      <c r="G1148" s="2">
        <v>3499.0</v>
      </c>
      <c r="H1148" s="3">
        <f t="shared" si="4"/>
        <v>0.2000571592</v>
      </c>
      <c r="I1148" s="4">
        <f>IFERROR(__xludf.DUMMYFUNCTION("GOOGLEFINANCE(""CURRENCY:INRBRL"")*F1148"),167.0396255172)</f>
        <v>167.0396255</v>
      </c>
      <c r="J1148" s="1">
        <v>4.51</v>
      </c>
      <c r="K1148" s="1">
        <v>546.0</v>
      </c>
      <c r="L1148" s="1" t="s">
        <v>4374</v>
      </c>
      <c r="M1148" s="6" t="s">
        <v>4375</v>
      </c>
      <c r="N1148" s="7" t="str">
        <f>VLOOKUP(A1148, avaliacoes!A:G, 5, FALSE)</f>
        <v>Bottom Lid should have provided,Good product... Compact.... Battery has less strength....,Easy to use, to carry and quality 👌,Good for smoothies..,Nice one,Worth it for a person living in PG.,Good,Ok for the Price. Not something perfect</v>
      </c>
      <c r="O1148" s="7" t="str">
        <f>VLOOKUP(A1148, avaliacoes!A:G, 6, FALSE)</f>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v>
      </c>
    </row>
    <row r="1149">
      <c r="A1149" s="1" t="s">
        <v>4376</v>
      </c>
      <c r="B1149" s="1" t="s">
        <v>4377</v>
      </c>
      <c r="C1149" s="1" t="s">
        <v>3919</v>
      </c>
      <c r="D1149" s="1" t="str">
        <f t="shared" si="2"/>
        <v>Home&amp;Kitchen</v>
      </c>
      <c r="E1149" s="1" t="str">
        <f t="shared" si="3"/>
        <v>Heating,Cooling&amp;AirQuality</v>
      </c>
      <c r="F1149" s="2">
        <v>2088.0</v>
      </c>
      <c r="G1149" s="2">
        <v>5559.0</v>
      </c>
      <c r="H1149" s="3">
        <f t="shared" si="4"/>
        <v>0.6243928764</v>
      </c>
      <c r="I1149" s="4">
        <f>IFERROR(__xludf.DUMMYFUNCTION("GOOGLEFINANCE(""CURRENCY:INRBRL"")*F1149"),124.60833800639999)</f>
        <v>124.608338</v>
      </c>
      <c r="J1149" s="1">
        <v>4.0</v>
      </c>
      <c r="K1149" s="1">
        <v>5292.0</v>
      </c>
      <c r="L1149" s="1" t="s">
        <v>4378</v>
      </c>
      <c r="M1149" s="6" t="s">
        <v>4379</v>
      </c>
      <c r="N1149" s="7" t="str">
        <f>VLOOKUP(A1149, avaliacoes!A:G, 5, FALSE)</f>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v>
      </c>
      <c r="O1149" s="7" t="str">
        <f>VLOOKUP(A1149, avaliacoes!A:G, 6, FALSE)</f>
        <v>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v>
      </c>
    </row>
    <row r="1150">
      <c r="A1150" s="1" t="s">
        <v>4380</v>
      </c>
      <c r="B1150" s="1" t="s">
        <v>4381</v>
      </c>
      <c r="C1150" s="1" t="s">
        <v>3919</v>
      </c>
      <c r="D1150" s="1" t="str">
        <f t="shared" si="2"/>
        <v>Home&amp;Kitchen</v>
      </c>
      <c r="E1150" s="1" t="str">
        <f t="shared" si="3"/>
        <v>Heating,Cooling&amp;AirQuality</v>
      </c>
      <c r="F1150" s="2">
        <v>2399.0</v>
      </c>
      <c r="G1150" s="2">
        <v>4599.0</v>
      </c>
      <c r="H1150" s="3">
        <f t="shared" si="4"/>
        <v>0.4783648619</v>
      </c>
      <c r="I1150" s="4">
        <f>IFERROR(__xludf.DUMMYFUNCTION("GOOGLEFINANCE(""CURRENCY:INRBRL"")*F1150"),143.16829639719998)</f>
        <v>143.1682964</v>
      </c>
      <c r="J1150" s="1">
        <v>4.49</v>
      </c>
      <c r="K1150" s="1">
        <v>444.0</v>
      </c>
      <c r="L1150" s="1" t="s">
        <v>4382</v>
      </c>
      <c r="M1150" s="6" t="s">
        <v>4383</v>
      </c>
      <c r="N1150" s="7" t="str">
        <f>VLOOKUP(A1150, avaliacoes!A:G, 5, FALSE)</f>
        <v>Good heater, and delivery and installation was easy,Good but comes without Plug,Nice,Bestbest,Good,Good product,Ok,Good</v>
      </c>
      <c r="O1150" s="7" t="str">
        <f>VLOOKUP(A1150, avaliacoes!A:G, 6, FALSE)</f>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v>
      </c>
    </row>
    <row r="1151">
      <c r="A1151" s="1" t="s">
        <v>4384</v>
      </c>
      <c r="B1151" s="1" t="s">
        <v>4385</v>
      </c>
      <c r="C1151" s="1" t="s">
        <v>3861</v>
      </c>
      <c r="D1151" s="1" t="str">
        <f t="shared" si="2"/>
        <v>Home&amp;Kitchen</v>
      </c>
      <c r="E1151" s="1" t="str">
        <f t="shared" si="3"/>
        <v>Kitchen&amp;HomeAppliances</v>
      </c>
      <c r="F1151" s="2">
        <v>308.0</v>
      </c>
      <c r="G1151" s="2">
        <v>499.0</v>
      </c>
      <c r="H1151" s="3">
        <f t="shared" si="4"/>
        <v>0.3827655311</v>
      </c>
      <c r="I1151" s="4">
        <f>IFERROR(__xludf.DUMMYFUNCTION("GOOGLEFINANCE(""CURRENCY:INRBRL"")*F1151"),18.3809234224)</f>
        <v>18.38092342</v>
      </c>
      <c r="J1151" s="1">
        <v>4.52</v>
      </c>
      <c r="K1151" s="1">
        <v>4584.0</v>
      </c>
      <c r="L1151" s="1" t="s">
        <v>4386</v>
      </c>
      <c r="M1151" s="6" t="s">
        <v>4387</v>
      </c>
      <c r="N1151" s="7" t="str">
        <f>VLOOKUP(A1151, avaliacoes!A:G, 5, FALSE)</f>
        <v>OK Product.,Good &amp; accurate,Not working inaccuracy,Ok for approximate weight estimation,Stopped working,Works just fine,but needs to be handled very carefully,Cheap qulity but accurate,Good Product</v>
      </c>
      <c r="O1151" s="7" t="str">
        <f>VLOOKUP(A1151, avaliacoes!A:G, 6, FALSE)</f>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v>
      </c>
    </row>
    <row r="1152">
      <c r="A1152" s="1" t="s">
        <v>4388</v>
      </c>
      <c r="B1152" s="1" t="s">
        <v>4389</v>
      </c>
      <c r="C1152" s="1" t="s">
        <v>3919</v>
      </c>
      <c r="D1152" s="1" t="str">
        <f t="shared" si="2"/>
        <v>Home&amp;Kitchen</v>
      </c>
      <c r="E1152" s="1" t="str">
        <f t="shared" si="3"/>
        <v>Heating,Cooling&amp;AirQuality</v>
      </c>
      <c r="F1152" s="2">
        <v>2599.0</v>
      </c>
      <c r="G1152" s="2">
        <v>4399.0</v>
      </c>
      <c r="H1152" s="3">
        <f t="shared" si="4"/>
        <v>0.4091839054</v>
      </c>
      <c r="I1152" s="4">
        <f>IFERROR(__xludf.DUMMYFUNCTION("GOOGLEFINANCE(""CURRENCY:INRBRL"")*F1152"),155.1039609572)</f>
        <v>155.103961</v>
      </c>
      <c r="J1152" s="1">
        <v>4.49</v>
      </c>
      <c r="K1152" s="1">
        <v>14947.0</v>
      </c>
      <c r="L1152" s="1" t="s">
        <v>4390</v>
      </c>
      <c r="M1152" s="6" t="s">
        <v>4391</v>
      </c>
      <c r="N1152" s="7" t="str">
        <f>VLOOKUP(A1152, avaliacoes!A:G, 5, FALSE)</f>
        <v>Cute design,worth buying.,Not good for bathing bucket,I bought it recently. Only using it for 3 days . Its okay till now, heating properly.. Good product.,More useful for kitchen use,Good one,Good product,Nice product easy to install and easy to operate</v>
      </c>
      <c r="O1152" s="7" t="str">
        <f>VLOOKUP(A1152, avaliacoes!A:G, 6, FALSE)</f>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v>
      </c>
    </row>
    <row r="1153">
      <c r="A1153" s="1" t="s">
        <v>4392</v>
      </c>
      <c r="B1153" s="1" t="s">
        <v>4393</v>
      </c>
      <c r="C1153" s="1" t="s">
        <v>3909</v>
      </c>
      <c r="D1153" s="1" t="str">
        <f t="shared" si="2"/>
        <v>Home&amp;Kitchen</v>
      </c>
      <c r="E1153" s="1" t="str">
        <f t="shared" si="3"/>
        <v>Kitchen&amp;HomeAppliances</v>
      </c>
      <c r="F1153" s="2">
        <v>479.0</v>
      </c>
      <c r="G1153" s="2">
        <v>999.0</v>
      </c>
      <c r="H1153" s="3">
        <f t="shared" si="4"/>
        <v>0.5205205205</v>
      </c>
      <c r="I1153" s="4">
        <f>IFERROR(__xludf.DUMMYFUNCTION("GOOGLEFINANCE(""CURRENCY:INRBRL"")*F1153"),28.5859166212)</f>
        <v>28.58591662</v>
      </c>
      <c r="J1153" s="1">
        <v>4.5</v>
      </c>
      <c r="K1153" s="1">
        <v>1559.0</v>
      </c>
      <c r="L1153" s="1" t="s">
        <v>4394</v>
      </c>
      <c r="M1153" s="6" t="s">
        <v>4395</v>
      </c>
      <c r="N1153" s="7" t="str">
        <f>VLOOKUP(A1153, avaliacoes!A:G, 5, FALSE)</f>
        <v>Nice,Nice buy,Good,Very nice,Good 😊,Value for money,Good,Get heat very fast but cold very fast</v>
      </c>
      <c r="O1153" s="7" t="str">
        <f>VLOOKUP(A1153, avaliacoes!A:G, 6, FALSE)</f>
        <v>Nice,Working good so far, provides instant heating!,Everage productCompair to prize,Super product thank you for croma,Decent,https://m.media-amazon.com/images/I/81n+UteNUzL._SY88.jpg,Good to handle and use...safe.. easily heat,Overall product is very good in this amount of money but get cold very fast</v>
      </c>
    </row>
    <row r="1154">
      <c r="A1154" s="1" t="s">
        <v>4396</v>
      </c>
      <c r="B1154" s="1" t="s">
        <v>4397</v>
      </c>
      <c r="C1154" s="1" t="s">
        <v>3856</v>
      </c>
      <c r="D1154" s="1" t="str">
        <f t="shared" si="2"/>
        <v>Home&amp;Kitchen</v>
      </c>
      <c r="E1154" s="1" t="str">
        <f t="shared" si="3"/>
        <v>Kitchen&amp;HomeAppliances</v>
      </c>
      <c r="F1154" s="2">
        <v>245.0</v>
      </c>
      <c r="G1154" s="2">
        <v>299.0</v>
      </c>
      <c r="H1154" s="3">
        <f t="shared" si="4"/>
        <v>0.1806020067</v>
      </c>
      <c r="I1154" s="4">
        <f>IFERROR(__xludf.DUMMYFUNCTION("GOOGLEFINANCE(""CURRENCY:INRBRL"")*F1154"),14.621189086)</f>
        <v>14.62118909</v>
      </c>
      <c r="J1154" s="1">
        <v>4.49</v>
      </c>
      <c r="K1154" s="1">
        <v>166.0</v>
      </c>
      <c r="L1154" s="1" t="s">
        <v>4398</v>
      </c>
      <c r="M1154" s="6" t="s">
        <v>4399</v>
      </c>
      <c r="N1154" s="7" t="str">
        <f>VLOOKUP(A1154, avaliacoes!A:G, 5, FALSE)</f>
        <v>Nice product,Removes the lightest of lint,Very good,Product is good but price is high,very very god product,Super,Good...,Amazing product</v>
      </c>
      <c r="O1154" s="7" t="str">
        <f>VLOOKUP(A1154, avaliacoes!A:G, 6, FALSE)</f>
        <v>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v>
      </c>
    </row>
    <row r="1155">
      <c r="A1155" s="1" t="s">
        <v>4400</v>
      </c>
      <c r="B1155" s="1" t="s">
        <v>4401</v>
      </c>
      <c r="C1155" s="1" t="s">
        <v>3856</v>
      </c>
      <c r="D1155" s="1" t="str">
        <f t="shared" si="2"/>
        <v>Home&amp;Kitchen</v>
      </c>
      <c r="E1155" s="1" t="str">
        <f t="shared" si="3"/>
        <v>Kitchen&amp;HomeAppliances</v>
      </c>
      <c r="F1155" s="2">
        <v>179.0</v>
      </c>
      <c r="G1155" s="2">
        <v>799.0</v>
      </c>
      <c r="H1155" s="3">
        <f t="shared" si="4"/>
        <v>0.7759699625</v>
      </c>
      <c r="I1155" s="4">
        <f>IFERROR(__xludf.DUMMYFUNCTION("GOOGLEFINANCE(""CURRENCY:INRBRL"")*F1155"),10.682419781199998)</f>
        <v>10.68241978</v>
      </c>
      <c r="J1155" s="1">
        <v>4.5</v>
      </c>
      <c r="K1155" s="1">
        <v>132.0</v>
      </c>
      <c r="L1155" s="1" t="s">
        <v>4402</v>
      </c>
      <c r="M1155" s="6" t="s">
        <v>4403</v>
      </c>
      <c r="N1155" s="7" t="str">
        <f>VLOOKUP(A1155, avaliacoes!A:G, 5, FALSE)</f>
        <v>Cannot extract small hair and takes lot of time,It's okay,Quality is not so good,Nice low range idea,Can be used only on velvet type material,below average,Wow. The first pet hair remover that actually works.,It works are advertised</v>
      </c>
      <c r="O1155" s="7" t="str">
        <f>VLOOKUP(A1155, avaliacoes!A:G, 6, FALSE)</f>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v>
      </c>
    </row>
    <row r="1156">
      <c r="A1156" s="1" t="s">
        <v>4404</v>
      </c>
      <c r="B1156" s="1" t="s">
        <v>4405</v>
      </c>
      <c r="C1156" s="1" t="s">
        <v>4158</v>
      </c>
      <c r="D1156" s="1" t="str">
        <f t="shared" si="2"/>
        <v>Home&amp;Kitchen</v>
      </c>
      <c r="E1156" s="1" t="str">
        <f t="shared" si="3"/>
        <v>Heating,Cooling&amp;AirQuality</v>
      </c>
      <c r="F1156" s="2">
        <v>3569.0</v>
      </c>
      <c r="G1156" s="2">
        <v>5199.0</v>
      </c>
      <c r="H1156" s="3">
        <f t="shared" si="4"/>
        <v>0.3135218311</v>
      </c>
      <c r="I1156" s="4">
        <f>IFERROR(__xludf.DUMMYFUNCTION("GOOGLEFINANCE(""CURRENCY:INRBRL"")*F1156"),212.99193407319999)</f>
        <v>212.9919341</v>
      </c>
      <c r="J1156" s="1">
        <v>4.5</v>
      </c>
      <c r="K1156" s="1">
        <v>28629.0</v>
      </c>
      <c r="L1156" s="1" t="s">
        <v>4406</v>
      </c>
      <c r="M1156" s="6" t="s">
        <v>4407</v>
      </c>
      <c r="N1156" s="7" t="str">
        <f>VLOOKUP(A1156, avaliacoes!A:G, 5, FALSE)</f>
        <v>They will charge you an additional ₹300/- for installation.,Good,yes,Er hardik trivedi,Noise problem due to magnets inside,Good,Easy to install like normal one,Ok 👍👍👍 ok</v>
      </c>
      <c r="O1156" s="7" t="str">
        <f>VLOOKUP(A1156, avaliacoes!A:G, 6, FALSE)</f>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v>
      </c>
    </row>
    <row r="1157">
      <c r="A1157" s="1" t="s">
        <v>4408</v>
      </c>
      <c r="B1157" s="1" t="s">
        <v>4409</v>
      </c>
      <c r="C1157" s="1" t="s">
        <v>3841</v>
      </c>
      <c r="D1157" s="1" t="str">
        <f t="shared" si="2"/>
        <v>Home&amp;Kitchen</v>
      </c>
      <c r="E1157" s="1" t="str">
        <f t="shared" si="3"/>
        <v>Kitchen&amp;HomeAppliances</v>
      </c>
      <c r="F1157" s="2">
        <v>699.0</v>
      </c>
      <c r="G1157" s="2">
        <v>1345.0</v>
      </c>
      <c r="H1157" s="3">
        <f t="shared" si="4"/>
        <v>0.4802973978</v>
      </c>
      <c r="I1157" s="4">
        <f>IFERROR(__xludf.DUMMYFUNCTION("GOOGLEFINANCE(""CURRENCY:INRBRL"")*F1157"),41.7151476372)</f>
        <v>41.71514764</v>
      </c>
      <c r="J1157" s="1">
        <v>4.52</v>
      </c>
      <c r="K1157" s="1">
        <v>8446.0</v>
      </c>
      <c r="L1157" s="1" t="s">
        <v>4410</v>
      </c>
      <c r="M1157" s="6" t="s">
        <v>4411</v>
      </c>
      <c r="N1157" s="7" t="str">
        <f>VLOOKUP(A1157, avaliacoes!A:G, 5, FALSE)</f>
        <v>Useful,Not value for money,कीमत के हिसाब से बेहतर वस्तु है,Good product,Average,Very Good,After sell service,Good</v>
      </c>
      <c r="O1157" s="7" t="str">
        <f>VLOOKUP(A1157, avaliacoes!A:G, 6, FALSE)</f>
        <v>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v>
      </c>
    </row>
    <row r="1158">
      <c r="A1158" s="1" t="s">
        <v>4412</v>
      </c>
      <c r="B1158" s="1" t="s">
        <v>4413</v>
      </c>
      <c r="C1158" s="1" t="s">
        <v>3887</v>
      </c>
      <c r="D1158" s="1" t="str">
        <f t="shared" si="2"/>
        <v>Home&amp;Kitchen</v>
      </c>
      <c r="E1158" s="1" t="str">
        <f t="shared" si="3"/>
        <v>Kitchen&amp;HomeAppliances</v>
      </c>
      <c r="F1158" s="2">
        <v>2089.0</v>
      </c>
      <c r="G1158" s="2">
        <v>3999.0</v>
      </c>
      <c r="H1158" s="3">
        <f t="shared" si="4"/>
        <v>0.4776194049</v>
      </c>
      <c r="I1158" s="4">
        <f>IFERROR(__xludf.DUMMYFUNCTION("GOOGLEFINANCE(""CURRENCY:INRBRL"")*F1158"),124.66801632919999)</f>
        <v>124.6680163</v>
      </c>
      <c r="J1158" s="1">
        <v>4.5</v>
      </c>
      <c r="K1158" s="1">
        <v>11199.0</v>
      </c>
      <c r="L1158" s="1" t="s">
        <v>4414</v>
      </c>
      <c r="M1158" s="6" t="s">
        <v>4415</v>
      </c>
      <c r="N1158" s="7" t="str">
        <f>VLOOKUP(A1158, avaliacoes!A:G, 5, FALSE)</f>
        <v>Product is always good ,but service is not properly packaging also dammage box . focus on service,Easy to clean,V good,Good product,I love product Usha,Best,Good for bachelors,Good 👍</v>
      </c>
      <c r="O1158" s="7" t="str">
        <f>VLOOKUP(A1158, avaliacoes!A:G, 6, FALSE)</f>
        <v>Induction is good working,Lightweight and easy to use,V nice,Good quality product,Good Usha product induction 👍👍👍,Tea,,I have been using it for 2 weeks, so far there is no problem, but the current option probably comes in all.</v>
      </c>
    </row>
    <row r="1159">
      <c r="A1159" s="1" t="s">
        <v>4416</v>
      </c>
      <c r="B1159" s="1" t="s">
        <v>4417</v>
      </c>
      <c r="C1159" s="1" t="s">
        <v>4418</v>
      </c>
      <c r="D1159" s="1" t="str">
        <f t="shared" si="2"/>
        <v>Car&amp;Motorbike</v>
      </c>
      <c r="E1159" s="1" t="str">
        <f t="shared" si="3"/>
        <v>CarAccessories</v>
      </c>
      <c r="F1159" s="2">
        <v>2339.0</v>
      </c>
      <c r="G1159" s="2">
        <v>3999.0</v>
      </c>
      <c r="H1159" s="3">
        <f t="shared" si="4"/>
        <v>0.4151037759</v>
      </c>
      <c r="I1159" s="4">
        <f>IFERROR(__xludf.DUMMYFUNCTION("GOOGLEFINANCE(""CURRENCY:INRBRL"")*F1159"),139.5875970292)</f>
        <v>139.587597</v>
      </c>
      <c r="J1159" s="1">
        <v>4.51</v>
      </c>
      <c r="K1159" s="1">
        <v>1118.0</v>
      </c>
      <c r="L1159" s="1" t="s">
        <v>4419</v>
      </c>
      <c r="M1159" s="6" t="s">
        <v>4420</v>
      </c>
      <c r="N1159" s="7" t="str">
        <f>VLOOKUP(A1159, avaliacoes!A:G, 5, FALSE)</f>
        <v>Liked it,User friendly and effective,Not as per expected,Worth buying for cars which doesn't have inbuilt filter,It works really well...AX30MAX is what we all need..!!,Air purification is awesome,Excelent product for the Prize you pay,Dont expect much</v>
      </c>
      <c r="O1159" s="7" t="str">
        <f>VLOOKUP(A1159, avaliacoes!A:G, 6, FALSE)</f>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v>
      </c>
    </row>
    <row r="1160">
      <c r="A1160" s="1" t="s">
        <v>4421</v>
      </c>
      <c r="B1160" s="1" t="s">
        <v>4422</v>
      </c>
      <c r="C1160" s="1" t="s">
        <v>3851</v>
      </c>
      <c r="D1160" s="1" t="str">
        <f t="shared" si="2"/>
        <v>Home&amp;Kitchen</v>
      </c>
      <c r="E1160" s="1" t="str">
        <f t="shared" si="3"/>
        <v>Heating,Cooling&amp;AirQuality</v>
      </c>
      <c r="F1160" s="2">
        <v>784.0</v>
      </c>
      <c r="G1160" s="2">
        <v>1599.0</v>
      </c>
      <c r="H1160" s="3">
        <f t="shared" si="4"/>
        <v>0.5096935585</v>
      </c>
      <c r="I1160" s="4">
        <f>IFERROR(__xludf.DUMMYFUNCTION("GOOGLEFINANCE(""CURRENCY:INRBRL"")*F1160"),46.7878050752)</f>
        <v>46.78780508</v>
      </c>
      <c r="J1160" s="1">
        <v>4.51</v>
      </c>
      <c r="K1160" s="1">
        <v>11.0</v>
      </c>
      <c r="L1160" s="1" t="s">
        <v>4423</v>
      </c>
      <c r="M1160" s="6" t="s">
        <v>4424</v>
      </c>
      <c r="N1160" s="7" t="str">
        <f>VLOOKUP(A1160, avaliacoes!A:G, 5, FALSE)</f>
        <v>👍,Good quality product and value for money. Recommend for buy,Average product,Good product at good price,Smelling like sumting smoking</v>
      </c>
      <c r="O1160" s="7" t="str">
        <f>VLOOKUP(A1160, avaliacoes!A:G, 6, FALSE)</f>
        <v>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v>
      </c>
    </row>
    <row r="1161">
      <c r="A1161" s="1" t="s">
        <v>4425</v>
      </c>
      <c r="B1161" s="1" t="s">
        <v>4426</v>
      </c>
      <c r="C1161" s="1" t="s">
        <v>4427</v>
      </c>
      <c r="D1161" s="1" t="str">
        <f t="shared" si="2"/>
        <v>Home&amp;Kitchen</v>
      </c>
      <c r="E1161" s="1" t="str">
        <f t="shared" si="3"/>
        <v>Kitchen&amp;HomeAppliances</v>
      </c>
      <c r="F1161" s="2">
        <v>5499.0</v>
      </c>
      <c r="G1161" s="2">
        <v>9999.0</v>
      </c>
      <c r="H1161" s="3">
        <f t="shared" si="4"/>
        <v>0.4500450045</v>
      </c>
      <c r="I1161" s="4">
        <f>IFERROR(__xludf.DUMMYFUNCTION("GOOGLEFINANCE(""CURRENCY:INRBRL"")*F1161"),328.1710970772)</f>
        <v>328.1710971</v>
      </c>
      <c r="J1161" s="1">
        <v>4.51</v>
      </c>
      <c r="K1161" s="1">
        <v>4353.0</v>
      </c>
      <c r="L1161" s="1" t="s">
        <v>4428</v>
      </c>
      <c r="M1161" s="6" t="s">
        <v>4429</v>
      </c>
      <c r="N1161" s="7" t="str">
        <f>VLOOKUP(A1161, avaliacoes!A:G, 5, FALSE)</f>
        <v>Nice product,Value For Money and Easy to use,Good but creates noise,Average product,Good product,The product is good and easy to use,Good,Good Product</v>
      </c>
      <c r="O1161" s="7" t="str">
        <f>VLOOKUP(A1161, avaliacoes!A:G, 6, FALSE)</f>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v>
      </c>
    </row>
    <row r="1162">
      <c r="A1162" s="1" t="s">
        <v>4430</v>
      </c>
      <c r="B1162" s="1" t="s">
        <v>4431</v>
      </c>
      <c r="C1162" s="1" t="s">
        <v>3851</v>
      </c>
      <c r="D1162" s="1" t="str">
        <f t="shared" si="2"/>
        <v>Home&amp;Kitchen</v>
      </c>
      <c r="E1162" s="1" t="str">
        <f t="shared" si="3"/>
        <v>Heating,Cooling&amp;AirQuality</v>
      </c>
      <c r="F1162" s="2">
        <v>899.0</v>
      </c>
      <c r="G1162" s="2">
        <v>1999.0</v>
      </c>
      <c r="H1162" s="3">
        <f t="shared" si="4"/>
        <v>0.5502751376</v>
      </c>
      <c r="I1162" s="4">
        <f>IFERROR(__xludf.DUMMYFUNCTION("GOOGLEFINANCE(""CURRENCY:INRBRL"")*F1162"),53.6508121972)</f>
        <v>53.6508122</v>
      </c>
      <c r="J1162" s="1">
        <v>4.49</v>
      </c>
      <c r="K1162" s="1">
        <v>185.0</v>
      </c>
      <c r="L1162" s="1" t="s">
        <v>4432</v>
      </c>
      <c r="M1162" s="6" t="s">
        <v>4433</v>
      </c>
      <c r="N1162" s="7" t="str">
        <f>VLOOKUP(A1162, avaliacoes!A:G, 5, FALSE)</f>
        <v>Good product for this price...go for it,Nice,Very nice,Value for money,Electry consumption is high,Value for Money,Awesome.  Value for money , Writing after a week's use,Activa chalao thand bhagao</v>
      </c>
      <c r="O1162" s="7" t="str">
        <f>VLOOKUP(A1162, avaliacoes!A:G, 6, FALSE)</f>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v>
      </c>
    </row>
    <row r="1163">
      <c r="A1163" s="1" t="s">
        <v>4434</v>
      </c>
      <c r="B1163" s="1" t="s">
        <v>4435</v>
      </c>
      <c r="C1163" s="1" t="s">
        <v>3904</v>
      </c>
      <c r="D1163" s="1" t="str">
        <f t="shared" si="2"/>
        <v>Home&amp;Kitchen</v>
      </c>
      <c r="E1163" s="1" t="str">
        <f t="shared" si="3"/>
        <v>Kitchen&amp;HomeAppliances</v>
      </c>
      <c r="F1163" s="2">
        <v>1695.0</v>
      </c>
      <c r="G1163" s="2">
        <v>1695.0</v>
      </c>
      <c r="H1163" s="3">
        <f t="shared" si="4"/>
        <v>0</v>
      </c>
      <c r="I1163" s="4">
        <f>IFERROR(__xludf.DUMMYFUNCTION("GOOGLEFINANCE(""CURRENCY:INRBRL"")*F1163"),101.154757146)</f>
        <v>101.1547571</v>
      </c>
      <c r="J1163" s="1">
        <v>4.5</v>
      </c>
      <c r="K1163" s="1">
        <v>1429.0</v>
      </c>
      <c r="L1163" s="1" t="s">
        <v>4436</v>
      </c>
      <c r="M1163" s="6" t="s">
        <v>4437</v>
      </c>
      <c r="N1163" s="7" t="str">
        <f>VLOOKUP(A1163, avaliacoes!A:G, 5, FALSE)</f>
        <v>Heats up after less time of usage.,Its is fine,Excellent product,You can go for it.,Worth of money n stylish look,Good,HIGH SPEED VERY GOOD WORKING,Nice product</v>
      </c>
      <c r="O1163" s="7" t="str">
        <f>VLOOKUP(A1163, avaliacoes!A:G, 6, FALSE)</f>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v>
      </c>
    </row>
    <row r="1164">
      <c r="A1164" s="1" t="s">
        <v>4438</v>
      </c>
      <c r="B1164" s="1" t="s">
        <v>4439</v>
      </c>
      <c r="C1164" s="1" t="s">
        <v>3909</v>
      </c>
      <c r="D1164" s="1" t="str">
        <f t="shared" si="2"/>
        <v>Home&amp;Kitchen</v>
      </c>
      <c r="E1164" s="1" t="str">
        <f t="shared" si="3"/>
        <v>Kitchen&amp;HomeAppliances</v>
      </c>
      <c r="F1164" s="2">
        <v>499.0</v>
      </c>
      <c r="G1164" s="2">
        <v>940.0</v>
      </c>
      <c r="H1164" s="3">
        <f t="shared" si="4"/>
        <v>0.4691489362</v>
      </c>
      <c r="I1164" s="4">
        <f>IFERROR(__xludf.DUMMYFUNCTION("GOOGLEFINANCE(""CURRENCY:INRBRL"")*F1164"),29.7794830772)</f>
        <v>29.77948308</v>
      </c>
      <c r="J1164" s="1">
        <v>4.49</v>
      </c>
      <c r="K1164" s="1">
        <v>3036.0</v>
      </c>
      <c r="L1164" s="1" t="s">
        <v>4188</v>
      </c>
      <c r="M1164" s="6" t="s">
        <v>4440</v>
      </c>
      <c r="N1164" s="7" t="str">
        <f>VLOOKUP(A1164, avaliacoes!A:G, 5, FALSE)</f>
        <v>No more time for heat .this is very awesome product,Light weight &amp;easy to use,Ati Uttam,Awesome,Not upto the mark,essay to use value for mony,Always worst package, it was completely damaged,Good product</v>
      </c>
      <c r="O1164" s="7" t="str">
        <f>VLOOKUP(A1164, avaliacoes!A:G, 6, FALSE)</f>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v>
      </c>
    </row>
    <row r="1165">
      <c r="A1165" s="1" t="s">
        <v>4441</v>
      </c>
      <c r="B1165" s="1" t="s">
        <v>4442</v>
      </c>
      <c r="C1165" s="1" t="s">
        <v>3919</v>
      </c>
      <c r="D1165" s="1" t="str">
        <f t="shared" si="2"/>
        <v>Home&amp;Kitchen</v>
      </c>
      <c r="E1165" s="1" t="str">
        <f t="shared" si="3"/>
        <v>Heating,Cooling&amp;AirQuality</v>
      </c>
      <c r="F1165" s="2">
        <v>2699.0</v>
      </c>
      <c r="G1165" s="2">
        <v>4699.0</v>
      </c>
      <c r="H1165" s="3">
        <f t="shared" si="4"/>
        <v>0.4256224729</v>
      </c>
      <c r="I1165" s="4">
        <f>IFERROR(__xludf.DUMMYFUNCTION("GOOGLEFINANCE(""CURRENCY:INRBRL"")*F1165"),161.07179323719998)</f>
        <v>161.0717932</v>
      </c>
      <c r="J1165" s="1">
        <v>4.5</v>
      </c>
      <c r="K1165" s="1">
        <v>1296.0</v>
      </c>
      <c r="L1165" s="1" t="s">
        <v>4443</v>
      </c>
      <c r="M1165" s="6" t="s">
        <v>4444</v>
      </c>
      <c r="N1165" s="7" t="str">
        <f>VLOOKUP(A1165, avaliacoes!A:G, 5, FALSE)</f>
        <v>Good👌,Good built quality,Quality Product under 3000,good price,Nice product,Good product,Exlent❤,Outlet is very slow</v>
      </c>
      <c r="O1165" s="7" t="str">
        <f>VLOOKUP(A1165, avaliacoes!A:G, 6, FALSE)</f>
        <v>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v>
      </c>
    </row>
    <row r="1166">
      <c r="A1166" s="1" t="s">
        <v>4445</v>
      </c>
      <c r="B1166" s="1" t="s">
        <v>4446</v>
      </c>
      <c r="C1166" s="1" t="s">
        <v>3919</v>
      </c>
      <c r="D1166" s="1" t="str">
        <f t="shared" si="2"/>
        <v>Home&amp;Kitchen</v>
      </c>
      <c r="E1166" s="1" t="str">
        <f t="shared" si="3"/>
        <v>Heating,Cooling&amp;AirQuality</v>
      </c>
      <c r="F1166" s="2">
        <v>1448.0</v>
      </c>
      <c r="G1166" s="2">
        <v>2999.0</v>
      </c>
      <c r="H1166" s="3">
        <f t="shared" si="4"/>
        <v>0.5171723908</v>
      </c>
      <c r="I1166" s="4">
        <f>IFERROR(__xludf.DUMMYFUNCTION("GOOGLEFINANCE(""CURRENCY:INRBRL"")*F1166"),86.4142114144)</f>
        <v>86.41421141</v>
      </c>
      <c r="J1166" s="1">
        <v>4.51</v>
      </c>
      <c r="K1166" s="1">
        <v>19.0</v>
      </c>
      <c r="L1166" s="1" t="s">
        <v>4447</v>
      </c>
      <c r="M1166" s="6" t="s">
        <v>4448</v>
      </c>
      <c r="N1166" s="7" t="str">
        <f>VLOOKUP(A1166, avaliacoes!A:G, 5, FALSE)</f>
        <v>Good product,Very Useful in winter,Good product,Good product must buy.,Best for kitchen,Apperance,Best product😚,Good working</v>
      </c>
      <c r="O1166" s="7" t="str">
        <f>VLOOKUP(A1166, avaliacoes!A:G, 6, FALSE)</f>
        <v>I like this product 😍 function great,Easy to use, value for money, easy to install, very much useful. It is as too good purchase.,👍,I used it its good.,This heater is very handy and can be operate easily.,It look great,,Excellent</v>
      </c>
    </row>
    <row r="1167">
      <c r="A1167" s="1" t="s">
        <v>4449</v>
      </c>
      <c r="B1167" s="1" t="s">
        <v>4450</v>
      </c>
      <c r="C1167" s="1" t="s">
        <v>4153</v>
      </c>
      <c r="D1167" s="1" t="str">
        <f t="shared" si="2"/>
        <v>Home&amp;Kitchen</v>
      </c>
      <c r="E1167" s="1" t="str">
        <f t="shared" si="3"/>
        <v>Kitchen&amp;HomeAppliances</v>
      </c>
      <c r="F1167" s="2">
        <v>79.0</v>
      </c>
      <c r="G1167" s="2">
        <v>79.0</v>
      </c>
      <c r="H1167" s="3">
        <f t="shared" si="4"/>
        <v>0</v>
      </c>
      <c r="I1167" s="4">
        <f>IFERROR(__xludf.DUMMYFUNCTION("GOOGLEFINANCE(""CURRENCY:INRBRL"")*F1167"),4.7145875012)</f>
        <v>4.714587501</v>
      </c>
      <c r="J1167" s="1">
        <v>4.0</v>
      </c>
      <c r="K1167" s="1">
        <v>97.0</v>
      </c>
      <c r="L1167" s="1" t="s">
        <v>4451</v>
      </c>
      <c r="M1167" s="6" t="s">
        <v>4452</v>
      </c>
      <c r="N1167" s="7" t="str">
        <f>VLOOKUP(A1167, avaliacoes!A:G, 5, FALSE)</f>
        <v>Good clips.,Second quality,Value for money.,Not bad,Good,Worth the price,Worth purchasing,Average</v>
      </c>
      <c r="O1167" s="7" t="str">
        <f>VLOOKUP(A1167, avaliacoes!A:G, 6, FALSE)</f>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v>
      </c>
    </row>
    <row r="1168">
      <c r="A1168" s="1" t="s">
        <v>4453</v>
      </c>
      <c r="B1168" s="1" t="s">
        <v>4454</v>
      </c>
      <c r="C1168" s="1" t="s">
        <v>3942</v>
      </c>
      <c r="D1168" s="1" t="str">
        <f t="shared" si="2"/>
        <v>Home&amp;Kitchen</v>
      </c>
      <c r="E1168" s="1" t="str">
        <f t="shared" si="3"/>
        <v>Heating,Cooling&amp;AirQuality</v>
      </c>
      <c r="F1168" s="2">
        <v>6999.0</v>
      </c>
      <c r="G1168" s="2">
        <v>14299.0</v>
      </c>
      <c r="H1168" s="3">
        <f t="shared" si="4"/>
        <v>0.5105252116</v>
      </c>
      <c r="I1168" s="4">
        <f>IFERROR(__xludf.DUMMYFUNCTION("GOOGLEFINANCE(""CURRENCY:INRBRL"")*F1168"),417.68858127719994)</f>
        <v>417.6885813</v>
      </c>
      <c r="J1168" s="1">
        <v>4.5</v>
      </c>
      <c r="K1168" s="1">
        <v>1771.0</v>
      </c>
      <c r="L1168" s="1" t="s">
        <v>4455</v>
      </c>
      <c r="M1168" s="6" t="s">
        <v>4456</v>
      </c>
      <c r="N1168" s="7" t="str">
        <f>VLOOKUP(A1168, avaliacoes!A:G, 5, FALSE)</f>
        <v>Good product but attention needed in packing and shipping,Good Product,Installation Technician not good.,worth to money,Good Water Heater,Loved this…!!!!,Value for money,Good product</v>
      </c>
      <c r="O1168" s="7" t="str">
        <f>VLOOKUP(A1168, avaliacoes!A:G, 6, FALSE)</f>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v>
      </c>
    </row>
    <row r="1169">
      <c r="A1169" s="1" t="s">
        <v>4457</v>
      </c>
      <c r="B1169" s="1" t="s">
        <v>4458</v>
      </c>
      <c r="C1169" s="1" t="s">
        <v>3887</v>
      </c>
      <c r="D1169" s="1" t="str">
        <f t="shared" si="2"/>
        <v>Home&amp;Kitchen</v>
      </c>
      <c r="E1169" s="1" t="str">
        <f t="shared" si="3"/>
        <v>Kitchen&amp;HomeAppliances</v>
      </c>
      <c r="F1169" s="2">
        <v>2698.0</v>
      </c>
      <c r="G1169" s="2">
        <v>3945.0</v>
      </c>
      <c r="H1169" s="3">
        <f t="shared" si="4"/>
        <v>0.3160963245</v>
      </c>
      <c r="I1169" s="4">
        <f>IFERROR(__xludf.DUMMYFUNCTION("GOOGLEFINANCE(""CURRENCY:INRBRL"")*F1169"),161.0121149144)</f>
        <v>161.0121149</v>
      </c>
      <c r="J1169" s="1">
        <v>4.0</v>
      </c>
      <c r="K1169" s="1">
        <v>15034.0</v>
      </c>
      <c r="L1169" s="1" t="s">
        <v>4459</v>
      </c>
      <c r="M1169" s="6" t="s">
        <v>4460</v>
      </c>
      <c r="N1169" s="7" t="str">
        <f>VLOOKUP(A1169, avaliacoes!A:G, 5, FALSE)</f>
        <v>Product is Good but expensive on Amazon,The product is good.,Life is just 13 months only,,Useful product,Good induction stove,Light weight yet dependable cook top.,Good,Working fine and it's very easy to use</v>
      </c>
      <c r="O1169" s="7" t="str">
        <f>VLOOKUP(A1169, avaliacoes!A:G, 6, FALSE)</f>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v>
      </c>
    </row>
    <row r="1170">
      <c r="A1170" s="1" t="s">
        <v>4461</v>
      </c>
      <c r="B1170" s="1" t="s">
        <v>4462</v>
      </c>
      <c r="C1170" s="1" t="s">
        <v>4427</v>
      </c>
      <c r="D1170" s="1" t="str">
        <f t="shared" si="2"/>
        <v>Home&amp;Kitchen</v>
      </c>
      <c r="E1170" s="1" t="str">
        <f t="shared" si="3"/>
        <v>Kitchen&amp;HomeAppliances</v>
      </c>
      <c r="F1170" s="2">
        <v>3199.0</v>
      </c>
      <c r="G1170" s="2">
        <v>5999.0</v>
      </c>
      <c r="H1170" s="3">
        <f t="shared" si="4"/>
        <v>0.4667444574</v>
      </c>
      <c r="I1170" s="4">
        <f>IFERROR(__xludf.DUMMYFUNCTION("GOOGLEFINANCE(""CURRENCY:INRBRL"")*F1170"),190.91095463719998)</f>
        <v>190.9109546</v>
      </c>
      <c r="J1170" s="1">
        <v>4.0</v>
      </c>
      <c r="K1170" s="1">
        <v>3242.0</v>
      </c>
      <c r="L1170" s="1" t="s">
        <v>4463</v>
      </c>
      <c r="M1170" s="6" t="s">
        <v>4464</v>
      </c>
      <c r="N1170" s="7" t="str">
        <f>VLOOKUP(A1170, avaliacoes!A:G, 5, FALSE)</f>
        <v>Nice product,cleaning,Performance is okay for this cost,Serve the purpose,Value of money,Some damage in inside the product,It's good,Good</v>
      </c>
      <c r="O1170" s="7" t="str">
        <f>VLOOKUP(A1170, avaliacoes!A:G, 6, FALSE)</f>
        <v>Value for money nd nice product,cleaning,Value for money,Best in this budget, however I wish the suction power to be little more.,Good quality product,,Good in managing minor works and occasional use , negative point is suction power us underpowered,Easy to use</v>
      </c>
    </row>
    <row r="1171">
      <c r="A1171" s="1" t="s">
        <v>4465</v>
      </c>
      <c r="B1171" s="1" t="s">
        <v>4466</v>
      </c>
      <c r="C1171" s="1" t="s">
        <v>3937</v>
      </c>
      <c r="D1171" s="1" t="str">
        <f t="shared" si="2"/>
        <v>Home&amp;Kitchen</v>
      </c>
      <c r="E1171" s="1" t="str">
        <f t="shared" si="3"/>
        <v>Kitchen&amp;HomeAppliances</v>
      </c>
      <c r="F1171" s="2">
        <v>1199.0</v>
      </c>
      <c r="G1171" s="2">
        <v>1949.0</v>
      </c>
      <c r="H1171" s="3">
        <f t="shared" si="4"/>
        <v>0.3848127245</v>
      </c>
      <c r="I1171" s="4">
        <f>IFERROR(__xludf.DUMMYFUNCTION("GOOGLEFINANCE(""CURRENCY:INRBRL"")*F1171"),71.5543090372)</f>
        <v>71.55430904</v>
      </c>
      <c r="J1171" s="1">
        <v>4.52</v>
      </c>
      <c r="K1171" s="1">
        <v>2832.0</v>
      </c>
      <c r="L1171" s="1" t="s">
        <v>4467</v>
      </c>
      <c r="M1171" s="6" t="s">
        <v>4468</v>
      </c>
      <c r="N1171" s="7" t="str">
        <f>VLOOKUP(A1171, avaliacoes!A:G, 5, FALSE)</f>
        <v>The base unit is rather flimsy. could have been slightly thicker!!,Good,great,Good,Leaking issue,Pot external body gets heated, which is not expected.,Nice Product,Best Buy for Price of Rs 699</v>
      </c>
      <c r="O1171" s="7" t="str">
        <f>VLOOKUP(A1171, avaliacoes!A:G, 6, FALSE)</f>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v>
      </c>
    </row>
    <row r="1172">
      <c r="A1172" s="1" t="s">
        <v>4469</v>
      </c>
      <c r="B1172" s="1" t="s">
        <v>4470</v>
      </c>
      <c r="C1172" s="1" t="s">
        <v>4115</v>
      </c>
      <c r="D1172" s="1" t="str">
        <f t="shared" si="2"/>
        <v>Home&amp;Kitchen</v>
      </c>
      <c r="E1172" s="1" t="str">
        <f t="shared" si="3"/>
        <v>Kitchen&amp;HomeAppliances</v>
      </c>
      <c r="F1172" s="2">
        <v>1414.0</v>
      </c>
      <c r="G1172" s="2">
        <v>2799.0</v>
      </c>
      <c r="H1172" s="3">
        <f t="shared" si="4"/>
        <v>0.4948195784</v>
      </c>
      <c r="I1172" s="4">
        <f>IFERROR(__xludf.DUMMYFUNCTION("GOOGLEFINANCE(""CURRENCY:INRBRL"")*F1172"),84.3851484392)</f>
        <v>84.38514844</v>
      </c>
      <c r="J1172" s="1">
        <v>4.0</v>
      </c>
      <c r="K1172" s="1">
        <v>1498.0</v>
      </c>
      <c r="L1172" s="1" t="s">
        <v>4471</v>
      </c>
      <c r="M1172" s="6" t="s">
        <v>4472</v>
      </c>
      <c r="N1172" s="7" t="str">
        <f>VLOOKUP(A1172, avaliacoes!A:G, 5, FALSE)</f>
        <v>Purchase 2, one receoved damaged,Good for chopping.,NICE PRODUCT,A very good product.Worth buying,It’s to early heating and wire smelling were is the service centre,Nice product worth it 👍🏻,The container is very flimsy.,Ritan and ripales</v>
      </c>
      <c r="O1172" s="7" t="str">
        <f>VLOOKUP(A1172, avaliacoes!A:G, 6, FALSE)</f>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v>
      </c>
    </row>
    <row r="1173">
      <c r="A1173" s="1" t="s">
        <v>4473</v>
      </c>
      <c r="B1173" s="1" t="s">
        <v>4474</v>
      </c>
      <c r="C1173" s="1" t="s">
        <v>3841</v>
      </c>
      <c r="D1173" s="1" t="str">
        <f t="shared" si="2"/>
        <v>Home&amp;Kitchen</v>
      </c>
      <c r="E1173" s="1" t="str">
        <f t="shared" si="3"/>
        <v>Kitchen&amp;HomeAppliances</v>
      </c>
      <c r="F1173" s="2">
        <v>999.0</v>
      </c>
      <c r="G1173" s="2">
        <v>1949.0</v>
      </c>
      <c r="H1173" s="3">
        <f t="shared" si="4"/>
        <v>0.487429451</v>
      </c>
      <c r="I1173" s="4">
        <f>IFERROR(__xludf.DUMMYFUNCTION("GOOGLEFINANCE(""CURRENCY:INRBRL"")*F1173"),59.61864447719999)</f>
        <v>59.61864448</v>
      </c>
      <c r="J1173" s="1">
        <v>4.51</v>
      </c>
      <c r="K1173" s="1">
        <v>305.0</v>
      </c>
      <c r="L1173" s="1" t="s">
        <v>4475</v>
      </c>
      <c r="M1173" s="6" t="s">
        <v>4476</v>
      </c>
      <c r="N1173" s="7" t="str">
        <f>VLOOKUP(A1173, avaliacoes!A:G, 5, FALSE)</f>
        <v>Need to improve the outlook.,Scratch on product and noisy one,Excellent Product,good,Fabulous,Good item.,Very bad experience,Best market price</v>
      </c>
      <c r="O1173" s="7" t="str">
        <f>VLOOKUP(A1173, avaliacoes!A:G, 6, FALSE)</f>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v>
      </c>
    </row>
    <row r="1174">
      <c r="A1174" s="1" t="s">
        <v>4477</v>
      </c>
      <c r="B1174" s="1" t="s">
        <v>4478</v>
      </c>
      <c r="C1174" s="1" t="s">
        <v>4171</v>
      </c>
      <c r="D1174" s="1" t="str">
        <f t="shared" si="2"/>
        <v>Home&amp;Kitchen</v>
      </c>
      <c r="E1174" s="1" t="str">
        <f t="shared" si="3"/>
        <v>Kitchen&amp;HomeAppliances</v>
      </c>
      <c r="F1174" s="2">
        <v>5999.0</v>
      </c>
      <c r="G1174" s="2">
        <v>9999.0</v>
      </c>
      <c r="H1174" s="3">
        <f t="shared" si="4"/>
        <v>0.400040004</v>
      </c>
      <c r="I1174" s="4">
        <f>IFERROR(__xludf.DUMMYFUNCTION("GOOGLEFINANCE(""CURRENCY:INRBRL"")*F1174"),358.01025847719995)</f>
        <v>358.0102585</v>
      </c>
      <c r="J1174" s="1">
        <v>4.5</v>
      </c>
      <c r="K1174" s="1">
        <v>1191.0</v>
      </c>
      <c r="L1174" s="1" t="s">
        <v>4479</v>
      </c>
      <c r="M1174" s="6" t="s">
        <v>4480</v>
      </c>
      <c r="N1174" s="7" t="str">
        <f>VLOOKUP(A1174, avaliacoes!A:G, 5, FALSE)</f>
        <v>Demo Required,Nice product,Blower function not working. But in product name they have written both suction and blower both,Good,Great,No support from Eureka forbes,Cleaning is no more a tougher thing.,Great Product and good demo.</v>
      </c>
      <c r="O1174" s="7" t="str">
        <f>VLOOKUP(A1174, avaliacoes!A:G, 6, FALSE)</f>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v>
      </c>
    </row>
    <row r="1175">
      <c r="A1175" s="1" t="s">
        <v>4481</v>
      </c>
      <c r="B1175" s="1" t="s">
        <v>4482</v>
      </c>
      <c r="C1175" s="1" t="s">
        <v>4483</v>
      </c>
      <c r="D1175" s="1" t="str">
        <f t="shared" si="2"/>
        <v>Home&amp;Kitchen</v>
      </c>
      <c r="E1175" s="1" t="str">
        <f t="shared" si="3"/>
        <v>Heating,Cooling&amp;AirQuality</v>
      </c>
      <c r="F1175" s="2">
        <v>9979.0</v>
      </c>
      <c r="G1175" s="2">
        <v>12999.0</v>
      </c>
      <c r="H1175" s="3">
        <f t="shared" si="4"/>
        <v>0.2323255635</v>
      </c>
      <c r="I1175" s="4">
        <f>IFERROR(__xludf.DUMMYFUNCTION("GOOGLEFINANCE(""CURRENCY:INRBRL"")*F1175"),595.5299832211999)</f>
        <v>595.5299832</v>
      </c>
      <c r="J1175" s="1">
        <v>4.5</v>
      </c>
      <c r="K1175" s="1">
        <v>4049.0</v>
      </c>
      <c r="L1175" s="1" t="s">
        <v>4484</v>
      </c>
      <c r="M1175" s="6" t="s">
        <v>4485</v>
      </c>
      <c r="N1175" s="7" t="str">
        <f>VLOOKUP(A1175, avaliacoes!A:G, 5, FALSE)</f>
        <v>Degree of cleanliness of air achieved and the size of space covered,Excellent in every aspect,Very good,Love the control from the app,Purifier is good - but received a 'second hand' item,Works Well!,Good product 👍,Just works fine</v>
      </c>
      <c r="O1175" s="7" t="str">
        <f>VLOOKUP(A1175, avaliacoes!A:G, 6, FALSE)</f>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v>
      </c>
    </row>
    <row r="1176">
      <c r="A1176" s="1" t="s">
        <v>4486</v>
      </c>
      <c r="B1176" s="1" t="s">
        <v>4487</v>
      </c>
      <c r="C1176" s="1" t="s">
        <v>4488</v>
      </c>
      <c r="D1176" s="1" t="str">
        <f t="shared" si="2"/>
        <v>Home&amp;Kitchen</v>
      </c>
      <c r="E1176" s="1" t="str">
        <f t="shared" si="3"/>
        <v>Kitchen&amp;HomeAppliances</v>
      </c>
      <c r="F1176" s="2">
        <v>698.0</v>
      </c>
      <c r="G1176" s="2">
        <v>699.0</v>
      </c>
      <c r="H1176" s="3">
        <f t="shared" si="4"/>
        <v>0.001430615165</v>
      </c>
      <c r="I1176" s="4">
        <f>IFERROR(__xludf.DUMMYFUNCTION("GOOGLEFINANCE(""CURRENCY:INRBRL"")*F1176"),41.655469314399994)</f>
        <v>41.65546931</v>
      </c>
      <c r="J1176" s="1">
        <v>4.5</v>
      </c>
      <c r="K1176" s="1">
        <v>316.0</v>
      </c>
      <c r="L1176" s="1" t="s">
        <v>4489</v>
      </c>
      <c r="M1176" s="6" t="s">
        <v>4490</v>
      </c>
      <c r="N1176" s="7" t="str">
        <f>VLOOKUP(A1176, avaliacoes!A:G, 5, FALSE)</f>
        <v>Good,FITTING,Sealing of the product is faulty,5 Star ⭐,Best,Easy to install,Nice,Best filter</v>
      </c>
      <c r="O1176" s="7" t="str">
        <f>VLOOKUP(A1176, avaliacoes!A:G, 6, FALSE)</f>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v>
      </c>
    </row>
    <row r="1177">
      <c r="A1177" s="1" t="s">
        <v>4491</v>
      </c>
      <c r="B1177" s="1" t="s">
        <v>4492</v>
      </c>
      <c r="C1177" s="1" t="s">
        <v>4158</v>
      </c>
      <c r="D1177" s="1" t="str">
        <f t="shared" si="2"/>
        <v>Home&amp;Kitchen</v>
      </c>
      <c r="E1177" s="1" t="str">
        <f t="shared" si="3"/>
        <v>Heating,Cooling&amp;AirQuality</v>
      </c>
      <c r="F1177" s="2">
        <v>2199.0</v>
      </c>
      <c r="G1177" s="2">
        <v>3199.0</v>
      </c>
      <c r="H1177" s="3">
        <f t="shared" si="4"/>
        <v>0.3125976868</v>
      </c>
      <c r="I1177" s="4">
        <f>IFERROR(__xludf.DUMMYFUNCTION("GOOGLEFINANCE(""CURRENCY:INRBRL"")*F1177"),131.2326318372)</f>
        <v>131.2326318</v>
      </c>
      <c r="J1177" s="1">
        <v>4.5</v>
      </c>
      <c r="K1177" s="1">
        <v>965.0</v>
      </c>
      <c r="L1177" s="1" t="s">
        <v>4493</v>
      </c>
      <c r="M1177" s="6" t="s">
        <v>4494</v>
      </c>
      <c r="N1177" s="7" t="str">
        <f>VLOOKUP(A1177, avaliacoes!A:G, 5, FALSE)</f>
        <v>Fan is making sound. Whom do i contact.,Speed,Good quality,nice product,Fan wise excellent but little pricey,When it comes to electric appliances Havells never disappoints.,Not satisfied because the product has got dents,Good performance</v>
      </c>
      <c r="O1177" s="7" t="str">
        <f>VLOOKUP(A1177, avaliacoes!A:G, 6, FALSE)</f>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v>
      </c>
    </row>
    <row r="1178">
      <c r="A1178" s="1" t="s">
        <v>4495</v>
      </c>
      <c r="B1178" s="1" t="s">
        <v>4496</v>
      </c>
      <c r="C1178" s="1" t="s">
        <v>4497</v>
      </c>
      <c r="D1178" s="1" t="str">
        <f t="shared" si="2"/>
        <v>Home&amp;Kitchen</v>
      </c>
      <c r="E1178" s="1" t="str">
        <f t="shared" si="3"/>
        <v>HomeStorage&amp;Organization</v>
      </c>
      <c r="F1178" s="2">
        <v>320.0</v>
      </c>
      <c r="G1178" s="2">
        <v>799.0</v>
      </c>
      <c r="H1178" s="3">
        <f t="shared" si="4"/>
        <v>0.5994993742</v>
      </c>
      <c r="I1178" s="4">
        <f>IFERROR(__xludf.DUMMYFUNCTION("GOOGLEFINANCE(""CURRENCY:INRBRL"")*F1178"),19.097063295999998)</f>
        <v>19.0970633</v>
      </c>
      <c r="J1178" s="1">
        <v>4.5</v>
      </c>
      <c r="K1178" s="1">
        <v>3846.0</v>
      </c>
      <c r="L1178" s="1" t="s">
        <v>4498</v>
      </c>
      <c r="M1178" s="6" t="s">
        <v>4499</v>
      </c>
      <c r="N1178" s="7" t="str">
        <f>VLOOKUP(A1178, avaliacoes!A:G, 5, FALSE)</f>
        <v>Good for the price,Good product,Good Deal,Defective,It is great to store laundry and looks good too. Good quality,Nice product.,Yes,Ok for the price, lacks structural support</v>
      </c>
      <c r="O1178" s="7" t="str">
        <f>VLOOKUP(A1178, avaliacoes!A:G, 6, FALSE)</f>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v>
      </c>
    </row>
    <row r="1179">
      <c r="A1179" s="1" t="s">
        <v>4500</v>
      </c>
      <c r="B1179" s="1" t="s">
        <v>4501</v>
      </c>
      <c r="C1179" s="1" t="s">
        <v>3856</v>
      </c>
      <c r="D1179" s="1" t="str">
        <f t="shared" si="2"/>
        <v>Home&amp;Kitchen</v>
      </c>
      <c r="E1179" s="1" t="str">
        <f t="shared" si="3"/>
        <v>Kitchen&amp;HomeAppliances</v>
      </c>
      <c r="F1179" s="2">
        <v>298.0</v>
      </c>
      <c r="G1179" s="2">
        <v>499.0</v>
      </c>
      <c r="H1179" s="3">
        <f t="shared" si="4"/>
        <v>0.4028056112</v>
      </c>
      <c r="I1179" s="4">
        <f>IFERROR(__xludf.DUMMYFUNCTION("GOOGLEFINANCE(""CURRENCY:INRBRL"")*F1179"),17.7841401944)</f>
        <v>17.78414019</v>
      </c>
      <c r="J1179" s="1">
        <v>4.5</v>
      </c>
      <c r="K1179" s="1">
        <v>290.0</v>
      </c>
      <c r="L1179" s="1" t="s">
        <v>4502</v>
      </c>
      <c r="M1179" s="6" t="s">
        <v>4503</v>
      </c>
      <c r="N1179" s="7" t="str">
        <f>VLOOKUP(A1179, avaliacoes!A:G, 5, FALSE)</f>
        <v>Nice product, a must have,It works like magic 💫💫,Useful and beneficial,Good,Good and useful,Easy to use,Go for it,Easy to use but expensive</v>
      </c>
      <c r="O1179" s="7" t="str">
        <f>VLOOKUP(A1179, avaliacoes!A:G, 6, FALSE)</f>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v>
      </c>
    </row>
    <row r="1180">
      <c r="A1180" s="1" t="s">
        <v>4504</v>
      </c>
      <c r="B1180" s="1" t="s">
        <v>4505</v>
      </c>
      <c r="C1180" s="1" t="s">
        <v>4011</v>
      </c>
      <c r="D1180" s="1" t="str">
        <f t="shared" si="2"/>
        <v>Home&amp;Kitchen</v>
      </c>
      <c r="E1180" s="1" t="str">
        <f t="shared" si="3"/>
        <v>Kitchen&amp;HomeAppliances</v>
      </c>
      <c r="F1180" s="2">
        <v>1199.0</v>
      </c>
      <c r="G1180" s="2">
        <v>1499.0</v>
      </c>
      <c r="H1180" s="3">
        <f t="shared" si="4"/>
        <v>0.2001334223</v>
      </c>
      <c r="I1180" s="4">
        <f>IFERROR(__xludf.DUMMYFUNCTION("GOOGLEFINANCE(""CURRENCY:INRBRL"")*F1180"),71.5543090372)</f>
        <v>71.55430904</v>
      </c>
      <c r="J1180" s="1">
        <v>4.51</v>
      </c>
      <c r="K1180" s="1">
        <v>2206.0</v>
      </c>
      <c r="L1180" s="1" t="s">
        <v>4506</v>
      </c>
      <c r="M1180" s="6" t="s">
        <v>4507</v>
      </c>
      <c r="N1180" s="7" t="str">
        <f>VLOOKUP(A1180, avaliacoes!A:G, 5, FALSE)</f>
        <v>Worth it,Good for travelers,Nice,It works but you need to add quite alot of milk,Great product at this price range,Great product but just for smoothies,Full value for money,Don't compare it with really mixer</v>
      </c>
      <c r="O1180" s="7" t="str">
        <f>VLOOKUP(A1180, avaliacoes!A:G, 6, FALSE)</f>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v>
      </c>
    </row>
    <row r="1181">
      <c r="A1181" s="1" t="s">
        <v>4508</v>
      </c>
      <c r="B1181" s="1" t="s">
        <v>4509</v>
      </c>
      <c r="C1181" s="1" t="s">
        <v>4158</v>
      </c>
      <c r="D1181" s="1" t="str">
        <f t="shared" si="2"/>
        <v>Home&amp;Kitchen</v>
      </c>
      <c r="E1181" s="1" t="str">
        <f t="shared" si="3"/>
        <v>Heating,Cooling&amp;AirQuality</v>
      </c>
      <c r="F1181" s="2">
        <v>1399.0</v>
      </c>
      <c r="G1181" s="2">
        <v>2669.0</v>
      </c>
      <c r="H1181" s="3">
        <f t="shared" si="4"/>
        <v>0.4758336456</v>
      </c>
      <c r="I1181" s="4">
        <f>IFERROR(__xludf.DUMMYFUNCTION("GOOGLEFINANCE(""CURRENCY:INRBRL"")*F1181"),83.48997359719999)</f>
        <v>83.4899736</v>
      </c>
      <c r="J1181" s="1">
        <v>4.49</v>
      </c>
      <c r="K1181" s="1">
        <v>9349.0</v>
      </c>
      <c r="L1181" s="1" t="s">
        <v>4510</v>
      </c>
      <c r="M1181" s="6" t="s">
        <v>4511</v>
      </c>
      <c r="N1181" s="7" t="str">
        <f>VLOOKUP(A1181, avaliacoes!A:G, 5, FALSE)</f>
        <v>💥,Considering the price range, it’s a good one,Worthy,Good products,Good,Good as brand,Ok Product,Value for money,</v>
      </c>
      <c r="O1181" s="7" t="str">
        <f>VLOOKUP(A1181, avaliacoes!A:G, 6, FALSE)</f>
        <v>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v>
      </c>
    </row>
    <row r="1182">
      <c r="A1182" s="1" t="s">
        <v>4512</v>
      </c>
      <c r="B1182" s="1" t="s">
        <v>4513</v>
      </c>
      <c r="C1182" s="1" t="s">
        <v>3861</v>
      </c>
      <c r="D1182" s="1" t="str">
        <f t="shared" si="2"/>
        <v>Home&amp;Kitchen</v>
      </c>
      <c r="E1182" s="1" t="str">
        <f t="shared" si="3"/>
        <v>Kitchen&amp;HomeAppliances</v>
      </c>
      <c r="F1182" s="2">
        <v>599.0</v>
      </c>
      <c r="G1182" s="2">
        <v>2799.0</v>
      </c>
      <c r="H1182" s="3">
        <f t="shared" si="4"/>
        <v>0.7859949982</v>
      </c>
      <c r="I1182" s="4">
        <f>IFERROR(__xludf.DUMMYFUNCTION("GOOGLEFINANCE(""CURRENCY:INRBRL"")*F1182"),35.747315357199994)</f>
        <v>35.74731536</v>
      </c>
      <c r="J1182" s="1">
        <v>4.52</v>
      </c>
      <c r="K1182" s="1">
        <v>578.0</v>
      </c>
      <c r="L1182" s="1" t="s">
        <v>4514</v>
      </c>
      <c r="M1182" s="6" t="s">
        <v>4515</v>
      </c>
      <c r="N1182" s="7" t="str">
        <f>VLOOKUP(A1182, avaliacoes!A:G, 5, FALSE)</f>
        <v>Easy to use. Does its job..,Easy to carry now,Doing the job right,Good product initially,Good product for kitchen use,Great item user friendly,Good enough,Good quality</v>
      </c>
      <c r="O1182" s="7" t="str">
        <f>VLOOKUP(A1182, avaliacoes!A:G, 6, FALSE)</f>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v>
      </c>
    </row>
    <row r="1183">
      <c r="A1183" s="1" t="s">
        <v>4516</v>
      </c>
      <c r="B1183" s="1" t="s">
        <v>4517</v>
      </c>
      <c r="C1183" s="1" t="s">
        <v>4226</v>
      </c>
      <c r="D1183" s="1" t="str">
        <f t="shared" si="2"/>
        <v>Home&amp;Kitchen</v>
      </c>
      <c r="E1183" s="1" t="str">
        <f t="shared" si="3"/>
        <v>Kitchen&amp;HomeAppliances</v>
      </c>
      <c r="F1183" s="2">
        <v>1499.0</v>
      </c>
      <c r="G1183" s="2">
        <v>1499.0</v>
      </c>
      <c r="H1183" s="3">
        <f t="shared" si="4"/>
        <v>0</v>
      </c>
      <c r="I1183" s="4">
        <f>IFERROR(__xludf.DUMMYFUNCTION("GOOGLEFINANCE(""CURRENCY:INRBRL"")*F1183"),89.45780587719999)</f>
        <v>89.45780588</v>
      </c>
      <c r="J1183" s="1">
        <v>4.5</v>
      </c>
      <c r="K1183" s="1">
        <v>9331.0</v>
      </c>
      <c r="L1183" s="1" t="s">
        <v>4518</v>
      </c>
      <c r="M1183" s="6" t="s">
        <v>4519</v>
      </c>
      <c r="N1183" s="7" t="str">
        <f>VLOOKUP(A1183, avaliacoes!A:G, 5, FALSE)</f>
        <v>Value to buy,Best quality,Nothing,It's Good,Perfect for making toasts,Great product.,Working fine as expected,Excellent</v>
      </c>
      <c r="O1183" s="7" t="str">
        <f>VLOOKUP(A1183, avaliacoes!A:G, 6, FALSE)</f>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v>
      </c>
    </row>
    <row r="1184">
      <c r="A1184" s="1" t="s">
        <v>4520</v>
      </c>
      <c r="B1184" s="1" t="s">
        <v>4521</v>
      </c>
      <c r="C1184" s="1" t="s">
        <v>4483</v>
      </c>
      <c r="D1184" s="1" t="str">
        <f t="shared" si="2"/>
        <v>Home&amp;Kitchen</v>
      </c>
      <c r="E1184" s="1" t="str">
        <f t="shared" si="3"/>
        <v>Heating,Cooling&amp;AirQuality</v>
      </c>
      <c r="F1184" s="2">
        <v>14499.0</v>
      </c>
      <c r="G1184" s="2">
        <v>59999.0</v>
      </c>
      <c r="H1184" s="3">
        <f t="shared" si="4"/>
        <v>0.7583459724</v>
      </c>
      <c r="I1184" s="4">
        <f>IFERROR(__xludf.DUMMYFUNCTION("GOOGLEFINANCE(""CURRENCY:INRBRL"")*F1184"),865.2760022772)</f>
        <v>865.2760023</v>
      </c>
      <c r="J1184" s="1">
        <v>4.5</v>
      </c>
      <c r="K1184" s="1">
        <v>3837.0</v>
      </c>
      <c r="L1184" s="1" t="s">
        <v>4522</v>
      </c>
      <c r="M1184" s="6" t="s">
        <v>4523</v>
      </c>
      <c r="N1184" s="7" t="str">
        <f>VLOOKUP(A1184, avaliacoes!A:G, 5, FALSE)</f>
        <v>No visible change,Effective,Sensitivity, Simplicity and Support,Good product,Nice purifier,Minimal and Simple to use and great for people with allergies,Works well in Noida,Very easy to maintain</v>
      </c>
      <c r="O1184" s="7" t="str">
        <f>VLOOKUP(A1184, avaliacoes!A:G, 6, FALSE)</f>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v>
      </c>
    </row>
    <row r="1185">
      <c r="A1185" s="1" t="s">
        <v>4524</v>
      </c>
      <c r="B1185" s="1" t="s">
        <v>4525</v>
      </c>
      <c r="C1185" s="1" t="s">
        <v>4488</v>
      </c>
      <c r="D1185" s="1" t="str">
        <f t="shared" si="2"/>
        <v>Home&amp;Kitchen</v>
      </c>
      <c r="E1185" s="1" t="str">
        <f t="shared" si="3"/>
        <v>Kitchen&amp;HomeAppliances</v>
      </c>
      <c r="F1185" s="2">
        <v>1699.0</v>
      </c>
      <c r="G1185" s="2">
        <v>1899.0</v>
      </c>
      <c r="H1185" s="3">
        <f t="shared" si="4"/>
        <v>0.1053185887</v>
      </c>
      <c r="I1185" s="4">
        <f>IFERROR(__xludf.DUMMYFUNCTION("GOOGLEFINANCE(""CURRENCY:INRBRL"")*F1185"),101.3934704372)</f>
        <v>101.3934704</v>
      </c>
      <c r="J1185" s="1">
        <v>4.51</v>
      </c>
      <c r="K1185" s="1">
        <v>11456.0</v>
      </c>
      <c r="L1185" s="1" t="s">
        <v>4526</v>
      </c>
      <c r="M1185" s="6" t="s">
        <v>4527</v>
      </c>
      <c r="N1185" s="7" t="str">
        <f>VLOOKUP(A1185, avaliacoes!A:G, 5, FALSE)</f>
        <v>Nice,Overall satisfied with the product,Good,Nice products,Slow filteration,Fit for 2 people,Mini filter,I have received delivery yesterday only and found a manufacturing defect i.e. leakage from the top</v>
      </c>
      <c r="O1185" s="7" t="str">
        <f>VLOOKUP(A1185, avaliacoes!A:G, 6, FALSE)</f>
        <v>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v>
      </c>
    </row>
    <row r="1186">
      <c r="A1186" s="1" t="s">
        <v>4528</v>
      </c>
      <c r="B1186" s="1" t="s">
        <v>4529</v>
      </c>
      <c r="C1186" s="1" t="s">
        <v>3846</v>
      </c>
      <c r="D1186" s="1" t="str">
        <f t="shared" si="2"/>
        <v>Home&amp;Kitchen</v>
      </c>
      <c r="E1186" s="1" t="str">
        <f t="shared" si="3"/>
        <v>Heating,Cooling&amp;AirQuality</v>
      </c>
      <c r="F1186" s="2">
        <v>649.0</v>
      </c>
      <c r="G1186" s="2">
        <v>999.0</v>
      </c>
      <c r="H1186" s="3">
        <f t="shared" si="4"/>
        <v>0.3503503504</v>
      </c>
      <c r="I1186" s="4">
        <f>IFERROR(__xludf.DUMMYFUNCTION("GOOGLEFINANCE(""CURRENCY:INRBRL"")*F1186"),38.7312314972)</f>
        <v>38.7312315</v>
      </c>
      <c r="J1186" s="1">
        <v>4.51</v>
      </c>
      <c r="K1186" s="1">
        <v>49.0</v>
      </c>
      <c r="L1186" s="1" t="s">
        <v>4530</v>
      </c>
      <c r="M1186" s="6" t="s">
        <v>4531</v>
      </c>
      <c r="N1186" s="7" t="str">
        <f>VLOOKUP(A1186, avaliacoes!A:G, 5, FALSE)</f>
        <v>Satisfied product 👍,it was without manufacturer's pakcaging.had a big bent on metal . did not return because needed.,Highly recommended.,Very good,Writing review after 2 seasons,Very bad product,Excellent,Best product</v>
      </c>
      <c r="O1186" s="7" t="str">
        <f>VLOOKUP(A1186, avaliacoes!A:G, 6, FALSE)</f>
        <v>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v>
      </c>
    </row>
    <row r="1187">
      <c r="A1187" s="1" t="s">
        <v>4532</v>
      </c>
      <c r="B1187" s="1" t="s">
        <v>4533</v>
      </c>
      <c r="C1187" s="1" t="s">
        <v>3914</v>
      </c>
      <c r="D1187" s="1" t="str">
        <f t="shared" si="2"/>
        <v>Home&amp;Kitchen</v>
      </c>
      <c r="E1187" s="1" t="str">
        <f t="shared" si="3"/>
        <v>Kitchen&amp;HomeAppliances</v>
      </c>
      <c r="F1187" s="2">
        <v>3249.0</v>
      </c>
      <c r="G1187" s="2">
        <v>6375.0</v>
      </c>
      <c r="H1187" s="3">
        <f t="shared" si="4"/>
        <v>0.4903529412</v>
      </c>
      <c r="I1187" s="4">
        <f>IFERROR(__xludf.DUMMYFUNCTION("GOOGLEFINANCE(""CURRENCY:INRBRL"")*F1187"),193.8948707772)</f>
        <v>193.8948708</v>
      </c>
      <c r="J1187" s="1">
        <v>4.0</v>
      </c>
      <c r="K1187" s="1">
        <v>4978.0</v>
      </c>
      <c r="L1187" s="1" t="s">
        <v>4534</v>
      </c>
      <c r="M1187" s="6" t="s">
        <v>4535</v>
      </c>
      <c r="N1187" s="7" t="str">
        <f>VLOOKUP(A1187, avaliacoes!A:G, 5, FALSE)</f>
        <v>Good Product,Good,This product is most satisfying product on Amazon,Bajaj Nam hi Kafi hai,Bahut acchi,It does what it's meant for.....,The juicer is useless but blender/grinder/mixer is fine,Good</v>
      </c>
      <c r="O1187" s="7" t="str">
        <f>VLOOKUP(A1187, avaliacoes!A:G, 6, FALSE)</f>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v>
      </c>
    </row>
    <row r="1188">
      <c r="A1188" s="1" t="s">
        <v>4536</v>
      </c>
      <c r="B1188" s="1" t="s">
        <v>4537</v>
      </c>
      <c r="C1188" s="1" t="s">
        <v>3989</v>
      </c>
      <c r="D1188" s="1" t="str">
        <f t="shared" si="2"/>
        <v>Home&amp;Kitchen</v>
      </c>
      <c r="E1188" s="1" t="str">
        <f t="shared" si="3"/>
        <v>HomeStorage&amp;Organization</v>
      </c>
      <c r="F1188" s="2">
        <v>199.0</v>
      </c>
      <c r="G1188" s="2">
        <v>499.0</v>
      </c>
      <c r="H1188" s="3">
        <f t="shared" si="4"/>
        <v>0.6012024048</v>
      </c>
      <c r="I1188" s="4">
        <f>IFERROR(__xludf.DUMMYFUNCTION("GOOGLEFINANCE(""CURRENCY:INRBRL"")*F1188"),11.8759862372)</f>
        <v>11.87598624</v>
      </c>
      <c r="J1188" s="1">
        <v>4.49</v>
      </c>
      <c r="K1188" s="1">
        <v>1996.0</v>
      </c>
      <c r="L1188" s="1" t="s">
        <v>4538</v>
      </c>
      <c r="M1188" s="6" t="s">
        <v>4539</v>
      </c>
      <c r="N1188" s="7" t="str">
        <f>VLOOKUP(A1188, avaliacoes!A:G, 5, FALSE)</f>
        <v>Value for money,Nice product,Good,Product is dirty,Very usefull but small size.,Attractive!!,Best product,Superb comfort</v>
      </c>
      <c r="O1188" s="7" t="str">
        <f>VLOOKUP(A1188, avaliacoes!A:G, 6, FALSE)</f>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v>
      </c>
    </row>
    <row r="1189">
      <c r="A1189" s="1" t="s">
        <v>4540</v>
      </c>
      <c r="B1189" s="1" t="s">
        <v>4541</v>
      </c>
      <c r="C1189" s="1" t="s">
        <v>4049</v>
      </c>
      <c r="D1189" s="1" t="str">
        <f t="shared" si="2"/>
        <v>Home&amp;Kitchen</v>
      </c>
      <c r="E1189" s="1" t="str">
        <f t="shared" si="3"/>
        <v>Kitchen&amp;HomeAppliances</v>
      </c>
      <c r="F1189" s="2">
        <v>1099.0</v>
      </c>
      <c r="G1189" s="2">
        <v>1899.0</v>
      </c>
      <c r="H1189" s="3">
        <f t="shared" si="4"/>
        <v>0.4212743549</v>
      </c>
      <c r="I1189" s="4">
        <f>IFERROR(__xludf.DUMMYFUNCTION("GOOGLEFINANCE(""CURRENCY:INRBRL"")*F1189"),65.58647675719999)</f>
        <v>65.58647676</v>
      </c>
      <c r="J1189" s="1">
        <v>4.5</v>
      </c>
      <c r="K1189" s="1">
        <v>1811.0</v>
      </c>
      <c r="L1189" s="1" t="s">
        <v>4542</v>
      </c>
      <c r="M1189" s="6" t="s">
        <v>4543</v>
      </c>
      <c r="N1189" s="7" t="str">
        <f>VLOOKUP(A1189, avaliacoes!A:G, 5, FALSE)</f>
        <v>Nice good,Easy to use,Good , however little costly,Good one,Its good.,Excellent egg boiler.,Product is so good bat the cabale length is short,Must buy</v>
      </c>
      <c r="O1189" s="7" t="str">
        <f>VLOOKUP(A1189, avaliacoes!A:G, 6, FALSE)</f>
        <v>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v>
      </c>
    </row>
    <row r="1190">
      <c r="A1190" s="1" t="s">
        <v>4544</v>
      </c>
      <c r="B1190" s="1" t="s">
        <v>4545</v>
      </c>
      <c r="C1190" s="1" t="s">
        <v>3841</v>
      </c>
      <c r="D1190" s="1" t="str">
        <f t="shared" si="2"/>
        <v>Home&amp;Kitchen</v>
      </c>
      <c r="E1190" s="1" t="str">
        <f t="shared" si="3"/>
        <v>Kitchen&amp;HomeAppliances</v>
      </c>
      <c r="F1190" s="2">
        <v>664.0</v>
      </c>
      <c r="G1190" s="2">
        <v>1499.0</v>
      </c>
      <c r="H1190" s="3">
        <f t="shared" si="4"/>
        <v>0.5570380254</v>
      </c>
      <c r="I1190" s="4">
        <f>IFERROR(__xludf.DUMMYFUNCTION("GOOGLEFINANCE(""CURRENCY:INRBRL"")*F1190"),39.626406339199995)</f>
        <v>39.62640634</v>
      </c>
      <c r="J1190" s="1">
        <v>4.0</v>
      </c>
      <c r="K1190" s="1">
        <v>2198.0</v>
      </c>
      <c r="L1190" s="1" t="s">
        <v>4546</v>
      </c>
      <c r="M1190" s="6" t="s">
        <v>4547</v>
      </c>
      <c r="N1190" s="7" t="str">
        <f>VLOOKUP(A1190, avaliacoes!A:G, 5, FALSE)</f>
        <v>Good metal,Nice product,Good product at reasonable price.,Working fine even after 2 to 3 months of use.,Nicely working sine 1 week,Amazing product!!!,Nice product,Easy to use</v>
      </c>
      <c r="O1190" s="7" t="str">
        <f>VLOOKUP(A1190, avaliacoes!A:G, 6, FALSE)</f>
        <v>I like look like nd easy to opreate,Product is good,Nice product...in reasonable price.,This item does not have a 2 year warranty as shown on the image. Will have to register for it.,Best one,Amazing product!!,Product is good and value for money.,</v>
      </c>
    </row>
    <row r="1191">
      <c r="A1191" s="1" t="s">
        <v>4548</v>
      </c>
      <c r="B1191" s="1" t="s">
        <v>4549</v>
      </c>
      <c r="C1191" s="1" t="s">
        <v>4062</v>
      </c>
      <c r="D1191" s="1" t="str">
        <f t="shared" si="2"/>
        <v>Home&amp;Kitchen</v>
      </c>
      <c r="E1191" s="1" t="str">
        <f t="shared" si="3"/>
        <v>Kitchen&amp;HomeAppliances</v>
      </c>
      <c r="F1191" s="2">
        <v>260.0</v>
      </c>
      <c r="G1191" s="2">
        <v>350.0</v>
      </c>
      <c r="H1191" s="3">
        <f t="shared" si="4"/>
        <v>0.2571428571</v>
      </c>
      <c r="I1191" s="4">
        <f>IFERROR(__xludf.DUMMYFUNCTION("GOOGLEFINANCE(""CURRENCY:INRBRL"")*F1191"),15.516363927999999)</f>
        <v>15.51636393</v>
      </c>
      <c r="J1191" s="1">
        <v>4.52</v>
      </c>
      <c r="K1191" s="1">
        <v>13127.0</v>
      </c>
      <c r="L1191" s="1" t="s">
        <v>4550</v>
      </c>
      <c r="M1191" s="6" t="s">
        <v>4551</v>
      </c>
      <c r="N1191" s="7" t="str">
        <f>VLOOKUP(A1191, avaliacoes!A:G, 5, FALSE)</f>
        <v>Value for money,Just worth it ....,verry usefull product,Not bad,Value for money,Decent product,Good product, but the quality is not so good, easily breakable,Good</v>
      </c>
      <c r="O1191" s="7" t="str">
        <f>VLOOKUP(A1191, avaliacoes!A:G, 6, FALSE)</f>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v>
      </c>
    </row>
    <row r="1192">
      <c r="A1192" s="1" t="s">
        <v>4552</v>
      </c>
      <c r="B1192" s="1" t="s">
        <v>4553</v>
      </c>
      <c r="C1192" s="1" t="s">
        <v>3942</v>
      </c>
      <c r="D1192" s="1" t="str">
        <f t="shared" si="2"/>
        <v>Home&amp;Kitchen</v>
      </c>
      <c r="E1192" s="1" t="str">
        <f t="shared" si="3"/>
        <v>Heating,Cooling&amp;AirQuality</v>
      </c>
      <c r="F1192" s="2">
        <v>6499.0</v>
      </c>
      <c r="G1192" s="2">
        <v>8499.0</v>
      </c>
      <c r="H1192" s="3">
        <f t="shared" si="4"/>
        <v>0.2353218026</v>
      </c>
      <c r="I1192" s="4">
        <f>IFERROR(__xludf.DUMMYFUNCTION("GOOGLEFINANCE(""CURRENCY:INRBRL"")*F1192"),387.8494198772)</f>
        <v>387.8494199</v>
      </c>
      <c r="J1192" s="1">
        <v>4.5</v>
      </c>
      <c r="K1192" s="1">
        <v>5865.0</v>
      </c>
      <c r="L1192" s="1" t="s">
        <v>4554</v>
      </c>
      <c r="M1192" s="6" t="s">
        <v>4555</v>
      </c>
      <c r="N1192" s="7" t="str">
        <f>VLOOKUP(A1192, avaliacoes!A:G, 5, FALSE)</f>
        <v>Working with some issues,Digital display faulty,Best in budget,Quick heating and good digital temperature display,Installation and Inlet Outlet Fees are 350+250,Good,Good performance,Geyser looks compact and easy to access</v>
      </c>
      <c r="O1192" s="7" t="str">
        <f>VLOOKUP(A1192, avaliacoes!A:G, 6, FALSE)</f>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v>
      </c>
    </row>
    <row r="1193">
      <c r="A1193" s="1" t="s">
        <v>4556</v>
      </c>
      <c r="B1193" s="1" t="s">
        <v>4557</v>
      </c>
      <c r="C1193" s="1" t="s">
        <v>4558</v>
      </c>
      <c r="D1193" s="1" t="str">
        <f t="shared" si="2"/>
        <v>Home&amp;Kitchen</v>
      </c>
      <c r="E1193" s="1" t="str">
        <f t="shared" si="3"/>
        <v>Kitchen&amp;HomeAppliances</v>
      </c>
      <c r="F1193" s="2">
        <v>1484.0</v>
      </c>
      <c r="G1193" s="2">
        <v>2499.0</v>
      </c>
      <c r="H1193" s="3">
        <f t="shared" si="4"/>
        <v>0.406162465</v>
      </c>
      <c r="I1193" s="4">
        <f>IFERROR(__xludf.DUMMYFUNCTION("GOOGLEFINANCE(""CURRENCY:INRBRL"")*F1193"),88.5626310352)</f>
        <v>88.56263104</v>
      </c>
      <c r="J1193" s="1">
        <v>4.51</v>
      </c>
      <c r="K1193" s="1">
        <v>1067.0</v>
      </c>
      <c r="L1193" s="1" t="s">
        <v>4559</v>
      </c>
      <c r="M1193" s="6" t="s">
        <v>4560</v>
      </c>
      <c r="N1193" s="7" t="str">
        <f>VLOOKUP(A1193, avaliacoes!A:G, 5, FALSE)</f>
        <v>Very User friendly sewing machine for beginners,Easy to use,Good portable sewing machine,Good for starting light stitching and quick works. Easy peddal switch is convenient.. satisfactory,Overall its a best product at this price,Quite simple to use,ok product,Nice</v>
      </c>
      <c r="O1193" s="7" t="str">
        <f>VLOOKUP(A1193, avaliacoes!A:G, 6, FALSE)</f>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v>
      </c>
    </row>
    <row r="1194">
      <c r="A1194" s="1" t="s">
        <v>4561</v>
      </c>
      <c r="B1194" s="1" t="s">
        <v>4562</v>
      </c>
      <c r="C1194" s="1" t="s">
        <v>3994</v>
      </c>
      <c r="D1194" s="1" t="str">
        <f t="shared" si="2"/>
        <v>Home&amp;Kitchen</v>
      </c>
      <c r="E1194" s="1" t="str">
        <f t="shared" si="3"/>
        <v>Kitchen&amp;HomeAppliances</v>
      </c>
      <c r="F1194" s="2">
        <v>999.0</v>
      </c>
      <c r="G1194" s="2">
        <v>1599.0</v>
      </c>
      <c r="H1194" s="3">
        <f t="shared" si="4"/>
        <v>0.3752345216</v>
      </c>
      <c r="I1194" s="4">
        <f>IFERROR(__xludf.DUMMYFUNCTION("GOOGLEFINANCE(""CURRENCY:INRBRL"")*F1194"),59.61864447719999)</f>
        <v>59.61864448</v>
      </c>
      <c r="J1194" s="1">
        <v>4.51</v>
      </c>
      <c r="K1194" s="1">
        <v>4881.0</v>
      </c>
      <c r="L1194" s="1" t="s">
        <v>4563</v>
      </c>
      <c r="M1194" s="6" t="s">
        <v>4564</v>
      </c>
      <c r="N1194" s="7" t="str">
        <f>VLOOKUP(A1194, avaliacoes!A:G, 5, FALSE)</f>
        <v>Nice,Good product,Poor,its Good working this iron,Water comes out,Average,I collect damaged item so i return but not received or replacement,Not that good but ok at the price of 899.</v>
      </c>
      <c r="O1194" s="7" t="str">
        <f>VLOOKUP(A1194, avaliacoes!A:G, 6, FALSE)</f>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v>
      </c>
    </row>
    <row r="1195">
      <c r="A1195" s="1" t="s">
        <v>4565</v>
      </c>
      <c r="B1195" s="1" t="s">
        <v>4566</v>
      </c>
      <c r="C1195" s="1" t="s">
        <v>4011</v>
      </c>
      <c r="D1195" s="1" t="str">
        <f t="shared" si="2"/>
        <v>Home&amp;Kitchen</v>
      </c>
      <c r="E1195" s="1" t="str">
        <f t="shared" si="3"/>
        <v>Kitchen&amp;HomeAppliances</v>
      </c>
      <c r="F1195" s="2">
        <v>3299.0</v>
      </c>
      <c r="G1195" s="2">
        <v>6499.0</v>
      </c>
      <c r="H1195" s="3">
        <f t="shared" si="4"/>
        <v>0.4923834436</v>
      </c>
      <c r="I1195" s="4">
        <f>IFERROR(__xludf.DUMMYFUNCTION("GOOGLEFINANCE(""CURRENCY:INRBRL"")*F1195"),196.8787869172)</f>
        <v>196.8787869</v>
      </c>
      <c r="J1195" s="1">
        <v>4.51</v>
      </c>
      <c r="K1195" s="1">
        <v>11217.0</v>
      </c>
      <c r="L1195" s="1" t="s">
        <v>4567</v>
      </c>
      <c r="M1195" s="6" t="s">
        <v>4568</v>
      </c>
      <c r="N1195" s="7" t="str">
        <f>VLOOKUP(A1195, avaliacoes!A:G, 5, FALSE)</f>
        <v>Compact and powerful but alot of plastic,Overall good,Good product.,Superb product,Effecient and affordable product,Wonderchef Mixer,Very helpful,Very Bad quality product</v>
      </c>
      <c r="O1195" s="7" t="str">
        <f>VLOOKUP(A1195, avaliacoes!A:G, 6, FALSE)</f>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v>
      </c>
    </row>
    <row r="1196">
      <c r="A1196" s="1" t="s">
        <v>4569</v>
      </c>
      <c r="B1196" s="1" t="s">
        <v>4570</v>
      </c>
      <c r="C1196" s="1" t="s">
        <v>3904</v>
      </c>
      <c r="D1196" s="1" t="str">
        <f t="shared" si="2"/>
        <v>Home&amp;Kitchen</v>
      </c>
      <c r="E1196" s="1" t="str">
        <f t="shared" si="3"/>
        <v>Kitchen&amp;HomeAppliances</v>
      </c>
      <c r="F1196" s="2">
        <v>259.0</v>
      </c>
      <c r="G1196" s="2">
        <v>999.0</v>
      </c>
      <c r="H1196" s="3">
        <f t="shared" si="4"/>
        <v>0.7407407407</v>
      </c>
      <c r="I1196" s="4">
        <f>IFERROR(__xludf.DUMMYFUNCTION("GOOGLEFINANCE(""CURRENCY:INRBRL"")*F1196"),15.456685605199999)</f>
        <v>15.45668561</v>
      </c>
      <c r="J1196" s="1">
        <v>4.0</v>
      </c>
      <c r="K1196" s="1">
        <v>43.0</v>
      </c>
      <c r="L1196" s="1" t="s">
        <v>4571</v>
      </c>
      <c r="M1196" s="6" t="s">
        <v>4572</v>
      </c>
      <c r="N1196" s="7" t="str">
        <f>VLOOKUP(A1196, avaliacoes!A:G, 5, FALSE)</f>
        <v>Nice frother,Nice product I like this product,Best,Very low power and quality,Good quality,Waste of money,Awesome,Satisfied purchase</v>
      </c>
      <c r="O1196" s="7" t="str">
        <f>VLOOKUP(A1196, avaliacoes!A:G, 6, FALSE)</f>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v>
      </c>
    </row>
    <row r="1197">
      <c r="A1197" s="1" t="s">
        <v>4573</v>
      </c>
      <c r="B1197" s="1" t="s">
        <v>4574</v>
      </c>
      <c r="C1197" s="1" t="s">
        <v>3914</v>
      </c>
      <c r="D1197" s="1" t="str">
        <f t="shared" si="2"/>
        <v>Home&amp;Kitchen</v>
      </c>
      <c r="E1197" s="1" t="str">
        <f t="shared" si="3"/>
        <v>Kitchen&amp;HomeAppliances</v>
      </c>
      <c r="F1197" s="2">
        <v>3249.0</v>
      </c>
      <c r="G1197" s="2">
        <v>7795.0</v>
      </c>
      <c r="H1197" s="3">
        <f t="shared" si="4"/>
        <v>0.5831943554</v>
      </c>
      <c r="I1197" s="4">
        <f>IFERROR(__xludf.DUMMYFUNCTION("GOOGLEFINANCE(""CURRENCY:INRBRL"")*F1197"),193.8948707772)</f>
        <v>193.8948708</v>
      </c>
      <c r="J1197" s="1">
        <v>4.5</v>
      </c>
      <c r="K1197" s="1">
        <v>4664.0</v>
      </c>
      <c r="L1197" s="1" t="s">
        <v>4575</v>
      </c>
      <c r="M1197" s="6" t="s">
        <v>4576</v>
      </c>
      <c r="N1197" s="7" t="str">
        <f>VLOOKUP(A1197, avaliacoes!A:G, 5, FALSE)</f>
        <v>Superb,Quite efficient,Go for it,Very nice,Noisy but works good.,Powerful grinding,Satisfied for the time being.,Solid purchase</v>
      </c>
      <c r="O1197" s="7" t="str">
        <f>VLOOKUP(A1197, avaliacoes!A:G, 6, FALSE)</f>
        <v>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v>
      </c>
    </row>
    <row r="1198">
      <c r="A1198" s="1" t="s">
        <v>4577</v>
      </c>
      <c r="B1198" s="1" t="s">
        <v>4578</v>
      </c>
      <c r="C1198" s="1" t="s">
        <v>3994</v>
      </c>
      <c r="D1198" s="1" t="str">
        <f t="shared" si="2"/>
        <v>Home&amp;Kitchen</v>
      </c>
      <c r="E1198" s="1" t="str">
        <f t="shared" si="3"/>
        <v>Kitchen&amp;HomeAppliances</v>
      </c>
      <c r="F1198" s="2">
        <v>4299.0</v>
      </c>
      <c r="G1198" s="2">
        <v>5995.0</v>
      </c>
      <c r="H1198" s="3">
        <f t="shared" si="4"/>
        <v>0.2829024187</v>
      </c>
      <c r="I1198" s="4">
        <f>IFERROR(__xludf.DUMMYFUNCTION("GOOGLEFINANCE(""CURRENCY:INRBRL"")*F1198"),256.5571097172)</f>
        <v>256.5571097</v>
      </c>
      <c r="J1198" s="1">
        <v>4.51</v>
      </c>
      <c r="K1198" s="1">
        <v>2112.0</v>
      </c>
      <c r="L1198" s="1" t="s">
        <v>4579</v>
      </c>
      <c r="M1198" s="6" t="s">
        <v>4580</v>
      </c>
      <c r="N1198" s="7" t="str">
        <f>VLOOKUP(A1198, avaliacoes!A:G, 5, FALSE)</f>
        <v>Over Expensive product,Handy,better to buy normal iron box,Inefficient and time-consuming.,Water tank is too small,Wrinkle free and easy to handle,works very well,Just ok</v>
      </c>
      <c r="O1198" s="7" t="str">
        <f>VLOOKUP(A1198, avaliacoes!A:G, 6, FALSE)</f>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v>
      </c>
    </row>
    <row r="1199">
      <c r="A1199" s="1" t="s">
        <v>4581</v>
      </c>
      <c r="B1199" s="1" t="s">
        <v>4582</v>
      </c>
      <c r="C1199" s="1" t="s">
        <v>4583</v>
      </c>
      <c r="D1199" s="1" t="str">
        <f t="shared" si="2"/>
        <v>Home&amp;Kitchen</v>
      </c>
      <c r="E1199" s="1" t="str">
        <f t="shared" si="3"/>
        <v>HomeStorage&amp;Organization</v>
      </c>
      <c r="F1199" s="2">
        <v>189.0</v>
      </c>
      <c r="G1199" s="2">
        <v>299.0</v>
      </c>
      <c r="H1199" s="3">
        <f t="shared" si="4"/>
        <v>0.3678929766</v>
      </c>
      <c r="I1199" s="4">
        <f>IFERROR(__xludf.DUMMYFUNCTION("GOOGLEFINANCE(""CURRENCY:INRBRL"")*F1199"),11.2792030092)</f>
        <v>11.27920301</v>
      </c>
      <c r="J1199" s="1">
        <v>4.5</v>
      </c>
      <c r="K1199" s="1">
        <v>2737.0</v>
      </c>
      <c r="L1199" s="1" t="s">
        <v>4584</v>
      </c>
      <c r="M1199" s="6" t="s">
        <v>4585</v>
      </c>
      <c r="N1199" s="7" t="str">
        <f>VLOOKUP(A1199, avaliacoes!A:G, 5, FALSE)</f>
        <v>Bht hi achi hai aur usefull b..thanx amazon....mgr aap delivery charges khatam karen, plzzzzzzp.,Good quality products,Good quality product,Go for it,Extremely useful and great quality!,Good 👍,It is what is told quality is also very good,Value for money</v>
      </c>
      <c r="O1199" s="7" t="str">
        <f>VLOOKUP(A1199, avaliacoes!A:G, 6, FALSE)</f>
        <v>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v>
      </c>
    </row>
    <row r="1200">
      <c r="A1200" s="1" t="s">
        <v>4586</v>
      </c>
      <c r="B1200" s="1" t="s">
        <v>4587</v>
      </c>
      <c r="C1200" s="1" t="s">
        <v>4158</v>
      </c>
      <c r="D1200" s="1" t="str">
        <f t="shared" si="2"/>
        <v>Home&amp;Kitchen</v>
      </c>
      <c r="E1200" s="1" t="str">
        <f t="shared" si="3"/>
        <v>Heating,Cooling&amp;AirQuality</v>
      </c>
      <c r="F1200" s="2">
        <v>1449.0</v>
      </c>
      <c r="G1200" s="2">
        <v>2349.0</v>
      </c>
      <c r="H1200" s="3">
        <f t="shared" si="4"/>
        <v>0.3831417625</v>
      </c>
      <c r="I1200" s="4">
        <f>IFERROR(__xludf.DUMMYFUNCTION("GOOGLEFINANCE(""CURRENCY:INRBRL"")*F1200"),86.4738897372)</f>
        <v>86.47388974</v>
      </c>
      <c r="J1200" s="1">
        <v>4.52</v>
      </c>
      <c r="K1200" s="1">
        <v>9019.0</v>
      </c>
      <c r="L1200" s="1" t="s">
        <v>4588</v>
      </c>
      <c r="M1200" s="6" t="s">
        <v>4589</v>
      </c>
      <c r="N1200" s="7" t="str">
        <f>VLOOKUP(A1200, avaliacoes!A:G, 5, FALSE)</f>
        <v>little bit good,Not Bad,sleek,good,Good product,Nice fan,Simple but effective,अभी यूज करते हुए जड टाइम नहीं हुआ है</v>
      </c>
      <c r="O1200" s="7" t="str">
        <f>VLOOKUP(A1200, avaliacoes!A:G, 6, FALSE)</f>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v>
      </c>
    </row>
    <row r="1201">
      <c r="A1201" s="1" t="s">
        <v>4590</v>
      </c>
      <c r="B1201" s="1" t="s">
        <v>4591</v>
      </c>
      <c r="C1201" s="1" t="s">
        <v>3989</v>
      </c>
      <c r="D1201" s="1" t="str">
        <f t="shared" si="2"/>
        <v>Home&amp;Kitchen</v>
      </c>
      <c r="E1201" s="1" t="str">
        <f t="shared" si="3"/>
        <v>HomeStorage&amp;Organization</v>
      </c>
      <c r="F1201" s="2">
        <v>199.0</v>
      </c>
      <c r="G1201" s="2">
        <v>499.0</v>
      </c>
      <c r="H1201" s="3">
        <f t="shared" si="4"/>
        <v>0.6012024048</v>
      </c>
      <c r="I1201" s="4">
        <f>IFERROR(__xludf.DUMMYFUNCTION("GOOGLEFINANCE(""CURRENCY:INRBRL"")*F1201"),11.8759862372)</f>
        <v>11.87598624</v>
      </c>
      <c r="J1201" s="1">
        <v>4.0</v>
      </c>
      <c r="K1201" s="1">
        <v>10234.0</v>
      </c>
      <c r="L1201" s="1" t="s">
        <v>4592</v>
      </c>
      <c r="M1201" s="6" t="s">
        <v>4593</v>
      </c>
      <c r="N1201" s="7" t="str">
        <f>VLOOKUP(A1201, avaliacoes!A:G, 5, FALSE)</f>
        <v>Good,Return value of money spent,Small size.,Good bag, bad straps,Diameter and Steadiness,Value for money,The quality of material and stitching is good, but it is not sturdy.,Good but a little costly for what it is.</v>
      </c>
      <c r="O1201" s="7" t="str">
        <f>VLOOKUP(A1201, avaliacoes!A:G, 6, FALSE)</f>
        <v>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v>
      </c>
    </row>
    <row r="1202">
      <c r="A1202" s="1" t="s">
        <v>4594</v>
      </c>
      <c r="B1202" s="1" t="s">
        <v>4595</v>
      </c>
      <c r="C1202" s="1" t="s">
        <v>4596</v>
      </c>
      <c r="D1202" s="1" t="str">
        <f t="shared" si="2"/>
        <v>Home&amp;Kitchen</v>
      </c>
      <c r="E1202" s="1" t="str">
        <f t="shared" si="3"/>
        <v>Kitchen&amp;HomeAppliances</v>
      </c>
      <c r="F1202" s="2">
        <v>474.0</v>
      </c>
      <c r="G1202" s="2">
        <v>1299.0</v>
      </c>
      <c r="H1202" s="3">
        <f t="shared" si="4"/>
        <v>0.6351039261</v>
      </c>
      <c r="I1202" s="4">
        <f>IFERROR(__xludf.DUMMYFUNCTION("GOOGLEFINANCE(""CURRENCY:INRBRL"")*F1202"),28.2875250072)</f>
        <v>28.28752501</v>
      </c>
      <c r="J1202" s="1">
        <v>4.49</v>
      </c>
      <c r="K1202" s="1">
        <v>550.0</v>
      </c>
      <c r="L1202" s="1" t="s">
        <v>4597</v>
      </c>
      <c r="M1202" s="6" t="s">
        <v>4598</v>
      </c>
      <c r="N1202" s="7" t="str">
        <f>VLOOKUP(A1202, avaliacoes!A:G, 5, FALSE)</f>
        <v>Tools,Good product,Small yet powerful,Pretty good for the price,Good quality,More than price worthy,MUST BUY IT,Great product!</v>
      </c>
      <c r="O1202" s="7" t="str">
        <f>VLOOKUP(A1202, avaliacoes!A:G, 6, FALSE)</f>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v>
      </c>
    </row>
    <row r="1203">
      <c r="A1203" s="1" t="s">
        <v>4599</v>
      </c>
      <c r="B1203" s="1" t="s">
        <v>4600</v>
      </c>
      <c r="C1203" s="1" t="s">
        <v>3904</v>
      </c>
      <c r="D1203" s="1" t="str">
        <f t="shared" si="2"/>
        <v>Home&amp;Kitchen</v>
      </c>
      <c r="E1203" s="1" t="str">
        <f t="shared" si="3"/>
        <v>Kitchen&amp;HomeAppliances</v>
      </c>
      <c r="F1203" s="2">
        <v>279.0</v>
      </c>
      <c r="G1203" s="2">
        <v>499.0</v>
      </c>
      <c r="H1203" s="3">
        <f t="shared" si="4"/>
        <v>0.4408817635</v>
      </c>
      <c r="I1203" s="4">
        <f>IFERROR(__xludf.DUMMYFUNCTION("GOOGLEFINANCE(""CURRENCY:INRBRL"")*F1203"),16.6502520612)</f>
        <v>16.65025206</v>
      </c>
      <c r="J1203" s="1">
        <v>4.51</v>
      </c>
      <c r="K1203" s="1">
        <v>28.0</v>
      </c>
      <c r="L1203" s="1" t="s">
        <v>4601</v>
      </c>
      <c r="M1203" s="6" t="s">
        <v>4602</v>
      </c>
      <c r="N1203" s="7" t="str">
        <f>VLOOKUP(A1203, avaliacoes!A:G, 5, FALSE)</f>
        <v>Oratech Best Coffee Frother,Great,My review about Oratech Coffee Frother for milk,Good product,Easy to use 👍,Good product,best product,Easy to use</v>
      </c>
      <c r="O1203" s="7" t="str">
        <f>VLOOKUP(A1203, avaliacoes!A:G, 6, FALSE)</f>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v>
      </c>
    </row>
    <row r="1204">
      <c r="A1204" s="1" t="s">
        <v>4603</v>
      </c>
      <c r="B1204" s="1" t="s">
        <v>4604</v>
      </c>
      <c r="C1204" s="1" t="s">
        <v>4158</v>
      </c>
      <c r="D1204" s="1" t="str">
        <f t="shared" si="2"/>
        <v>Home&amp;Kitchen</v>
      </c>
      <c r="E1204" s="1" t="str">
        <f t="shared" si="3"/>
        <v>Heating,Cooling&amp;AirQuality</v>
      </c>
      <c r="F1204" s="2">
        <v>1999.0</v>
      </c>
      <c r="G1204" s="2">
        <v>4775.0</v>
      </c>
      <c r="H1204" s="3">
        <f t="shared" si="4"/>
        <v>0.5813612565</v>
      </c>
      <c r="I1204" s="4">
        <f>IFERROR(__xludf.DUMMYFUNCTION("GOOGLEFINANCE(""CURRENCY:INRBRL"")*F1204"),119.2969672772)</f>
        <v>119.2969673</v>
      </c>
      <c r="J1204" s="1">
        <v>4.5</v>
      </c>
      <c r="K1204" s="1">
        <v>1353.0</v>
      </c>
      <c r="L1204" s="1" t="s">
        <v>4605</v>
      </c>
      <c r="M1204" s="6" t="s">
        <v>4606</v>
      </c>
      <c r="N1204" s="7" t="str">
        <f>VLOOKUP(A1204, avaliacoes!A:G, 5, FALSE)</f>
        <v>Nice product in this range,After 3 month of using ,,observed decorative ,less noise upto medium speed ,overall OK .,Best product,need to improve on noise,Good fan,Good,Noisy,Value for money spent</v>
      </c>
      <c r="O1204" s="7" t="str">
        <f>VLOOKUP(A1204, avaliacoes!A:G, 6, FALSE)</f>
        <v>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v>
      </c>
    </row>
    <row r="1205">
      <c r="A1205" s="1" t="s">
        <v>4607</v>
      </c>
      <c r="B1205" s="1" t="s">
        <v>4608</v>
      </c>
      <c r="C1205" s="1" t="s">
        <v>3856</v>
      </c>
      <c r="D1205" s="1" t="str">
        <f t="shared" si="2"/>
        <v>Home&amp;Kitchen</v>
      </c>
      <c r="E1205" s="1" t="str">
        <f t="shared" si="3"/>
        <v>Kitchen&amp;HomeAppliances</v>
      </c>
      <c r="F1205" s="2">
        <v>799.0</v>
      </c>
      <c r="G1205" s="2">
        <v>1239.0</v>
      </c>
      <c r="H1205" s="3">
        <f t="shared" si="4"/>
        <v>0.3551251009</v>
      </c>
      <c r="I1205" s="4">
        <f>IFERROR(__xludf.DUMMYFUNCTION("GOOGLEFINANCE(""CURRENCY:INRBRL"")*F1205"),47.682979917199994)</f>
        <v>47.68297992</v>
      </c>
      <c r="J1205" s="1">
        <v>4.49</v>
      </c>
      <c r="K1205" s="1">
        <v>2138.0</v>
      </c>
      <c r="L1205" s="1" t="s">
        <v>4609</v>
      </c>
      <c r="M1205" s="6" t="s">
        <v>4610</v>
      </c>
      <c r="N1205" s="7" t="str">
        <f>VLOOKUP(A1205, avaliacoes!A:G, 5, FALSE)</f>
        <v>Worth the money,It’s goog,Nice &amp; Easy to use product,Not good,Wonder Product!,Good product,Right product at right price,Value for money</v>
      </c>
      <c r="O1205" s="7" t="str">
        <f>VLOOKUP(A1205, avaliacoes!A:G, 6, FALSE)</f>
        <v>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v>
      </c>
    </row>
    <row r="1206">
      <c r="A1206" s="1" t="s">
        <v>4611</v>
      </c>
      <c r="B1206" s="1" t="s">
        <v>4612</v>
      </c>
      <c r="C1206" s="1" t="s">
        <v>4115</v>
      </c>
      <c r="D1206" s="1" t="str">
        <f t="shared" si="2"/>
        <v>Home&amp;Kitchen</v>
      </c>
      <c r="E1206" s="1" t="str">
        <f t="shared" si="3"/>
        <v>Kitchen&amp;HomeAppliances</v>
      </c>
      <c r="F1206" s="2">
        <v>949.0</v>
      </c>
      <c r="G1206" s="2">
        <v>1999.0</v>
      </c>
      <c r="H1206" s="3">
        <f t="shared" si="4"/>
        <v>0.5252626313</v>
      </c>
      <c r="I1206" s="4">
        <f>IFERROR(__xludf.DUMMYFUNCTION("GOOGLEFINANCE(""CURRENCY:INRBRL"")*F1206"),56.634728337199995)</f>
        <v>56.63472834</v>
      </c>
      <c r="J1206" s="1">
        <v>4.0</v>
      </c>
      <c r="K1206" s="1">
        <v>1679.0</v>
      </c>
      <c r="L1206" s="1" t="s">
        <v>4613</v>
      </c>
      <c r="M1206" s="6" t="s">
        <v>4614</v>
      </c>
      <c r="N1206" s="7" t="str">
        <f>VLOOKUP(A1206, avaliacoes!A:G, 5, FALSE)</f>
        <v>Nice,👍,Very easy and useful, but too expensive compared to remaining company products,Grt,reviews,Good product.,Very Handy product,Warranty registration needs to be user friendly</v>
      </c>
      <c r="O1206" s="7" t="str">
        <f>VLOOKUP(A1206, avaliacoes!A:G, 6, FALSE)</f>
        <v>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v>
      </c>
    </row>
    <row r="1207">
      <c r="A1207" s="1" t="s">
        <v>4615</v>
      </c>
      <c r="B1207" s="1" t="s">
        <v>4616</v>
      </c>
      <c r="C1207" s="1" t="s">
        <v>4617</v>
      </c>
      <c r="D1207" s="1" t="str">
        <f t="shared" si="2"/>
        <v>Home&amp;Kitchen</v>
      </c>
      <c r="E1207" s="1" t="str">
        <f t="shared" si="3"/>
        <v>Kitchen&amp;HomeAppliances</v>
      </c>
      <c r="F1207" s="2">
        <v>3657.66</v>
      </c>
      <c r="G1207" s="2">
        <v>5156.0</v>
      </c>
      <c r="H1207" s="3">
        <f t="shared" si="4"/>
        <v>0.2906012413</v>
      </c>
      <c r="I1207" s="4">
        <f>IFERROR(__xludf.DUMMYFUNCTION("GOOGLEFINANCE(""CURRENCY:INRBRL"")*F1207"),218.28301417264797)</f>
        <v>218.2830142</v>
      </c>
      <c r="J1207" s="1">
        <v>4.52</v>
      </c>
      <c r="K1207" s="1">
        <v>12837.0</v>
      </c>
      <c r="L1207" s="1" t="s">
        <v>4618</v>
      </c>
      <c r="M1207" s="6" t="s">
        <v>4619</v>
      </c>
      <c r="N1207" s="7" t="str">
        <f>VLOOKUP(A1207, avaliacoes!A:G, 5, FALSE)</f>
        <v>Good,Good product,Good,Good one from a renowned brand!!,Working fine..,Excellent to go for this Product,Product super,Nice product 👍</v>
      </c>
      <c r="O1207" s="7" t="str">
        <f>VLOOKUP(A1207, avaliacoes!A:G, 6, FALSE)</f>
        <v>Rate required to reduce,Good product,Good,A good budget grinder from a renowned brand,Everything is fine with the product., doing it's best in this price range..,Looks Stunning and works good as expected,Okay good,But very bit slow but very nice</v>
      </c>
    </row>
    <row r="1208">
      <c r="A1208" s="1" t="s">
        <v>4620</v>
      </c>
      <c r="B1208" s="1" t="s">
        <v>4621</v>
      </c>
      <c r="C1208" s="1" t="s">
        <v>4622</v>
      </c>
      <c r="D1208" s="1" t="str">
        <f t="shared" si="2"/>
        <v>Home&amp;Kitchen</v>
      </c>
      <c r="E1208" s="1" t="str">
        <f t="shared" si="3"/>
        <v>Kitchen&amp;HomeAppliances</v>
      </c>
      <c r="F1208" s="2">
        <v>1699.0</v>
      </c>
      <c r="G1208" s="2">
        <v>1999.0</v>
      </c>
      <c r="H1208" s="3">
        <f t="shared" si="4"/>
        <v>0.1500750375</v>
      </c>
      <c r="I1208" s="4">
        <f>IFERROR(__xludf.DUMMYFUNCTION("GOOGLEFINANCE(""CURRENCY:INRBRL"")*F1208"),101.3934704372)</f>
        <v>101.3934704</v>
      </c>
      <c r="J1208" s="1">
        <v>4.49</v>
      </c>
      <c r="K1208" s="1">
        <v>8873.0</v>
      </c>
      <c r="L1208" s="1" t="s">
        <v>4623</v>
      </c>
      <c r="M1208" s="6" t="s">
        <v>4624</v>
      </c>
      <c r="N1208" s="7" t="str">
        <f>VLOOKUP(A1208, avaliacoes!A:G, 5, FALSE)</f>
        <v>Excellent OTG and even excellent price range👌👌👍👍👍,Good product,Very Good Product at its Price Range,Great to use and makes tasty food,Awesome,Packaging was good, received the product at the right time.,Value for money,Worth</v>
      </c>
      <c r="O1208" s="7" t="str">
        <f>VLOOKUP(A1208, avaliacoes!A:G, 6, FALSE)</f>
        <v>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v>
      </c>
    </row>
    <row r="1209">
      <c r="A1209" s="1" t="s">
        <v>4625</v>
      </c>
      <c r="B1209" s="1" t="s">
        <v>4626</v>
      </c>
      <c r="C1209" s="1" t="s">
        <v>3994</v>
      </c>
      <c r="D1209" s="1" t="str">
        <f t="shared" si="2"/>
        <v>Home&amp;Kitchen</v>
      </c>
      <c r="E1209" s="1" t="str">
        <f t="shared" si="3"/>
        <v>Kitchen&amp;HomeAppliances</v>
      </c>
      <c r="F1209" s="2">
        <v>1849.0</v>
      </c>
      <c r="G1209" s="2">
        <v>2095.0</v>
      </c>
      <c r="H1209" s="3">
        <f t="shared" si="4"/>
        <v>0.1174224344</v>
      </c>
      <c r="I1209" s="4">
        <f>IFERROR(__xludf.DUMMYFUNCTION("GOOGLEFINANCE(""CURRENCY:INRBRL"")*F1209"),110.3452188572)</f>
        <v>110.3452189</v>
      </c>
      <c r="J1209" s="1">
        <v>4.5</v>
      </c>
      <c r="K1209" s="1">
        <v>7681.0</v>
      </c>
      <c r="L1209" s="1" t="s">
        <v>4627</v>
      </c>
      <c r="M1209" s="6" t="s">
        <v>4628</v>
      </c>
      <c r="N1209" s="7" t="str">
        <f>VLOOKUP(A1209, avaliacoes!A:G, 5, FALSE)</f>
        <v>Does the stated purpose,Good,Good,Steam Iron,Light weight and easy to use iron,Functional &amp; hard to Use,Overall a good product,Using it for a month. So far it is working well.</v>
      </c>
      <c r="O1209" s="7" t="str">
        <f>VLOOKUP(A1209, avaliacoes!A:G, 6, FALSE)</f>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v>
      </c>
    </row>
    <row r="1210">
      <c r="A1210" s="1" t="s">
        <v>4629</v>
      </c>
      <c r="B1210" s="1" t="s">
        <v>4630</v>
      </c>
      <c r="C1210" s="1" t="s">
        <v>3851</v>
      </c>
      <c r="D1210" s="1" t="str">
        <f t="shared" si="2"/>
        <v>Home&amp;Kitchen</v>
      </c>
      <c r="E1210" s="1" t="str">
        <f t="shared" si="3"/>
        <v>Heating,Cooling&amp;AirQuality</v>
      </c>
      <c r="F1210" s="2">
        <v>12499.0</v>
      </c>
      <c r="G1210" s="2">
        <v>19825.0</v>
      </c>
      <c r="H1210" s="3">
        <f t="shared" si="4"/>
        <v>0.3695334174</v>
      </c>
      <c r="I1210" s="4">
        <f>IFERROR(__xludf.DUMMYFUNCTION("GOOGLEFINANCE(""CURRENCY:INRBRL"")*F1210"),745.9193566772)</f>
        <v>745.9193567</v>
      </c>
      <c r="J1210" s="1">
        <v>4.49</v>
      </c>
      <c r="K1210" s="1">
        <v>322.0</v>
      </c>
      <c r="L1210" s="1" t="s">
        <v>4631</v>
      </c>
      <c r="M1210" s="6" t="s">
        <v>4632</v>
      </c>
      <c r="N1210" s="7" t="str">
        <f>VLOOKUP(A1210, avaliacoes!A:G, 5, FALSE)</f>
        <v>Good heater but digital temperature display is missed,Use intelligently for maximum outcome,Good product,13 fin oil heater has only 11 fins, wrongly advertised to fool public,Excellent product,Wonderful Product thandi me Garmi ka Ehsaas,Very nice,Nice product</v>
      </c>
      <c r="O1210" s="7" t="str">
        <f>VLOOKUP(A1210, avaliacoes!A:G, 6, FALSE)</f>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v>
      </c>
    </row>
    <row r="1211">
      <c r="A1211" s="1" t="s">
        <v>4633</v>
      </c>
      <c r="B1211" s="1" t="s">
        <v>4634</v>
      </c>
      <c r="C1211" s="1" t="s">
        <v>3909</v>
      </c>
      <c r="D1211" s="1" t="str">
        <f t="shared" si="2"/>
        <v>Home&amp;Kitchen</v>
      </c>
      <c r="E1211" s="1" t="str">
        <f t="shared" si="3"/>
        <v>Kitchen&amp;HomeAppliances</v>
      </c>
      <c r="F1211" s="2">
        <v>1099.0</v>
      </c>
      <c r="G1211" s="2">
        <v>1929.0</v>
      </c>
      <c r="H1211" s="3">
        <f t="shared" si="4"/>
        <v>0.4302747538</v>
      </c>
      <c r="I1211" s="4">
        <f>IFERROR(__xludf.DUMMYFUNCTION("GOOGLEFINANCE(""CURRENCY:INRBRL"")*F1211"),65.58647675719999)</f>
        <v>65.58647676</v>
      </c>
      <c r="J1211" s="1">
        <v>4.5</v>
      </c>
      <c r="K1211" s="1">
        <v>9772.0</v>
      </c>
      <c r="L1211" s="1" t="s">
        <v>4635</v>
      </c>
      <c r="M1211" s="6" t="s">
        <v>4636</v>
      </c>
      <c r="N1211" s="7" t="str">
        <f>VLOOKUP(A1211, avaliacoes!A:G, 5, FALSE)</f>
        <v>Good one,Punchuality,Good product,Good quality,పర్వాలేదు,perfect for use,Good,👍</v>
      </c>
      <c r="O1211" s="7" t="str">
        <f>VLOOKUP(A1211, avaliacoes!A:G, 6, FALSE)</f>
        <v>Good product. Weight is reduced a bit,Damage product deliveredTwo times,works fine even after 4 months as of now going good,Fine  good to use,లైట్ వెయిట్,perfect for use,Good,👍 👍 👍 👍 👍</v>
      </c>
    </row>
    <row r="1212">
      <c r="A1212" s="1" t="s">
        <v>4637</v>
      </c>
      <c r="B1212" s="1" t="s">
        <v>4638</v>
      </c>
      <c r="C1212" s="1" t="s">
        <v>4488</v>
      </c>
      <c r="D1212" s="1" t="str">
        <f t="shared" si="2"/>
        <v>Home&amp;Kitchen</v>
      </c>
      <c r="E1212" s="1" t="str">
        <f t="shared" si="3"/>
        <v>Kitchen&amp;HomeAppliances</v>
      </c>
      <c r="F1212" s="2">
        <v>8199.0</v>
      </c>
      <c r="G1212" s="2">
        <v>15999.0</v>
      </c>
      <c r="H1212" s="3">
        <f t="shared" si="4"/>
        <v>0.4875304707</v>
      </c>
      <c r="I1212" s="4">
        <f>IFERROR(__xludf.DUMMYFUNCTION("GOOGLEFINANCE(""CURRENCY:INRBRL"")*F1212"),489.30256863719995)</f>
        <v>489.3025686</v>
      </c>
      <c r="J1212" s="1">
        <v>4.52</v>
      </c>
      <c r="K1212" s="1">
        <v>18497.0</v>
      </c>
      <c r="L1212" s="1" t="s">
        <v>4639</v>
      </c>
      <c r="M1212" s="6" t="s">
        <v>4640</v>
      </c>
      <c r="N1212" s="7" t="str">
        <f>VLOOKUP(A1212, avaliacoes!A:G, 5, FALSE)</f>
        <v>Decent product.,Aquasure from Aquaguard is a good product. I liked this product.,Product is good but the service is worst till i experienced  .,Poor service,MVP,Good,Ok,Nice product</v>
      </c>
      <c r="O1212" s="7" t="str">
        <f>VLOOKUP(A1212, avaliacoes!A:G, 6, FALSE)</f>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v>
      </c>
    </row>
    <row r="1213">
      <c r="A1213" s="1" t="s">
        <v>4641</v>
      </c>
      <c r="B1213" s="1" t="s">
        <v>4642</v>
      </c>
      <c r="C1213" s="1" t="s">
        <v>4011</v>
      </c>
      <c r="D1213" s="1" t="str">
        <f t="shared" si="2"/>
        <v>Home&amp;Kitchen</v>
      </c>
      <c r="E1213" s="1" t="str">
        <f t="shared" si="3"/>
        <v>Kitchen&amp;HomeAppliances</v>
      </c>
      <c r="F1213" s="2">
        <v>499.0</v>
      </c>
      <c r="G1213" s="2">
        <v>2199.0</v>
      </c>
      <c r="H1213" s="3">
        <f t="shared" si="4"/>
        <v>0.7730786721</v>
      </c>
      <c r="I1213" s="4">
        <f>IFERROR(__xludf.DUMMYFUNCTION("GOOGLEFINANCE(""CURRENCY:INRBRL"")*F1213"),29.7794830772)</f>
        <v>29.77948308</v>
      </c>
      <c r="J1213" s="1">
        <v>4.51</v>
      </c>
      <c r="K1213" s="1">
        <v>53.0</v>
      </c>
      <c r="L1213" s="1" t="s">
        <v>4643</v>
      </c>
      <c r="M1213" s="6" t="s">
        <v>4644</v>
      </c>
      <c r="N1213" s="7" t="str">
        <f>VLOOKUP(A1213, avaliacoes!A:G, 5, FALSE)</f>
        <v>Don't buy this,Good product in this price range..,Good one,DO NOT BUY THIS PRODUCT,Great 👌👍,Such a beautiful product,Fantastic,Useless product. Poor quality material used. Could not give satisfaction of a singal Rupee.</v>
      </c>
      <c r="O1213" s="7" t="str">
        <f>VLOOKUP(A1213, avaliacoes!A:G, 6, FALSE)</f>
        <v>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v>
      </c>
    </row>
    <row r="1214">
      <c r="A1214" s="1" t="s">
        <v>4645</v>
      </c>
      <c r="B1214" s="1" t="s">
        <v>4646</v>
      </c>
      <c r="C1214" s="1" t="s">
        <v>4024</v>
      </c>
      <c r="D1214" s="1" t="str">
        <f t="shared" si="2"/>
        <v>Home&amp;Kitchen</v>
      </c>
      <c r="E1214" s="1" t="str">
        <f t="shared" si="3"/>
        <v>Kitchen&amp;HomeAppliances</v>
      </c>
      <c r="F1214" s="2">
        <v>6999.0</v>
      </c>
      <c r="G1214" s="2">
        <v>14999.0</v>
      </c>
      <c r="H1214" s="3">
        <f t="shared" si="4"/>
        <v>0.5333688913</v>
      </c>
      <c r="I1214" s="4">
        <f>IFERROR(__xludf.DUMMYFUNCTION("GOOGLEFINANCE(""CURRENCY:INRBRL"")*F1214"),417.68858127719994)</f>
        <v>417.6885813</v>
      </c>
      <c r="J1214" s="1">
        <v>4.49</v>
      </c>
      <c r="K1214" s="1">
        <v>1728.0</v>
      </c>
      <c r="L1214" s="1" t="s">
        <v>4647</v>
      </c>
      <c r="M1214" s="6" t="s">
        <v>4648</v>
      </c>
      <c r="N1214" s="7" t="str">
        <f>VLOOKUP(A1214, avaliacoes!A:G, 5, FALSE)</f>
        <v>Good,Nice,Good product 👌,Get's the job done.,Kent 16068 Zoom vacuum cleaner is very good to use and easy to clean and charge as well.,Less durable,Preety easy to use,Awesome product</v>
      </c>
      <c r="O1214" s="7" t="str">
        <f>VLOOKUP(A1214, avaliacoes!A:G, 6, FALSE)</f>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v>
      </c>
    </row>
    <row r="1215">
      <c r="A1215" s="1" t="s">
        <v>4649</v>
      </c>
      <c r="B1215" s="1" t="s">
        <v>4650</v>
      </c>
      <c r="C1215" s="1" t="s">
        <v>4153</v>
      </c>
      <c r="D1215" s="1" t="str">
        <f t="shared" si="2"/>
        <v>Home&amp;Kitchen</v>
      </c>
      <c r="E1215" s="1" t="str">
        <f t="shared" si="3"/>
        <v>Kitchen&amp;HomeAppliances</v>
      </c>
      <c r="F1215" s="2">
        <v>1595.0</v>
      </c>
      <c r="G1215" s="2">
        <v>1799.0</v>
      </c>
      <c r="H1215" s="3">
        <f t="shared" si="4"/>
        <v>0.1133963313</v>
      </c>
      <c r="I1215" s="4">
        <f>IFERROR(__xludf.DUMMYFUNCTION("GOOGLEFINANCE(""CURRENCY:INRBRL"")*F1215"),95.186924866)</f>
        <v>95.18692487</v>
      </c>
      <c r="J1215" s="1">
        <v>4.0</v>
      </c>
      <c r="K1215" s="1">
        <v>2877.0</v>
      </c>
      <c r="L1215" s="1" t="s">
        <v>4651</v>
      </c>
      <c r="M1215" s="6" t="s">
        <v>4652</v>
      </c>
      <c r="N1215" s="7" t="str">
        <f>VLOOKUP(A1215, avaliacoes!A:G, 5, FALSE)</f>
        <v>Have bought 5 different sealing machines online by far this is the best,Hi,Good Value for money,Suited well for my purpose,Good,Great product. Made in india.really like it,Easy to use and economical,Very good</v>
      </c>
      <c r="O1215" s="7" t="str">
        <f>VLOOKUP(A1215, avaliacoes!A:G, 6, FALSE)</f>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v>
      </c>
    </row>
    <row r="1216">
      <c r="A1216" s="1" t="s">
        <v>4653</v>
      </c>
      <c r="B1216" s="1" t="s">
        <v>4654</v>
      </c>
      <c r="C1216" s="1" t="s">
        <v>3909</v>
      </c>
      <c r="D1216" s="1" t="str">
        <f t="shared" si="2"/>
        <v>Home&amp;Kitchen</v>
      </c>
      <c r="E1216" s="1" t="str">
        <f t="shared" si="3"/>
        <v>Kitchen&amp;HomeAppliances</v>
      </c>
      <c r="F1216" s="2">
        <v>1049.0</v>
      </c>
      <c r="G1216" s="2">
        <v>1949.0</v>
      </c>
      <c r="H1216" s="3">
        <f t="shared" si="4"/>
        <v>0.4617752694</v>
      </c>
      <c r="I1216" s="4">
        <f>IFERROR(__xludf.DUMMYFUNCTION("GOOGLEFINANCE(""CURRENCY:INRBRL"")*F1216"),62.6025606172)</f>
        <v>62.60256062</v>
      </c>
      <c r="J1216" s="1">
        <v>4.51</v>
      </c>
      <c r="K1216" s="1">
        <v>250.0</v>
      </c>
      <c r="L1216" s="1" t="s">
        <v>4655</v>
      </c>
      <c r="M1216" s="6" t="s">
        <v>4656</v>
      </c>
      <c r="N1216" s="7" t="str">
        <f>VLOOKUP(A1216, avaliacoes!A:G, 5, FALSE)</f>
        <v>Good,Seems to be good,Good,Fake replacement.they didn't come to receive the product.with out replacement.,Nice,Product is pretty good quality but taflon coating is not durable,It's work worthy,Amazing and good quality</v>
      </c>
      <c r="O1216" s="7" t="str">
        <f>VLOOKUP(A1216, avaliacoes!A:G, 6, FALSE)</f>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v>
      </c>
    </row>
    <row r="1217">
      <c r="A1217" s="1" t="s">
        <v>4657</v>
      </c>
      <c r="B1217" s="1" t="s">
        <v>4658</v>
      </c>
      <c r="C1217" s="1" t="s">
        <v>3937</v>
      </c>
      <c r="D1217" s="1" t="str">
        <f t="shared" si="2"/>
        <v>Home&amp;Kitchen</v>
      </c>
      <c r="E1217" s="1" t="str">
        <f t="shared" si="3"/>
        <v>Kitchen&amp;HomeAppliances</v>
      </c>
      <c r="F1217" s="2">
        <v>1182.0</v>
      </c>
      <c r="G1217" s="2">
        <v>2995.0</v>
      </c>
      <c r="H1217" s="3">
        <f t="shared" si="4"/>
        <v>0.6053422371</v>
      </c>
      <c r="I1217" s="4">
        <f>IFERROR(__xludf.DUMMYFUNCTION("GOOGLEFINANCE(""CURRENCY:INRBRL"")*F1217"),70.53977754959999)</f>
        <v>70.53977755</v>
      </c>
      <c r="J1217" s="1">
        <v>4.5</v>
      </c>
      <c r="K1217" s="1">
        <v>5178.0</v>
      </c>
      <c r="L1217" s="1" t="s">
        <v>4659</v>
      </c>
      <c r="M1217" s="6" t="s">
        <v>4660</v>
      </c>
      <c r="N1217" s="7" t="str">
        <f>VLOOKUP(A1217, avaliacoes!A:G, 5, FALSE)</f>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v>
      </c>
      <c r="O1217" s="7" t="str">
        <f>VLOOKUP(A1217, avaliacoes!A:G, 6, FALSE)</f>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v>
      </c>
    </row>
    <row r="1218">
      <c r="A1218" s="1" t="s">
        <v>4661</v>
      </c>
      <c r="B1218" s="1" t="s">
        <v>4662</v>
      </c>
      <c r="C1218" s="1" t="s">
        <v>3856</v>
      </c>
      <c r="D1218" s="1" t="str">
        <f t="shared" si="2"/>
        <v>Home&amp;Kitchen</v>
      </c>
      <c r="E1218" s="1" t="str">
        <f t="shared" si="3"/>
        <v>Kitchen&amp;HomeAppliances</v>
      </c>
      <c r="F1218" s="2">
        <v>499.0</v>
      </c>
      <c r="G1218" s="2">
        <v>999.0</v>
      </c>
      <c r="H1218" s="3">
        <f t="shared" si="4"/>
        <v>0.5005005005</v>
      </c>
      <c r="I1218" s="4">
        <f>IFERROR(__xludf.DUMMYFUNCTION("GOOGLEFINANCE(""CURRENCY:INRBRL"")*F1218"),29.7794830772)</f>
        <v>29.77948308</v>
      </c>
      <c r="J1218" s="1">
        <v>4.51</v>
      </c>
      <c r="K1218" s="1">
        <v>79.0</v>
      </c>
      <c r="L1218" s="1" t="s">
        <v>4663</v>
      </c>
      <c r="M1218" s="6" t="s">
        <v>4664</v>
      </c>
      <c r="N1218" s="7" t="str">
        <f>VLOOKUP(A1218, avaliacoes!A:G, 5, FALSE)</f>
        <v>Superb,Very helpful and great quality,Exactly what it says on the tin,A must product for pet parents,Must purchase if u have pet...,Totally worth it,Good product,Easy to use and usefull prody</v>
      </c>
      <c r="O1218" s="7" t="str">
        <f>VLOOKUP(A1218, avaliacoes!A:G, 6, FALSE)</f>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v>
      </c>
    </row>
    <row r="1219">
      <c r="A1219" s="1" t="s">
        <v>4665</v>
      </c>
      <c r="B1219" s="1" t="s">
        <v>4666</v>
      </c>
      <c r="C1219" s="1" t="s">
        <v>4483</v>
      </c>
      <c r="D1219" s="1" t="str">
        <f t="shared" si="2"/>
        <v>Home&amp;Kitchen</v>
      </c>
      <c r="E1219" s="1" t="str">
        <f t="shared" si="3"/>
        <v>Heating,Cooling&amp;AirQuality</v>
      </c>
      <c r="F1219" s="2">
        <v>8799.0</v>
      </c>
      <c r="G1219" s="2">
        <v>11995.0</v>
      </c>
      <c r="H1219" s="3">
        <f t="shared" si="4"/>
        <v>0.2664443518</v>
      </c>
      <c r="I1219" s="4">
        <f>IFERROR(__xludf.DUMMYFUNCTION("GOOGLEFINANCE(""CURRENCY:INRBRL"")*F1219"),525.1095623172)</f>
        <v>525.1095623</v>
      </c>
      <c r="J1219" s="1">
        <v>4.49</v>
      </c>
      <c r="K1219" s="1">
        <v>4157.0</v>
      </c>
      <c r="L1219" s="1" t="s">
        <v>4667</v>
      </c>
      <c r="M1219" s="6" t="s">
        <v>4668</v>
      </c>
      <c r="N1219" s="7" t="str">
        <f>VLOOKUP(A1219, avaliacoes!A:G, 5, FALSE)</f>
        <v>Good Performing Air Purifier at a Decent Price,Value for money,Nothing earth shaking about this product!,It is good,Great product.,The product is working nicely and worth buying product.,Writing after 1.5 years pros cons solution and trics do read my reviews and vote,Works but no use</v>
      </c>
      <c r="O1219" s="7" t="str">
        <f>VLOOKUP(A1219, avaliacoes!A:G, 6, FALSE)</f>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v>
      </c>
    </row>
    <row r="1220">
      <c r="A1220" s="1" t="s">
        <v>4669</v>
      </c>
      <c r="B1220" s="1" t="s">
        <v>4670</v>
      </c>
      <c r="C1220" s="1" t="s">
        <v>3846</v>
      </c>
      <c r="D1220" s="1" t="str">
        <f t="shared" si="2"/>
        <v>Home&amp;Kitchen</v>
      </c>
      <c r="E1220" s="1" t="str">
        <f t="shared" si="3"/>
        <v>Heating,Cooling&amp;AirQuality</v>
      </c>
      <c r="F1220" s="2">
        <v>1529.0</v>
      </c>
      <c r="G1220" s="2">
        <v>2999.0</v>
      </c>
      <c r="H1220" s="3">
        <f t="shared" si="4"/>
        <v>0.4901633878</v>
      </c>
      <c r="I1220" s="4">
        <f>IFERROR(__xludf.DUMMYFUNCTION("GOOGLEFINANCE(""CURRENCY:INRBRL"")*F1220"),91.2481555612)</f>
        <v>91.24815556</v>
      </c>
      <c r="J1220" s="1">
        <v>4.5</v>
      </c>
      <c r="K1220" s="1">
        <v>29.0</v>
      </c>
      <c r="L1220" s="1" t="s">
        <v>4671</v>
      </c>
      <c r="M1220" s="6" t="s">
        <v>4672</v>
      </c>
      <c r="N1220" s="7" t="str">
        <f>VLOOKUP(A1220, avaliacoes!A:G, 5, FALSE)</f>
        <v>Very beautiful heater but costly and less useful,Decent with some flaws,Good product.... Easy to handle...,I won't recommend it!!,Value for Money Product,Good Product,Low quality heater,Everything as per the description.</v>
      </c>
      <c r="O1220" s="7" t="str">
        <f>VLOOKUP(A1220, avaliacoes!A:G, 6, FALSE)</f>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v>
      </c>
    </row>
    <row r="1221">
      <c r="A1221" s="1" t="s">
        <v>4673</v>
      </c>
      <c r="B1221" s="1" t="s">
        <v>4674</v>
      </c>
      <c r="C1221" s="1" t="s">
        <v>3909</v>
      </c>
      <c r="D1221" s="1" t="str">
        <f t="shared" si="2"/>
        <v>Home&amp;Kitchen</v>
      </c>
      <c r="E1221" s="1" t="str">
        <f t="shared" si="3"/>
        <v>Kitchen&amp;HomeAppliances</v>
      </c>
      <c r="F1221" s="2">
        <v>1199.0</v>
      </c>
      <c r="G1221" s="2">
        <v>1699.0</v>
      </c>
      <c r="H1221" s="3">
        <f t="shared" si="4"/>
        <v>0.2942907593</v>
      </c>
      <c r="I1221" s="4">
        <f>IFERROR(__xludf.DUMMYFUNCTION("GOOGLEFINANCE(""CURRENCY:INRBRL"")*F1221"),71.5543090372)</f>
        <v>71.55430904</v>
      </c>
      <c r="J1221" s="1">
        <v>4.5</v>
      </c>
      <c r="K1221" s="1">
        <v>458.0</v>
      </c>
      <c r="L1221" s="1" t="s">
        <v>4675</v>
      </c>
      <c r="M1221" s="6" t="s">
        <v>4676</v>
      </c>
      <c r="N1221" s="7" t="str">
        <f>VLOOKUP(A1221, avaliacoes!A:G, 5, FALSE)</f>
        <v>Nice,Heavy weight and good product.,Value for money,Looks good one but returned,I like it and good product,Super build quality,Nothing,Best iron box</v>
      </c>
      <c r="O1221" s="7" t="str">
        <f>VLOOKUP(A1221, avaliacoes!A:G, 6, FALSE)</f>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v>
      </c>
    </row>
    <row r="1222">
      <c r="A1222" s="1" t="s">
        <v>4677</v>
      </c>
      <c r="B1222" s="1" t="s">
        <v>4678</v>
      </c>
      <c r="C1222" s="1" t="s">
        <v>4049</v>
      </c>
      <c r="D1222" s="1" t="str">
        <f t="shared" si="2"/>
        <v>Home&amp;Kitchen</v>
      </c>
      <c r="E1222" s="1" t="str">
        <f t="shared" si="3"/>
        <v>Kitchen&amp;HomeAppliances</v>
      </c>
      <c r="F1222" s="2">
        <v>1052.0</v>
      </c>
      <c r="G1222" s="2">
        <v>1799.0</v>
      </c>
      <c r="H1222" s="3">
        <f t="shared" si="4"/>
        <v>0.4152306837</v>
      </c>
      <c r="I1222" s="4">
        <f>IFERROR(__xludf.DUMMYFUNCTION("GOOGLEFINANCE(""CURRENCY:INRBRL"")*F1222"),62.781595585599995)</f>
        <v>62.78159559</v>
      </c>
      <c r="J1222" s="1">
        <v>4.5</v>
      </c>
      <c r="K1222" s="1">
        <v>1404.0</v>
      </c>
      <c r="L1222" s="1" t="s">
        <v>4679</v>
      </c>
      <c r="M1222" s="6" t="s">
        <v>4680</v>
      </c>
      <c r="N1222" s="7" t="str">
        <f>VLOOKUP(A1222, avaliacoes!A:G, 5, FALSE)</f>
        <v>Very easy and handy to use,Good to have for boiled eggs.,Superb,Effortless,Wanderful,Good,Not good,Can consider for purchase</v>
      </c>
      <c r="O1222" s="7" t="str">
        <f>VLOOKUP(A1222, avaliacoes!A:G, 6, FALSE)</f>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v>
      </c>
    </row>
    <row r="1223">
      <c r="A1223" s="1" t="s">
        <v>4681</v>
      </c>
      <c r="B1223" s="1" t="s">
        <v>4682</v>
      </c>
      <c r="C1223" s="1" t="s">
        <v>4683</v>
      </c>
      <c r="D1223" s="1" t="str">
        <f t="shared" si="2"/>
        <v>Home&amp;Kitchen</v>
      </c>
      <c r="E1223" s="1" t="str">
        <f t="shared" si="3"/>
        <v>Kitchen&amp;HomeAppliances</v>
      </c>
      <c r="F1223" s="2">
        <v>6499.0</v>
      </c>
      <c r="G1223" s="2">
        <v>8995.0</v>
      </c>
      <c r="H1223" s="3">
        <f t="shared" si="4"/>
        <v>0.2774874931</v>
      </c>
      <c r="I1223" s="4">
        <f>IFERROR(__xludf.DUMMYFUNCTION("GOOGLEFINANCE(""CURRENCY:INRBRL"")*F1223"),387.8494198772)</f>
        <v>387.8494199</v>
      </c>
      <c r="J1223" s="1">
        <v>4.5</v>
      </c>
      <c r="K1223" s="1">
        <v>281.0</v>
      </c>
      <c r="L1223" s="1" t="s">
        <v>4684</v>
      </c>
      <c r="M1223" s="6" t="s">
        <v>4685</v>
      </c>
      <c r="N1223" s="7" t="str">
        <f>VLOOKUP(A1223, avaliacoes!A:G, 5, FALSE)</f>
        <v>Beyond expected,Good,Perfect Juicer - Very User Friendly in usage,User friendly and convenient to use for fresh juice,Excellent Little Juicer! Fast and Easy to Clean. Produces Very Good Quality Juice,Premium juicer,Good however...,Most effective and convinient juicer i Ever had</v>
      </c>
      <c r="O1223" s="7" t="str">
        <f>VLOOKUP(A1223, avaliacoes!A:G, 6, FALSE)</f>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v>
      </c>
    </row>
    <row r="1224">
      <c r="A1224" s="1" t="s">
        <v>4686</v>
      </c>
      <c r="B1224" s="1" t="s">
        <v>4687</v>
      </c>
      <c r="C1224" s="1" t="s">
        <v>4136</v>
      </c>
      <c r="D1224" s="1" t="str">
        <f t="shared" si="2"/>
        <v>Home&amp;Kitchen</v>
      </c>
      <c r="E1224" s="1" t="str">
        <f t="shared" si="3"/>
        <v>Kitchen&amp;HomeAppliances</v>
      </c>
      <c r="F1224" s="2">
        <v>239.0</v>
      </c>
      <c r="G1224" s="2">
        <v>239.0</v>
      </c>
      <c r="H1224" s="3">
        <f t="shared" si="4"/>
        <v>0</v>
      </c>
      <c r="I1224" s="4">
        <f>IFERROR(__xludf.DUMMYFUNCTION("GOOGLEFINANCE(""CURRENCY:INRBRL"")*F1224"),14.2631191492)</f>
        <v>14.26311915</v>
      </c>
      <c r="J1224" s="1">
        <v>4.5</v>
      </c>
      <c r="K1224" s="1">
        <v>7.0</v>
      </c>
      <c r="L1224" s="1" t="s">
        <v>4688</v>
      </c>
      <c r="M1224" s="6" t="s">
        <v>4689</v>
      </c>
      <c r="N1224" s="7" t="str">
        <f>VLOOKUP(A1224, avaliacoes!A:G, 5, FALSE)</f>
        <v>Good quality scale but I got defective piece,Nice product....,Product is very good 👍,About product,Must buy,Great device for kitchen</v>
      </c>
      <c r="O1224" s="7" t="str">
        <f>VLOOKUP(A1224, avaliacoes!A:G, 6, FALSE)</f>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v>
      </c>
    </row>
    <row r="1225">
      <c r="A1225" s="1" t="s">
        <v>4690</v>
      </c>
      <c r="B1225" s="1" t="s">
        <v>4691</v>
      </c>
      <c r="C1225" s="1" t="s">
        <v>3904</v>
      </c>
      <c r="D1225" s="1" t="str">
        <f t="shared" si="2"/>
        <v>Home&amp;Kitchen</v>
      </c>
      <c r="E1225" s="1" t="str">
        <f t="shared" si="3"/>
        <v>Kitchen&amp;HomeAppliances</v>
      </c>
      <c r="F1225" s="2">
        <v>699.0</v>
      </c>
      <c r="G1225" s="2">
        <v>1599.0</v>
      </c>
      <c r="H1225" s="3">
        <f t="shared" si="4"/>
        <v>0.5628517824</v>
      </c>
      <c r="I1225" s="4">
        <f>IFERROR(__xludf.DUMMYFUNCTION("GOOGLEFINANCE(""CURRENCY:INRBRL"")*F1225"),41.7151476372)</f>
        <v>41.71514764</v>
      </c>
      <c r="J1225" s="1">
        <v>4.51</v>
      </c>
      <c r="K1225" s="1">
        <v>1729.0</v>
      </c>
      <c r="L1225" s="1" t="s">
        <v>4692</v>
      </c>
      <c r="M1225" s="6" t="s">
        <v>4693</v>
      </c>
      <c r="N1225" s="7" t="str">
        <f>VLOOKUP(A1225, avaliacoes!A:G, 5, FALSE)</f>
        <v>Nice product,Not as effective as claimed, just an average product..,Good Product,bribing people for 5 star rating,Most worst machine i have ever seen,Just wow</v>
      </c>
      <c r="O1225" s="7" t="str">
        <f>VLOOKUP(A1225, avaliacoes!A:G, 6, FALSE)</f>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v>
      </c>
    </row>
    <row r="1226">
      <c r="A1226" s="1" t="s">
        <v>4694</v>
      </c>
      <c r="B1226" s="1" t="s">
        <v>4695</v>
      </c>
      <c r="C1226" s="1" t="s">
        <v>4696</v>
      </c>
      <c r="D1226" s="1" t="str">
        <f t="shared" si="2"/>
        <v>Home&amp;Kitchen</v>
      </c>
      <c r="E1226" s="1" t="str">
        <f t="shared" si="3"/>
        <v>Kitchen&amp;HomeAppliances</v>
      </c>
      <c r="F1226" s="2">
        <v>2599.0</v>
      </c>
      <c r="G1226" s="2">
        <v>4299.0</v>
      </c>
      <c r="H1226" s="3">
        <f t="shared" si="4"/>
        <v>0.3954408002</v>
      </c>
      <c r="I1226" s="4">
        <f>IFERROR(__xludf.DUMMYFUNCTION("GOOGLEFINANCE(""CURRENCY:INRBRL"")*F1226"),155.1039609572)</f>
        <v>155.103961</v>
      </c>
      <c r="J1226" s="1">
        <v>4.5</v>
      </c>
      <c r="K1226" s="1">
        <v>2116.0</v>
      </c>
      <c r="L1226" s="1" t="s">
        <v>4697</v>
      </c>
      <c r="M1226" s="6" t="s">
        <v>4698</v>
      </c>
      <c r="N1226" s="7" t="str">
        <f>VLOOKUP(A1226, avaliacoes!A:G, 5, FALSE)</f>
        <v>Good product  but has a misleading information about warranty,Value for money,4.5 ⭐ Small and Sturdy blender and versatile,Perfect for every kitchen,Awesome Product,Nice Product,Very nice blender,Worst product and service</v>
      </c>
      <c r="O1226" s="7" t="str">
        <f>VLOOKUP(A1226, avaliacoes!A:G, 6, FALSE)</f>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v>
      </c>
    </row>
    <row r="1227">
      <c r="A1227" s="1" t="s">
        <v>4699</v>
      </c>
      <c r="B1227" s="1" t="s">
        <v>4700</v>
      </c>
      <c r="C1227" s="1" t="s">
        <v>4024</v>
      </c>
      <c r="D1227" s="1" t="str">
        <f t="shared" si="2"/>
        <v>Home&amp;Kitchen</v>
      </c>
      <c r="E1227" s="1" t="str">
        <f t="shared" si="3"/>
        <v>Kitchen&amp;HomeAppliances</v>
      </c>
      <c r="F1227" s="2">
        <v>1547.0</v>
      </c>
      <c r="G1227" s="2">
        <v>2899.0</v>
      </c>
      <c r="H1227" s="3">
        <f t="shared" si="4"/>
        <v>0.466367713</v>
      </c>
      <c r="I1227" s="4">
        <f>IFERROR(__xludf.DUMMYFUNCTION("GOOGLEFINANCE(""CURRENCY:INRBRL"")*F1227"),92.3223653716)</f>
        <v>92.32236537</v>
      </c>
      <c r="J1227" s="1">
        <v>4.52</v>
      </c>
      <c r="K1227" s="1">
        <v>463.0</v>
      </c>
      <c r="L1227" s="1" t="s">
        <v>4701</v>
      </c>
      <c r="M1227" s="6" t="s">
        <v>4702</v>
      </c>
      <c r="N1227" s="7" t="str">
        <f>VLOOKUP(A1227, avaliacoes!A:G, 5, FALSE)</f>
        <v>Not impressed with the purchase,👍,Good project,Gets small clean up jobs done efficiently,Does the job,Works okay,Warranty Card not found inside the Box.,Succetion time could be on the higher side</v>
      </c>
      <c r="O1227" s="7" t="str">
        <f>VLOOKUP(A1227, avaliacoes!A:G, 6, FALSE)</f>
        <v>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v>
      </c>
    </row>
    <row r="1228">
      <c r="A1228" s="1" t="s">
        <v>4703</v>
      </c>
      <c r="B1228" s="1" t="s">
        <v>4704</v>
      </c>
      <c r="C1228" s="1" t="s">
        <v>3904</v>
      </c>
      <c r="D1228" s="1" t="str">
        <f t="shared" si="2"/>
        <v>Home&amp;Kitchen</v>
      </c>
      <c r="E1228" s="1" t="str">
        <f t="shared" si="3"/>
        <v>Kitchen&amp;HomeAppliances</v>
      </c>
      <c r="F1228" s="2">
        <v>499.0</v>
      </c>
      <c r="G1228" s="2">
        <v>1299.0</v>
      </c>
      <c r="H1228" s="3">
        <f t="shared" si="4"/>
        <v>0.6158583526</v>
      </c>
      <c r="I1228" s="4">
        <f>IFERROR(__xludf.DUMMYFUNCTION("GOOGLEFINANCE(""CURRENCY:INRBRL"")*F1228"),29.7794830772)</f>
        <v>29.77948308</v>
      </c>
      <c r="J1228" s="1">
        <v>4.51</v>
      </c>
      <c r="K1228" s="1">
        <v>54.0</v>
      </c>
      <c r="L1228" s="1" t="s">
        <v>4705</v>
      </c>
      <c r="M1228" s="6" t="s">
        <v>4706</v>
      </c>
      <c r="N1228" s="7" t="str">
        <f>VLOOKUP(A1228, avaliacoes!A:G, 5, FALSE)</f>
        <v>Little kitchen helper,An amazing product,Very good product nice to use,Handy gadget!,Easy to use and carry Great product 👌,Best product,Light weight,Will definitely save your time....</v>
      </c>
      <c r="O1228" s="7" t="str">
        <f>VLOOKUP(A1228, avaliacoes!A:G, 6, FALSE)</f>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v>
      </c>
    </row>
    <row r="1229">
      <c r="A1229" s="1" t="s">
        <v>4707</v>
      </c>
      <c r="B1229" s="1" t="s">
        <v>4708</v>
      </c>
      <c r="C1229" s="1" t="s">
        <v>3971</v>
      </c>
      <c r="D1229" s="1" t="str">
        <f t="shared" si="2"/>
        <v>Home&amp;Kitchen</v>
      </c>
      <c r="E1229" s="1" t="str">
        <f t="shared" si="3"/>
        <v>Heating,Cooling&amp;AirQuality</v>
      </c>
      <c r="F1229" s="2">
        <v>510.0</v>
      </c>
      <c r="G1229" s="2">
        <v>640.0</v>
      </c>
      <c r="H1229" s="3">
        <f t="shared" si="4"/>
        <v>0.203125</v>
      </c>
      <c r="I1229" s="4">
        <f>IFERROR(__xludf.DUMMYFUNCTION("GOOGLEFINANCE(""CURRENCY:INRBRL"")*F1229"),30.435944627999998)</f>
        <v>30.43594463</v>
      </c>
      <c r="J1229" s="1">
        <v>4.49</v>
      </c>
      <c r="K1229" s="1">
        <v>7229.0</v>
      </c>
      <c r="L1229" s="1" t="s">
        <v>4709</v>
      </c>
      <c r="M1229" s="6" t="s">
        <v>4710</v>
      </c>
      <c r="N1229" s="7" t="str">
        <f>VLOOKUP(A1229, avaliacoes!A:G, 5, FALSE)</f>
        <v>Good water heater,Good quality,Good products,Good,Good,Good product,Good product,Brand value</v>
      </c>
      <c r="O1229" s="7" t="str">
        <f>VLOOKUP(A1229, avaliacoes!A:G, 6, FALSE)</f>
        <v>Nice product &amp; good quality,Value for money, as per description.,Very easy useful,Good product,Product is good,Good,Good,Best to buy under 500. Comes with warranty card. Cable Quality is good</v>
      </c>
    </row>
    <row r="1230">
      <c r="A1230" s="1" t="s">
        <v>4711</v>
      </c>
      <c r="B1230" s="1" t="s">
        <v>4712</v>
      </c>
      <c r="C1230" s="1" t="s">
        <v>3919</v>
      </c>
      <c r="D1230" s="1" t="str">
        <f t="shared" si="2"/>
        <v>Home&amp;Kitchen</v>
      </c>
      <c r="E1230" s="1" t="str">
        <f t="shared" si="3"/>
        <v>Heating,Cooling&amp;AirQuality</v>
      </c>
      <c r="F1230" s="2">
        <v>1899.0</v>
      </c>
      <c r="G1230" s="2">
        <v>3799.0</v>
      </c>
      <c r="H1230" s="3">
        <f t="shared" si="4"/>
        <v>0.5001316136</v>
      </c>
      <c r="I1230" s="4">
        <f>IFERROR(__xludf.DUMMYFUNCTION("GOOGLEFINANCE(""CURRENCY:INRBRL"")*F1230"),113.32913499719999)</f>
        <v>113.329135</v>
      </c>
      <c r="J1230" s="1">
        <v>4.51</v>
      </c>
      <c r="K1230" s="1">
        <v>3842.0</v>
      </c>
      <c r="L1230" s="1" t="s">
        <v>4713</v>
      </c>
      <c r="M1230" s="6" t="s">
        <v>4714</v>
      </c>
      <c r="N1230" s="7" t="str">
        <f>VLOOKUP(A1230, avaliacoes!A:G, 5, FALSE)</f>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v>
      </c>
      <c r="O1230" s="7" t="str">
        <f>VLOOKUP(A1230, avaliacoes!A:G, 6, FALSE)</f>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v>
      </c>
    </row>
    <row r="1231">
      <c r="A1231" s="1" t="s">
        <v>4715</v>
      </c>
      <c r="B1231" s="1" t="s">
        <v>4716</v>
      </c>
      <c r="C1231" s="1" t="s">
        <v>3919</v>
      </c>
      <c r="D1231" s="1" t="str">
        <f t="shared" si="2"/>
        <v>Home&amp;Kitchen</v>
      </c>
      <c r="E1231" s="1" t="str">
        <f t="shared" si="3"/>
        <v>Heating,Cooling&amp;AirQuality</v>
      </c>
      <c r="F1231" s="2">
        <v>2599.0</v>
      </c>
      <c r="G1231" s="2">
        <v>4569.0</v>
      </c>
      <c r="H1231" s="3">
        <f t="shared" si="4"/>
        <v>0.4311665572</v>
      </c>
      <c r="I1231" s="4">
        <f>IFERROR(__xludf.DUMMYFUNCTION("GOOGLEFINANCE(""CURRENCY:INRBRL"")*F1231"),155.1039609572)</f>
        <v>155.103961</v>
      </c>
      <c r="J1231" s="1">
        <v>4.5</v>
      </c>
      <c r="K1231" s="1">
        <v>646.0</v>
      </c>
      <c r="L1231" s="1" t="s">
        <v>4717</v>
      </c>
      <c r="M1231" s="6" t="s">
        <v>4718</v>
      </c>
      <c r="N1231" s="7" t="str">
        <f>VLOOKUP(A1231, avaliacoes!A:G, 5, FALSE)</f>
        <v>Good product,Excellent product,Good pruduct as of now.. 👍,Best product,Happy with the product,Compact product,Must buy item.,Havell’s Instant Geyser</v>
      </c>
      <c r="O1231" s="7" t="str">
        <f>VLOOKUP(A1231, avaliacoes!A:G, 6, FALSE)</f>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v>
      </c>
    </row>
    <row r="1232">
      <c r="A1232" s="1" t="s">
        <v>4719</v>
      </c>
      <c r="B1232" s="1" t="s">
        <v>4720</v>
      </c>
      <c r="C1232" s="1" t="s">
        <v>4049</v>
      </c>
      <c r="D1232" s="1" t="str">
        <f t="shared" si="2"/>
        <v>Home&amp;Kitchen</v>
      </c>
      <c r="E1232" s="1" t="str">
        <f t="shared" si="3"/>
        <v>Kitchen&amp;HomeAppliances</v>
      </c>
      <c r="F1232" s="2">
        <v>1199.0</v>
      </c>
      <c r="G1232" s="2">
        <v>3499.0</v>
      </c>
      <c r="H1232" s="3">
        <f t="shared" si="4"/>
        <v>0.6573306659</v>
      </c>
      <c r="I1232" s="4">
        <f>IFERROR(__xludf.DUMMYFUNCTION("GOOGLEFINANCE(""CURRENCY:INRBRL"")*F1232"),71.5543090372)</f>
        <v>71.55430904</v>
      </c>
      <c r="J1232" s="1">
        <v>4.5</v>
      </c>
      <c r="K1232" s="1">
        <v>1802.0</v>
      </c>
      <c r="L1232" s="1" t="s">
        <v>4721</v>
      </c>
      <c r="M1232" s="6" t="s">
        <v>4722</v>
      </c>
      <c r="N1232" s="7" t="str">
        <f>VLOOKUP(A1232, avaliacoes!A:G, 5, FALSE)</f>
        <v>Easy to use, works really well.,Good experience so far,Good,Handy product,Looks great..,convenient and efficient to use,Time saving and effective.,Good</v>
      </c>
      <c r="O1232" s="7" t="str">
        <f>VLOOKUP(A1232, avaliacoes!A:G, 6, FALSE)</f>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v>
      </c>
    </row>
    <row r="1233">
      <c r="A1233" s="1" t="s">
        <v>4723</v>
      </c>
      <c r="B1233" s="1" t="s">
        <v>4724</v>
      </c>
      <c r="C1233" s="1" t="s">
        <v>3919</v>
      </c>
      <c r="D1233" s="1" t="str">
        <f t="shared" si="2"/>
        <v>Home&amp;Kitchen</v>
      </c>
      <c r="E1233" s="1" t="str">
        <f t="shared" si="3"/>
        <v>Heating,Cooling&amp;AirQuality</v>
      </c>
      <c r="F1233" s="2">
        <v>999.0</v>
      </c>
      <c r="G1233" s="2">
        <v>2599.0</v>
      </c>
      <c r="H1233" s="3">
        <f t="shared" si="4"/>
        <v>0.6156213928</v>
      </c>
      <c r="I1233" s="4">
        <f>IFERROR(__xludf.DUMMYFUNCTION("GOOGLEFINANCE(""CURRENCY:INRBRL"")*F1233"),59.61864447719999)</f>
        <v>59.61864448</v>
      </c>
      <c r="J1233" s="1">
        <v>4.5</v>
      </c>
      <c r="K1233" s="1">
        <v>252.0</v>
      </c>
      <c r="L1233" s="1" t="s">
        <v>4725</v>
      </c>
      <c r="M1233" s="6" t="s">
        <v>4726</v>
      </c>
      <c r="N1233" s="7" t="str">
        <f>VLOOKUP(A1233, avaliacoes!A:G, 5, FALSE)</f>
        <v>Current issue in output water,Value for money,Great Product for Kitchen,Bakara product please don't purches,Awesomee,It can be hanged any where it is a portable  water geser.,very bad product not ,work even 3 months, as well as seller is not supporting in warranty,Good equipment</v>
      </c>
      <c r="O1233" s="7" t="str">
        <f>VLOOKUP(A1233, avaliacoes!A:G, 6, FALSE)</f>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v>
      </c>
    </row>
    <row r="1234">
      <c r="A1234" s="1" t="s">
        <v>4727</v>
      </c>
      <c r="B1234" s="1" t="s">
        <v>4728</v>
      </c>
      <c r="C1234" s="1" t="s">
        <v>3887</v>
      </c>
      <c r="D1234" s="1" t="str">
        <f t="shared" si="2"/>
        <v>Home&amp;Kitchen</v>
      </c>
      <c r="E1234" s="1" t="str">
        <f t="shared" si="3"/>
        <v>Kitchen&amp;HomeAppliances</v>
      </c>
      <c r="F1234" s="2">
        <v>1999.0</v>
      </c>
      <c r="G1234" s="2">
        <v>3299.0</v>
      </c>
      <c r="H1234" s="3">
        <f t="shared" si="4"/>
        <v>0.3940588057</v>
      </c>
      <c r="I1234" s="4">
        <f>IFERROR(__xludf.DUMMYFUNCTION("GOOGLEFINANCE(""CURRENCY:INRBRL"")*F1234"),119.2969672772)</f>
        <v>119.2969673</v>
      </c>
      <c r="J1234" s="1">
        <v>4.5</v>
      </c>
      <c r="K1234" s="1">
        <v>780.0</v>
      </c>
      <c r="L1234" s="1" t="s">
        <v>4729</v>
      </c>
      <c r="M1234" s="6" t="s">
        <v>4730</v>
      </c>
      <c r="N1234" s="7" t="str">
        <f>VLOOKUP(A1234, avaliacoes!A:G, 5, FALSE)</f>
        <v>So far so good,Good,Good quality product,Fully satisfied.,Product Is Nice ,And Easy To Use,poor longevity,A good induction cook top,Good.</v>
      </c>
      <c r="O1234" s="7" t="str">
        <f>VLOOKUP(A1234, avaliacoes!A:G, 6, FALSE)</f>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v>
      </c>
    </row>
    <row r="1235">
      <c r="A1235" s="1" t="s">
        <v>4731</v>
      </c>
      <c r="B1235" s="1" t="s">
        <v>4732</v>
      </c>
      <c r="C1235" s="1" t="s">
        <v>3904</v>
      </c>
      <c r="D1235" s="1" t="str">
        <f t="shared" si="2"/>
        <v>Home&amp;Kitchen</v>
      </c>
      <c r="E1235" s="1" t="str">
        <f t="shared" si="3"/>
        <v>Kitchen&amp;HomeAppliances</v>
      </c>
      <c r="F1235" s="2">
        <v>210.0</v>
      </c>
      <c r="G1235" s="2">
        <v>699.0</v>
      </c>
      <c r="H1235" s="3">
        <f t="shared" si="4"/>
        <v>0.6995708155</v>
      </c>
      <c r="I1235" s="4">
        <f>IFERROR(__xludf.DUMMYFUNCTION("GOOGLEFINANCE(""CURRENCY:INRBRL"")*F1235"),12.532447787999999)</f>
        <v>12.53244779</v>
      </c>
      <c r="J1235" s="1">
        <v>4.51</v>
      </c>
      <c r="K1235" s="1">
        <v>74.0</v>
      </c>
      <c r="L1235" s="1" t="s">
        <v>4733</v>
      </c>
      <c r="M1235" s="6" t="s">
        <v>4734</v>
      </c>
      <c r="N1235" s="7" t="str">
        <f>VLOOKUP(A1235, avaliacoes!A:G, 5, FALSE)</f>
        <v>A little weak but over all good,Value for money!,Not working,Nyc product,Good,Average quality product,Very good product,Affordable</v>
      </c>
      <c r="O1235" s="7" t="str">
        <f>VLOOKUP(A1235, avaliacoes!A:G, 6, FALSE)</f>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v>
      </c>
    </row>
    <row r="1236">
      <c r="A1236" s="1" t="s">
        <v>4735</v>
      </c>
      <c r="B1236" s="1" t="s">
        <v>4736</v>
      </c>
      <c r="C1236" s="1" t="s">
        <v>4483</v>
      </c>
      <c r="D1236" s="1" t="str">
        <f t="shared" si="2"/>
        <v>Home&amp;Kitchen</v>
      </c>
      <c r="E1236" s="1" t="str">
        <f t="shared" si="3"/>
        <v>Heating,Cooling&amp;AirQuality</v>
      </c>
      <c r="F1236" s="2">
        <v>14499.0</v>
      </c>
      <c r="G1236" s="2">
        <v>23559.0</v>
      </c>
      <c r="H1236" s="3">
        <f t="shared" si="4"/>
        <v>0.3845664077</v>
      </c>
      <c r="I1236" s="4">
        <f>IFERROR(__xludf.DUMMYFUNCTION("GOOGLEFINANCE(""CURRENCY:INRBRL"")*F1236"),865.2760022772)</f>
        <v>865.2760023</v>
      </c>
      <c r="J1236" s="1">
        <v>4.5</v>
      </c>
      <c r="K1236" s="1">
        <v>2026.0</v>
      </c>
      <c r="L1236" s="1" t="s">
        <v>4737</v>
      </c>
      <c r="M1236" s="6" t="s">
        <v>4738</v>
      </c>
      <c r="N1236" s="7" t="str">
        <f>VLOOKUP(A1236, avaliacoes!A:G, 5, FALSE)</f>
        <v>Good choice,No noise and all clean air. Very effective and the family noticed an improvement right away,Good product and easy to install,Go for it!!,Happy to use,How can I contact the manufacturer,Good,Excellent product</v>
      </c>
      <c r="O1236" s="7" t="str">
        <f>VLOOKUP(A1236, avaliacoes!A:G, 6, FALSE)</f>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v>
      </c>
    </row>
    <row r="1237">
      <c r="A1237" s="1" t="s">
        <v>4739</v>
      </c>
      <c r="B1237" s="1" t="s">
        <v>4740</v>
      </c>
      <c r="C1237" s="1" t="s">
        <v>3989</v>
      </c>
      <c r="D1237" s="1" t="str">
        <f t="shared" si="2"/>
        <v>Home&amp;Kitchen</v>
      </c>
      <c r="E1237" s="1" t="str">
        <f t="shared" si="3"/>
        <v>HomeStorage&amp;Organization</v>
      </c>
      <c r="F1237" s="2">
        <v>950.0</v>
      </c>
      <c r="G1237" s="2">
        <v>1599.0</v>
      </c>
      <c r="H1237" s="3">
        <f t="shared" si="4"/>
        <v>0.4058786742</v>
      </c>
      <c r="I1237" s="4">
        <f>IFERROR(__xludf.DUMMYFUNCTION("GOOGLEFINANCE(""CURRENCY:INRBRL"")*F1237"),56.69440666)</f>
        <v>56.69440666</v>
      </c>
      <c r="J1237" s="1">
        <v>4.5</v>
      </c>
      <c r="K1237" s="1">
        <v>5911.0</v>
      </c>
      <c r="L1237" s="1" t="s">
        <v>4741</v>
      </c>
      <c r="M1237" s="6" t="s">
        <v>4742</v>
      </c>
      <c r="N1237" s="7" t="str">
        <f>VLOOKUP(A1237, avaliacoes!A:G, 5, FALSE)</f>
        <v>I would have given it 5 stars.. but..,Quality product,Good product,Good,Good capacity but looks a bit cheap,Medium size,Affordable,Basket is good, problem is with the lid.</v>
      </c>
      <c r="O1237" s="7" t="str">
        <f>VLOOKUP(A1237, avaliacoes!A:G, 6, FALSE)</f>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v>
      </c>
    </row>
    <row r="1238">
      <c r="A1238" s="1" t="s">
        <v>4743</v>
      </c>
      <c r="B1238" s="1" t="s">
        <v>4744</v>
      </c>
      <c r="C1238" s="1" t="s">
        <v>3984</v>
      </c>
      <c r="D1238" s="1" t="str">
        <f t="shared" si="2"/>
        <v>Home&amp;Kitchen</v>
      </c>
      <c r="E1238" s="1" t="str">
        <f t="shared" si="3"/>
        <v>Kitchen&amp;HomeAppliances</v>
      </c>
      <c r="F1238" s="2">
        <v>7199.0</v>
      </c>
      <c r="G1238" s="2">
        <v>9995.0</v>
      </c>
      <c r="H1238" s="3">
        <f t="shared" si="4"/>
        <v>0.2797398699</v>
      </c>
      <c r="I1238" s="4">
        <f>IFERROR(__xludf.DUMMYFUNCTION("GOOGLEFINANCE(""CURRENCY:INRBRL"")*F1238"),429.62424583719996)</f>
        <v>429.6242458</v>
      </c>
      <c r="J1238" s="1">
        <v>4.5</v>
      </c>
      <c r="K1238" s="1">
        <v>1964.0</v>
      </c>
      <c r="L1238" s="1" t="s">
        <v>4745</v>
      </c>
      <c r="M1238" s="6" t="s">
        <v>4746</v>
      </c>
      <c r="N1238" s="7" t="str">
        <f>VLOOKUP(A1238, avaliacoes!A:G, 5, FALSE)</f>
        <v>Not for people who prefer taste over health.,Good product use easy,Not for big families,Good Purchase,Definitely a buy,ONE OF THE BEST BUY EVER....,Cooking awesome...,Sleek and elegant.</v>
      </c>
      <c r="O1238" s="7" t="str">
        <f>VLOOKUP(A1238, avaliacoes!A:G, 6, FALSE)</f>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v>
      </c>
    </row>
    <row r="1239">
      <c r="A1239" s="1" t="s">
        <v>4747</v>
      </c>
      <c r="B1239" s="1" t="s">
        <v>4748</v>
      </c>
      <c r="C1239" s="1" t="s">
        <v>3846</v>
      </c>
      <c r="D1239" s="1" t="str">
        <f t="shared" si="2"/>
        <v>Home&amp;Kitchen</v>
      </c>
      <c r="E1239" s="1" t="str">
        <f t="shared" si="3"/>
        <v>Heating,Cooling&amp;AirQuality</v>
      </c>
      <c r="F1239" s="2">
        <v>2439.0</v>
      </c>
      <c r="G1239" s="2">
        <v>2545.0</v>
      </c>
      <c r="H1239" s="3">
        <f t="shared" si="4"/>
        <v>0.0416502947</v>
      </c>
      <c r="I1239" s="4">
        <f>IFERROR(__xludf.DUMMYFUNCTION("GOOGLEFINANCE(""CURRENCY:INRBRL"")*F1239"),145.55542930919998)</f>
        <v>145.5554293</v>
      </c>
      <c r="J1239" s="1">
        <v>4.49</v>
      </c>
      <c r="K1239" s="1">
        <v>25.0</v>
      </c>
      <c r="L1239" s="1" t="s">
        <v>4749</v>
      </c>
      <c r="M1239" s="6" t="s">
        <v>4750</v>
      </c>
      <c r="N1239" s="7" t="str">
        <f>VLOOKUP(A1239, avaliacoes!A:G, 5, FALSE)</f>
        <v>Good product and budget price,I purchased this product from shop for Rs 1650 including everything so why to buy from Amazon,Worst product</v>
      </c>
      <c r="O1239" s="7" t="str">
        <f>VLOOKUP(A1239, avaliacoes!A:G, 6, FALSE)</f>
        <v>Like and happy,,Please don't buy this heater, it stopped working in just 2 days.... And not able to return the product also... Waste of money</v>
      </c>
    </row>
    <row r="1240">
      <c r="A1240" s="1" t="s">
        <v>4751</v>
      </c>
      <c r="B1240" s="1" t="s">
        <v>4752</v>
      </c>
      <c r="C1240" s="1" t="s">
        <v>3994</v>
      </c>
      <c r="D1240" s="1" t="str">
        <f t="shared" si="2"/>
        <v>Home&amp;Kitchen</v>
      </c>
      <c r="E1240" s="1" t="str">
        <f t="shared" si="3"/>
        <v>Kitchen&amp;HomeAppliances</v>
      </c>
      <c r="F1240" s="2">
        <v>7799.0</v>
      </c>
      <c r="G1240" s="2">
        <v>8995.0</v>
      </c>
      <c r="H1240" s="3">
        <f t="shared" si="4"/>
        <v>0.1329627571</v>
      </c>
      <c r="I1240" s="4">
        <f>IFERROR(__xludf.DUMMYFUNCTION("GOOGLEFINANCE(""CURRENCY:INRBRL"")*F1240"),465.43123951719997)</f>
        <v>465.4312395</v>
      </c>
      <c r="J1240" s="1">
        <v>4.0</v>
      </c>
      <c r="K1240" s="1">
        <v>316.0</v>
      </c>
      <c r="L1240" s="1" t="s">
        <v>4753</v>
      </c>
      <c r="M1240" s="6" t="s">
        <v>4754</v>
      </c>
      <c r="N1240" s="7" t="str">
        <f>VLOOKUP(A1240, avaliacoes!A:G, 5, FALSE)</f>
        <v>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v>
      </c>
      <c r="O1240" s="7" t="str">
        <f>VLOOKUP(A1240, avaliacoes!A:G, 6, FALSE)</f>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v>
      </c>
    </row>
    <row r="1241">
      <c r="A1241" s="1" t="s">
        <v>4755</v>
      </c>
      <c r="B1241" s="1" t="s">
        <v>4756</v>
      </c>
      <c r="C1241" s="1" t="s">
        <v>4115</v>
      </c>
      <c r="D1241" s="1" t="str">
        <f t="shared" si="2"/>
        <v>Home&amp;Kitchen</v>
      </c>
      <c r="E1241" s="1" t="str">
        <f t="shared" si="3"/>
        <v>Kitchen&amp;HomeAppliances</v>
      </c>
      <c r="F1241" s="2">
        <v>1599.0</v>
      </c>
      <c r="G1241" s="2">
        <v>1999.0</v>
      </c>
      <c r="H1241" s="3">
        <f t="shared" si="4"/>
        <v>0.20010005</v>
      </c>
      <c r="I1241" s="4">
        <f>IFERROR(__xludf.DUMMYFUNCTION("GOOGLEFINANCE(""CURRENCY:INRBRL"")*F1241"),95.4256381572)</f>
        <v>95.42563816</v>
      </c>
      <c r="J1241" s="1">
        <v>4.5</v>
      </c>
      <c r="K1241" s="1">
        <v>1558.0</v>
      </c>
      <c r="L1241" s="1" t="s">
        <v>4757</v>
      </c>
      <c r="M1241" s="6" t="s">
        <v>4758</v>
      </c>
      <c r="N1241" s="7" t="str">
        <f>VLOOKUP(A1241, avaliacoes!A:G, 5, FALSE)</f>
        <v>Very easy to chop veggies in a very short time,Super clean chopper,Nice product,Mom lives it!,“ LOSING A BATTLE”. Because of  a shoe nail.,Very good chopper,Wow what a beautiful product for cutting onions n other veggies . Why did i delay for so long,I like it</v>
      </c>
      <c r="O1241" s="7" t="str">
        <f>VLOOKUP(A1241, avaliacoes!A:G, 6, FALSE)</f>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v>
      </c>
    </row>
    <row r="1242">
      <c r="A1242" s="1" t="s">
        <v>4759</v>
      </c>
      <c r="B1242" s="1" t="s">
        <v>4760</v>
      </c>
      <c r="C1242" s="1" t="s">
        <v>3914</v>
      </c>
      <c r="D1242" s="1" t="str">
        <f t="shared" si="2"/>
        <v>Home&amp;Kitchen</v>
      </c>
      <c r="E1242" s="1" t="str">
        <f t="shared" si="3"/>
        <v>Kitchen&amp;HomeAppliances</v>
      </c>
      <c r="F1242" s="2">
        <v>2899.0</v>
      </c>
      <c r="G1242" s="2">
        <v>5499.0</v>
      </c>
      <c r="H1242" s="3">
        <f t="shared" si="4"/>
        <v>0.4728132388</v>
      </c>
      <c r="I1242" s="4">
        <f>IFERROR(__xludf.DUMMYFUNCTION("GOOGLEFINANCE(""CURRENCY:INRBRL"")*F1242"),173.00745779719998)</f>
        <v>173.0074578</v>
      </c>
      <c r="J1242" s="1">
        <v>4.51</v>
      </c>
      <c r="K1242" s="1">
        <v>8958.0</v>
      </c>
      <c r="L1242" s="1" t="s">
        <v>4761</v>
      </c>
      <c r="M1242" s="6" t="s">
        <v>4762</v>
      </c>
      <c r="N1242" s="7" t="str">
        <f>VLOOKUP(A1242, avaliacoes!A:G, 5, FALSE)</f>
        <v>Handy and consumes so less space unlike other mixer grinder,THIRD CLASS PRODUCT,Not satisfactory,It is a wonderful  product,Super,n,Handy,One jar not working</v>
      </c>
      <c r="O1242" s="7" t="str">
        <f>VLOOKUP(A1242, avaliacoes!A:G, 6, FALSE)</f>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v>
      </c>
    </row>
    <row r="1243">
      <c r="A1243" s="1" t="s">
        <v>4763</v>
      </c>
      <c r="B1243" s="1" t="s">
        <v>4764</v>
      </c>
      <c r="C1243" s="1" t="s">
        <v>4558</v>
      </c>
      <c r="D1243" s="1" t="str">
        <f t="shared" si="2"/>
        <v>Home&amp;Kitchen</v>
      </c>
      <c r="E1243" s="1" t="str">
        <f t="shared" si="3"/>
        <v>Kitchen&amp;HomeAppliances</v>
      </c>
      <c r="F1243" s="2">
        <v>9799.0</v>
      </c>
      <c r="G1243" s="2">
        <v>12159.0</v>
      </c>
      <c r="H1243" s="3">
        <f t="shared" si="4"/>
        <v>0.1940949091</v>
      </c>
      <c r="I1243" s="4">
        <f>IFERROR(__xludf.DUMMYFUNCTION("GOOGLEFINANCE(""CURRENCY:INRBRL"")*F1243"),584.7878851172)</f>
        <v>584.7878851</v>
      </c>
      <c r="J1243" s="1">
        <v>4.5</v>
      </c>
      <c r="K1243" s="1">
        <v>13251.0</v>
      </c>
      <c r="L1243" s="1" t="s">
        <v>4765</v>
      </c>
      <c r="M1243" s="6" t="s">
        <v>4766</v>
      </c>
      <c r="N1243" s="7" t="str">
        <f>VLOOKUP(A1243, avaliacoes!A:G, 5, FALSE)</f>
        <v>Good machine,Machine is very easy to use after watching the tutorial video,Good product but.....,Costly product only,Superb quality and handling,Usha janom super sewing machine,Worth to buy this,Didn't get warranty card and fabric is not moving</v>
      </c>
      <c r="O1243" s="7" t="str">
        <f>VLOOKUP(A1243, avaliacoes!A:G, 6, FALSE)</f>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v>
      </c>
    </row>
    <row r="1244">
      <c r="A1244" s="1" t="s">
        <v>4767</v>
      </c>
      <c r="B1244" s="1" t="s">
        <v>4768</v>
      </c>
      <c r="C1244" s="1" t="s">
        <v>3994</v>
      </c>
      <c r="D1244" s="1" t="str">
        <f t="shared" si="2"/>
        <v>Home&amp;Kitchen</v>
      </c>
      <c r="E1244" s="1" t="str">
        <f t="shared" si="3"/>
        <v>Kitchen&amp;HomeAppliances</v>
      </c>
      <c r="F1244" s="2">
        <v>3299.0</v>
      </c>
      <c r="G1244" s="2">
        <v>4995.0</v>
      </c>
      <c r="H1244" s="3">
        <f t="shared" si="4"/>
        <v>0.3395395395</v>
      </c>
      <c r="I1244" s="4">
        <f>IFERROR(__xludf.DUMMYFUNCTION("GOOGLEFINANCE(""CURRENCY:INRBRL"")*F1244"),196.8787869172)</f>
        <v>196.8787869</v>
      </c>
      <c r="J1244" s="1">
        <v>4.51</v>
      </c>
      <c r="K1244" s="1">
        <v>1393.0</v>
      </c>
      <c r="L1244" s="1" t="s">
        <v>4769</v>
      </c>
      <c r="M1244" s="6" t="s">
        <v>4770</v>
      </c>
      <c r="N1244" s="7" t="str">
        <f>VLOOKUP(A1244, avaliacoes!A:G, 5, FALSE)</f>
        <v>Good product but not very useful.,Just OK,Good,Good for crepe fabric dresses &amp; delicate clothing items,Here iam sharing my usage experience this garment steamer very handy to use I used it for 25 day's,Nice product,Awsome,Highly Recommended</v>
      </c>
      <c r="O1244" s="7" t="str">
        <f>VLOOKUP(A1244, avaliacoes!A:G, 6, FALSE)</f>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v>
      </c>
    </row>
    <row r="1245">
      <c r="A1245" s="1" t="s">
        <v>4771</v>
      </c>
      <c r="B1245" s="1" t="s">
        <v>4772</v>
      </c>
      <c r="C1245" s="1" t="s">
        <v>3904</v>
      </c>
      <c r="D1245" s="1" t="str">
        <f t="shared" si="2"/>
        <v>Home&amp;Kitchen</v>
      </c>
      <c r="E1245" s="1" t="str">
        <f t="shared" si="3"/>
        <v>Kitchen&amp;HomeAppliances</v>
      </c>
      <c r="F1245" s="2">
        <v>669.0</v>
      </c>
      <c r="G1245" s="2">
        <v>1499.0</v>
      </c>
      <c r="H1245" s="3">
        <f t="shared" si="4"/>
        <v>0.5537024683</v>
      </c>
      <c r="I1245" s="4">
        <f>IFERROR(__xludf.DUMMYFUNCTION("GOOGLEFINANCE(""CURRENCY:INRBRL"")*F1245"),39.9247979532)</f>
        <v>39.92479795</v>
      </c>
      <c r="J1245" s="1">
        <v>4.5</v>
      </c>
      <c r="K1245" s="1">
        <v>13.0</v>
      </c>
      <c r="L1245" s="1" t="s">
        <v>4773</v>
      </c>
      <c r="M1245" s="6" t="s">
        <v>4774</v>
      </c>
      <c r="N1245" s="7" t="str">
        <f>VLOOKUP(A1245, avaliacoes!A:G, 5, FALSE)</f>
        <v>Nice product i recommend to buy,Do not buy!! Defective product,Wast of money,Very very bad portable,Waste of money its not working properly</v>
      </c>
      <c r="O1245" s="7" t="str">
        <f>VLOOKUP(A1245, avaliacoes!A:G, 6, FALSE)</f>
        <v>I liked that it is so convenient to carry,Waste of money. Defective product, cheap quality. doesn’t blend at all,https://m.media-amazon.com/images/I/71IVsjyZ13L._SY88.jpg,First charge problemSecond motor proble,https://m.media-amazon.com/images/I/61aXXxIxPwL._SY88.jpg</v>
      </c>
    </row>
    <row r="1246">
      <c r="A1246" s="1" t="s">
        <v>4775</v>
      </c>
      <c r="B1246" s="1" t="s">
        <v>4776</v>
      </c>
      <c r="C1246" s="1" t="s">
        <v>4011</v>
      </c>
      <c r="D1246" s="1" t="str">
        <f t="shared" si="2"/>
        <v>Home&amp;Kitchen</v>
      </c>
      <c r="E1246" s="1" t="str">
        <f t="shared" si="3"/>
        <v>Kitchen&amp;HomeAppliances</v>
      </c>
      <c r="F1246" s="2">
        <v>5899.0</v>
      </c>
      <c r="G1246" s="2">
        <v>7506.0</v>
      </c>
      <c r="H1246" s="3">
        <f t="shared" si="4"/>
        <v>0.2140953904</v>
      </c>
      <c r="I1246" s="4">
        <f>IFERROR(__xludf.DUMMYFUNCTION("GOOGLEFINANCE(""CURRENCY:INRBRL"")*F1246"),352.0424261972)</f>
        <v>352.0424262</v>
      </c>
      <c r="J1246" s="1">
        <v>4.51</v>
      </c>
      <c r="K1246" s="1">
        <v>7241.0</v>
      </c>
      <c r="L1246" s="1" t="s">
        <v>4777</v>
      </c>
      <c r="M1246" s="6" t="s">
        <v>4778</v>
      </c>
      <c r="N1246" s="7" t="str">
        <f>VLOOKUP(A1246, avaliacoes!A:G, 5, FALSE)</f>
        <v>Need be careful,Excellent Product,Awesome Juicer with few issues,Best juicer ever , very strong and hard motor ,,Best mixer in India,Bang for the buck,Good product easy to use.,Best Juicer</v>
      </c>
      <c r="O1246" s="7" t="str">
        <f>VLOOKUP(A1246, avaliacoes!A:G, 6, FALSE)</f>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v>
      </c>
    </row>
    <row r="1247">
      <c r="A1247" s="1" t="s">
        <v>4779</v>
      </c>
      <c r="B1247" s="1" t="s">
        <v>4780</v>
      </c>
      <c r="C1247" s="1" t="s">
        <v>4488</v>
      </c>
      <c r="D1247" s="1" t="str">
        <f t="shared" si="2"/>
        <v>Home&amp;Kitchen</v>
      </c>
      <c r="E1247" s="1" t="str">
        <f t="shared" si="3"/>
        <v>Kitchen&amp;HomeAppliances</v>
      </c>
      <c r="F1247" s="2">
        <v>9199.0</v>
      </c>
      <c r="G1247" s="2">
        <v>17999.0</v>
      </c>
      <c r="H1247" s="3">
        <f t="shared" si="4"/>
        <v>0.4889160509</v>
      </c>
      <c r="I1247" s="4">
        <f>IFERROR(__xludf.DUMMYFUNCTION("GOOGLEFINANCE(""CURRENCY:INRBRL"")*F1247"),548.9808914372)</f>
        <v>548.9808914</v>
      </c>
      <c r="J1247" s="1">
        <v>4.0</v>
      </c>
      <c r="K1247" s="1">
        <v>1602.0</v>
      </c>
      <c r="L1247" s="1" t="s">
        <v>4781</v>
      </c>
      <c r="M1247" s="6" t="s">
        <v>4782</v>
      </c>
      <c r="N1247" s="7" t="str">
        <f>VLOOKUP(A1247, avaliacoes!A:G, 5, FALSE)</f>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v>
      </c>
      <c r="O1247" s="7" t="str">
        <f>VLOOKUP(A1247, avaliacoes!A:G, 6, FALSE)</f>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v>
      </c>
    </row>
    <row r="1248">
      <c r="A1248" s="1" t="s">
        <v>4783</v>
      </c>
      <c r="B1248" s="1" t="s">
        <v>4784</v>
      </c>
      <c r="C1248" s="1" t="s">
        <v>3989</v>
      </c>
      <c r="D1248" s="1" t="str">
        <f t="shared" si="2"/>
        <v>Home&amp;Kitchen</v>
      </c>
      <c r="E1248" s="1" t="str">
        <f t="shared" si="3"/>
        <v>HomeStorage&amp;Organization</v>
      </c>
      <c r="F1248" s="2">
        <v>351.0</v>
      </c>
      <c r="G1248" s="2">
        <v>1099.0</v>
      </c>
      <c r="H1248" s="3">
        <f t="shared" si="4"/>
        <v>0.6806187443</v>
      </c>
      <c r="I1248" s="4">
        <f>IFERROR(__xludf.DUMMYFUNCTION("GOOGLEFINANCE(""CURRENCY:INRBRL"")*F1248"),20.947091302799997)</f>
        <v>20.9470913</v>
      </c>
      <c r="J1248" s="1">
        <v>4.51</v>
      </c>
      <c r="K1248" s="1">
        <v>147.0</v>
      </c>
      <c r="L1248" s="1" t="s">
        <v>4785</v>
      </c>
      <c r="M1248" s="6" t="s">
        <v>4786</v>
      </c>
      <c r="N1248" s="7" t="str">
        <f>VLOOKUP(A1248, avaliacoes!A:G, 5, FALSE)</f>
        <v>does it's job,Good,Chala bagundhe,Bottom is very thin woven and they provided carton for bottom,Good thing...,Not bad,Nice product,Good</v>
      </c>
      <c r="O1248" s="7" t="str">
        <f>VLOOKUP(A1248, avaliacoes!A:G, 6, FALSE)</f>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v>
      </c>
    </row>
    <row r="1249">
      <c r="A1249" s="1" t="s">
        <v>4787</v>
      </c>
      <c r="B1249" s="1" t="s">
        <v>4788</v>
      </c>
      <c r="C1249" s="1" t="s">
        <v>4789</v>
      </c>
      <c r="D1249" s="1" t="str">
        <f t="shared" si="2"/>
        <v>Health&amp;PersonalCare</v>
      </c>
      <c r="E1249" s="1" t="str">
        <f t="shared" si="3"/>
        <v>HomeMedicalSupplies&amp;Equipment</v>
      </c>
      <c r="F1249" s="2">
        <v>899.0</v>
      </c>
      <c r="G1249" s="2">
        <v>1899.0</v>
      </c>
      <c r="H1249" s="3">
        <f t="shared" si="4"/>
        <v>0.5265929437</v>
      </c>
      <c r="I1249" s="4">
        <f>IFERROR(__xludf.DUMMYFUNCTION("GOOGLEFINANCE(""CURRENCY:INRBRL"")*F1249"),53.6508121972)</f>
        <v>53.6508122</v>
      </c>
      <c r="J1249" s="1">
        <v>4.0</v>
      </c>
      <c r="K1249" s="1">
        <v>3663.0</v>
      </c>
      <c r="L1249" s="1" t="s">
        <v>4790</v>
      </c>
      <c r="M1249" s="6" t="s">
        <v>4791</v>
      </c>
      <c r="N1249" s="7" t="str">
        <f>VLOOKUP(A1249, avaliacoes!A:G, 5, FALSE)</f>
        <v>Design Optimised for Functionality, Durability &amp; Battery life!,Nice,**HIGHLY PRECISE IN MEASURING**ACCU GAUGE SENSORS**CONVERTS UNIT AFTER MEASURING ALSO**HAS TARE, AUTO-OFF, OVERLOAD INDICATOR**,It worked good for one year. Now only grams are shown.litres option is not operated.</v>
      </c>
      <c r="O1249" s="7" t="str">
        <f>VLOOKUP(A1249, avaliacoes!A:G, 6, FALSE)</f>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v>
      </c>
    </row>
    <row r="1250">
      <c r="A1250" s="1" t="s">
        <v>4792</v>
      </c>
      <c r="B1250" s="1" t="s">
        <v>4793</v>
      </c>
      <c r="C1250" s="1" t="s">
        <v>3937</v>
      </c>
      <c r="D1250" s="1" t="str">
        <f t="shared" si="2"/>
        <v>Home&amp;Kitchen</v>
      </c>
      <c r="E1250" s="1" t="str">
        <f t="shared" si="3"/>
        <v>Kitchen&amp;HomeAppliances</v>
      </c>
      <c r="F1250" s="2">
        <v>1349.0</v>
      </c>
      <c r="G1250" s="2">
        <v>1859.0</v>
      </c>
      <c r="H1250" s="3">
        <f t="shared" si="4"/>
        <v>0.2743410436</v>
      </c>
      <c r="I1250" s="4">
        <f>IFERROR(__xludf.DUMMYFUNCTION("GOOGLEFINANCE(""CURRENCY:INRBRL"")*F1250"),80.5060574572)</f>
        <v>80.50605746</v>
      </c>
      <c r="J1250" s="1">
        <v>4.5</v>
      </c>
      <c r="K1250" s="1">
        <v>638.0</v>
      </c>
      <c r="L1250" s="1" t="s">
        <v>4794</v>
      </c>
      <c r="M1250" s="6" t="s">
        <v>4795</v>
      </c>
      <c r="N1250" s="7" t="str">
        <f>VLOOKUP(A1250, avaliacoes!A:G, 5, FALSE)</f>
        <v>Good,Kind of too big.,Efficient one,good quality appliance,Nice product,Sturdy, well made,Fantastic product, I'm using it from last 10 days and it is working good. Value for money.,Quality product</v>
      </c>
      <c r="O1250" s="7" t="str">
        <f>VLOOKUP(A1250, avaliacoes!A:G, 6, FALSE)</f>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v>
      </c>
    </row>
    <row r="1251">
      <c r="A1251" s="1" t="s">
        <v>4796</v>
      </c>
      <c r="B1251" s="1" t="s">
        <v>4797</v>
      </c>
      <c r="C1251" s="1" t="s">
        <v>4427</v>
      </c>
      <c r="D1251" s="1" t="str">
        <f t="shared" si="2"/>
        <v>Home&amp;Kitchen</v>
      </c>
      <c r="E1251" s="1" t="str">
        <f t="shared" si="3"/>
        <v>Kitchen&amp;HomeAppliances</v>
      </c>
      <c r="F1251" s="2">
        <v>6236.0</v>
      </c>
      <c r="G1251" s="2">
        <v>9999.0</v>
      </c>
      <c r="H1251" s="3">
        <f t="shared" si="4"/>
        <v>0.3763376338</v>
      </c>
      <c r="I1251" s="4">
        <f>IFERROR(__xludf.DUMMYFUNCTION("GOOGLEFINANCE(""CURRENCY:INRBRL"")*F1251"),372.1540209808)</f>
        <v>372.154021</v>
      </c>
      <c r="J1251" s="1">
        <v>4.49</v>
      </c>
      <c r="K1251" s="1">
        <v>3552.0</v>
      </c>
      <c r="L1251" s="1" t="s">
        <v>4798</v>
      </c>
      <c r="M1251" s="6" t="s">
        <v>4799</v>
      </c>
      <c r="N1251" s="7" t="str">
        <f>VLOOKUP(A1251, avaliacoes!A:G, 5, FALSE)</f>
        <v>Value for money,Nice product, comfortable to use.,nice one,Good product with some areas of improvement.,Good and easy to use.,Best Vaccum cleaner in this range,Best vacuum cleaner for house hold use,Nice</v>
      </c>
      <c r="O1251" s="7" t="str">
        <f>VLOOKUP(A1251, avaliacoes!A:G, 6, FALSE)</f>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v>
      </c>
    </row>
    <row r="1252">
      <c r="A1252" s="1" t="s">
        <v>4800</v>
      </c>
      <c r="B1252" s="1" t="s">
        <v>4801</v>
      </c>
      <c r="C1252" s="1" t="s">
        <v>3904</v>
      </c>
      <c r="D1252" s="1" t="str">
        <f t="shared" si="2"/>
        <v>Home&amp;Kitchen</v>
      </c>
      <c r="E1252" s="1" t="str">
        <f t="shared" si="3"/>
        <v>Kitchen&amp;HomeAppliances</v>
      </c>
      <c r="F1252" s="2">
        <v>2742.0</v>
      </c>
      <c r="G1252" s="2">
        <v>3995.0</v>
      </c>
      <c r="H1252" s="3">
        <f t="shared" si="4"/>
        <v>0.3136420526</v>
      </c>
      <c r="I1252" s="4">
        <f>IFERROR(__xludf.DUMMYFUNCTION("GOOGLEFINANCE(""CURRENCY:INRBRL"")*F1252"),163.63796111759999)</f>
        <v>163.6379611</v>
      </c>
      <c r="J1252" s="1">
        <v>4.5</v>
      </c>
      <c r="K1252" s="1">
        <v>11148.0</v>
      </c>
      <c r="L1252" s="1" t="s">
        <v>4802</v>
      </c>
      <c r="M1252" s="6" t="s">
        <v>4803</v>
      </c>
      <c r="N1252" s="7" t="str">
        <f>VLOOKUP(A1252, avaliacoes!A:G, 5, FALSE)</f>
        <v>Heats up,I just bought this product and my review based on my previous purchases are my in laws home,Easy to use,Nicee,Good product,Nice product..,Very Easy to use,Powerful Blender with 3in1 attachments</v>
      </c>
      <c r="O1252" s="7" t="str">
        <f>VLOOKUP(A1252, avaliacoes!A:G, 6, FALSE)</f>
        <v>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v>
      </c>
    </row>
    <row r="1253">
      <c r="A1253" s="1" t="s">
        <v>4804</v>
      </c>
      <c r="B1253" s="1" t="s">
        <v>4805</v>
      </c>
      <c r="C1253" s="1" t="s">
        <v>4558</v>
      </c>
      <c r="D1253" s="1" t="str">
        <f t="shared" si="2"/>
        <v>Home&amp;Kitchen</v>
      </c>
      <c r="E1253" s="1" t="str">
        <f t="shared" si="3"/>
        <v>Kitchen&amp;HomeAppliances</v>
      </c>
      <c r="F1253" s="2">
        <v>721.0</v>
      </c>
      <c r="G1253" s="2">
        <v>1499.0</v>
      </c>
      <c r="H1253" s="3">
        <f t="shared" si="4"/>
        <v>0.5190126751</v>
      </c>
      <c r="I1253" s="4">
        <f>IFERROR(__xludf.DUMMYFUNCTION("GOOGLEFINANCE(""CURRENCY:INRBRL"")*F1253"),43.0280707388)</f>
        <v>43.02807074</v>
      </c>
      <c r="J1253" s="1">
        <v>4.49</v>
      </c>
      <c r="K1253" s="1">
        <v>2449.0</v>
      </c>
      <c r="L1253" s="1" t="s">
        <v>4806</v>
      </c>
      <c r="M1253" s="6" t="s">
        <v>4807</v>
      </c>
      <c r="N1253" s="7" t="str">
        <f>VLOOKUP(A1253, avaliacoes!A:G, 5, FALSE)</f>
        <v>Easy to keep and use,Good for quick fixes,Average product,It's a good Machine,Ok,Make it some more easier,Not so easy,It was a perfect tool for beginners</v>
      </c>
      <c r="O1253" s="7" t="str">
        <f>VLOOKUP(A1253, avaliacoes!A:G, 6, FALSE)</f>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v>
      </c>
    </row>
    <row r="1254">
      <c r="A1254" s="1" t="s">
        <v>4808</v>
      </c>
      <c r="B1254" s="1" t="s">
        <v>4809</v>
      </c>
      <c r="C1254" s="1" t="s">
        <v>3994</v>
      </c>
      <c r="D1254" s="1" t="str">
        <f t="shared" si="2"/>
        <v>Home&amp;Kitchen</v>
      </c>
      <c r="E1254" s="1" t="str">
        <f t="shared" si="3"/>
        <v>Kitchen&amp;HomeAppliances</v>
      </c>
      <c r="F1254" s="2">
        <v>2903.0</v>
      </c>
      <c r="G1254" s="2">
        <v>3295.0</v>
      </c>
      <c r="H1254" s="3">
        <f t="shared" si="4"/>
        <v>0.1189681335</v>
      </c>
      <c r="I1254" s="4">
        <f>IFERROR(__xludf.DUMMYFUNCTION("GOOGLEFINANCE(""CURRENCY:INRBRL"")*F1254"),173.2461710884)</f>
        <v>173.2461711</v>
      </c>
      <c r="J1254" s="1">
        <v>4.5</v>
      </c>
      <c r="K1254" s="1">
        <v>2299.0</v>
      </c>
      <c r="L1254" s="1" t="s">
        <v>4810</v>
      </c>
      <c r="M1254" s="6" t="s">
        <v>4811</v>
      </c>
      <c r="N1254" s="7" t="str">
        <f>VLOOKUP(A1254, avaliacoes!A:G, 5, FALSE)</f>
        <v>Steam irom,Good,Value for money,Amazing product😁😁,Very nice product.,Good product,Good product,It comes with 16Amps Plug</v>
      </c>
      <c r="O1254" s="7" t="str">
        <f>VLOOKUP(A1254, avaliacoes!A:G, 6, FALSE)</f>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v>
      </c>
    </row>
    <row r="1255">
      <c r="A1255" s="1" t="s">
        <v>4812</v>
      </c>
      <c r="B1255" s="1" t="s">
        <v>4813</v>
      </c>
      <c r="C1255" s="1" t="s">
        <v>4115</v>
      </c>
      <c r="D1255" s="1" t="str">
        <f t="shared" si="2"/>
        <v>Home&amp;Kitchen</v>
      </c>
      <c r="E1255" s="1" t="str">
        <f t="shared" si="3"/>
        <v>Kitchen&amp;HomeAppliances</v>
      </c>
      <c r="F1255" s="2">
        <v>1656.0</v>
      </c>
      <c r="G1255" s="2">
        <v>2695.0</v>
      </c>
      <c r="H1255" s="3">
        <f t="shared" si="4"/>
        <v>0.385528757</v>
      </c>
      <c r="I1255" s="4">
        <f>IFERROR(__xludf.DUMMYFUNCTION("GOOGLEFINANCE(""CURRENCY:INRBRL"")*F1255"),98.82730255679999)</f>
        <v>98.82730256</v>
      </c>
      <c r="J1255" s="1">
        <v>4.5</v>
      </c>
      <c r="K1255" s="1">
        <v>6027.0</v>
      </c>
      <c r="L1255" s="1" t="s">
        <v>4814</v>
      </c>
      <c r="M1255" s="6" t="s">
        <v>4815</v>
      </c>
      <c r="N1255" s="7" t="str">
        <f>VLOOKUP(A1255, avaliacoes!A:G, 5, FALSE)</f>
        <v>A must have addition to the kitchen.,Easy to use,Superb,Fast and sharp blades...quick work,Good product,Quality of motor is good, just doubt on jar, it's not so much strong,Inalsa Bullet Chopper,Very handy and good chopper</v>
      </c>
      <c r="O1255" s="7" t="str">
        <f>VLOOKUP(A1255, avaliacoes!A:G, 6, FALSE)</f>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v>
      </c>
    </row>
    <row r="1256">
      <c r="A1256" s="1" t="s">
        <v>4816</v>
      </c>
      <c r="B1256" s="1" t="s">
        <v>4817</v>
      </c>
      <c r="C1256" s="1" t="s">
        <v>4049</v>
      </c>
      <c r="D1256" s="1" t="str">
        <f t="shared" si="2"/>
        <v>Home&amp;Kitchen</v>
      </c>
      <c r="E1256" s="1" t="str">
        <f t="shared" si="3"/>
        <v>Kitchen&amp;HomeAppliances</v>
      </c>
      <c r="F1256" s="2">
        <v>1399.0</v>
      </c>
      <c r="G1256" s="2">
        <v>2299.0</v>
      </c>
      <c r="H1256" s="3">
        <f t="shared" si="4"/>
        <v>0.3914745542</v>
      </c>
      <c r="I1256" s="4">
        <f>IFERROR(__xludf.DUMMYFUNCTION("GOOGLEFINANCE(""CURRENCY:INRBRL"")*F1256"),83.48997359719999)</f>
        <v>83.4899736</v>
      </c>
      <c r="J1256" s="1">
        <v>4.5</v>
      </c>
      <c r="K1256" s="1">
        <v>461.0</v>
      </c>
      <c r="L1256" s="1" t="s">
        <v>4818</v>
      </c>
      <c r="M1256" s="6" t="s">
        <v>4819</v>
      </c>
      <c r="N1256" s="7" t="str">
        <f>VLOOKUP(A1256, avaliacoes!A:G, 5, FALSE)</f>
        <v>Over all good,Good product, but power switch,Good product,Quality product by Borosil!,Awesome 👌,Easy to use,Excellent,Its a very user friendly product.</v>
      </c>
      <c r="O1256" s="7" t="str">
        <f>VLOOKUP(A1256, avaliacoes!A:G, 6, FALSE)</f>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v>
      </c>
    </row>
    <row r="1257">
      <c r="A1257" s="1" t="s">
        <v>4820</v>
      </c>
      <c r="B1257" s="1" t="s">
        <v>4821</v>
      </c>
      <c r="C1257" s="1" t="s">
        <v>4062</v>
      </c>
      <c r="D1257" s="1" t="str">
        <f t="shared" si="2"/>
        <v>Home&amp;Kitchen</v>
      </c>
      <c r="E1257" s="1" t="str">
        <f t="shared" si="3"/>
        <v>Kitchen&amp;HomeAppliances</v>
      </c>
      <c r="F1257" s="2">
        <v>2079.0</v>
      </c>
      <c r="G1257" s="2">
        <v>3099.0</v>
      </c>
      <c r="H1257" s="3">
        <f t="shared" si="4"/>
        <v>0.3291384318</v>
      </c>
      <c r="I1257" s="4">
        <f>IFERROR(__xludf.DUMMYFUNCTION("GOOGLEFINANCE(""CURRENCY:INRBRL"")*F1257"),124.0712331012)</f>
        <v>124.0712331</v>
      </c>
      <c r="J1257" s="1">
        <v>4.49</v>
      </c>
      <c r="K1257" s="1">
        <v>282.0</v>
      </c>
      <c r="L1257" s="1" t="s">
        <v>4822</v>
      </c>
      <c r="M1257" s="6" t="s">
        <v>4823</v>
      </c>
      <c r="N1257" s="7" t="str">
        <f>VLOOKUP(A1257, avaliacoes!A:G, 5, FALSE)</f>
        <v>Good!!,Came with a small scratch on the casing and box was not sealed,Heat fast, cut off once a while,Small sized griller which is not so bad,Size issues,Works fine. No issues, cord could have been longer,A must buy,Its good.</v>
      </c>
      <c r="O1257" s="7" t="str">
        <f>VLOOKUP(A1257, avaliacoes!A:G, 6, FALSE)</f>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v>
      </c>
    </row>
    <row r="1258">
      <c r="A1258" s="1" t="s">
        <v>4824</v>
      </c>
      <c r="B1258" s="1" t="s">
        <v>4825</v>
      </c>
      <c r="C1258" s="1" t="s">
        <v>3971</v>
      </c>
      <c r="D1258" s="1" t="str">
        <f t="shared" si="2"/>
        <v>Home&amp;Kitchen</v>
      </c>
      <c r="E1258" s="1" t="str">
        <f t="shared" si="3"/>
        <v>Heating,Cooling&amp;AirQuality</v>
      </c>
      <c r="F1258" s="2">
        <v>999.0</v>
      </c>
      <c r="G1258" s="2">
        <v>1075.0</v>
      </c>
      <c r="H1258" s="3">
        <f t="shared" si="4"/>
        <v>0.07069767442</v>
      </c>
      <c r="I1258" s="4">
        <f>IFERROR(__xludf.DUMMYFUNCTION("GOOGLEFINANCE(""CURRENCY:INRBRL"")*F1258"),59.61864447719999)</f>
        <v>59.61864448</v>
      </c>
      <c r="J1258" s="1">
        <v>4.49</v>
      </c>
      <c r="K1258" s="1">
        <v>9275.0</v>
      </c>
      <c r="L1258" s="1" t="s">
        <v>4826</v>
      </c>
      <c r="M1258" s="6" t="s">
        <v>4827</v>
      </c>
      <c r="N1258" s="7" t="str">
        <f>VLOOKUP(A1258, avaliacoes!A:G, 5, FALSE)</f>
        <v>Excellent to Use, Adequate Cord length but Too Expensive compared with other &amp; Hope for Durability.,Easy to handle, hassle free,Good,Nice product 👍,Good product,Overall good product,Product not working more than 6months. At that time 797 rs now 999 rs. Too much,Not Shock proof at all</v>
      </c>
      <c r="O1258" s="7" t="str">
        <f>VLOOKUP(A1258, avaliacoes!A:G, 6, FALSE)</f>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v>
      </c>
    </row>
    <row r="1259">
      <c r="A1259" s="1" t="s">
        <v>4828</v>
      </c>
      <c r="B1259" s="1" t="s">
        <v>4829</v>
      </c>
      <c r="C1259" s="1" t="s">
        <v>4024</v>
      </c>
      <c r="D1259" s="1" t="str">
        <f t="shared" si="2"/>
        <v>Home&amp;Kitchen</v>
      </c>
      <c r="E1259" s="1" t="str">
        <f t="shared" si="3"/>
        <v>Kitchen&amp;HomeAppliances</v>
      </c>
      <c r="F1259" s="2">
        <v>3179.0</v>
      </c>
      <c r="G1259" s="2">
        <v>6999.0</v>
      </c>
      <c r="H1259" s="3">
        <f t="shared" si="4"/>
        <v>0.545792256</v>
      </c>
      <c r="I1259" s="4">
        <f>IFERROR(__xludf.DUMMYFUNCTION("GOOGLEFINANCE(""CURRENCY:INRBRL"")*F1259"),189.7173881812)</f>
        <v>189.7173882</v>
      </c>
      <c r="J1259" s="1">
        <v>4.0</v>
      </c>
      <c r="K1259" s="1">
        <v>743.0</v>
      </c>
      <c r="L1259" s="1" t="s">
        <v>4830</v>
      </c>
      <c r="M1259" s="6" t="s">
        <v>4831</v>
      </c>
      <c r="N1259" s="7" t="str">
        <f>VLOOKUP(A1259, avaliacoes!A:G, 5, FALSE)</f>
        <v>Ok but not for deep cleaning,Just ok. Trips frequently,It’s good product, however it’s getting heated up very fast.,It is very helpful,heat and stop after 10 minutes use,Good,Handy and good quality vacuum cleaner,Deep cleaning</v>
      </c>
      <c r="O1259" s="7" t="str">
        <f>VLOOKUP(A1259, avaliacoes!A:G, 6, FALSE)</f>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v>
      </c>
    </row>
    <row r="1260">
      <c r="A1260" s="1" t="s">
        <v>4832</v>
      </c>
      <c r="B1260" s="1" t="s">
        <v>4833</v>
      </c>
      <c r="C1260" s="1" t="s">
        <v>3919</v>
      </c>
      <c r="D1260" s="1" t="str">
        <f t="shared" si="2"/>
        <v>Home&amp;Kitchen</v>
      </c>
      <c r="E1260" s="1" t="str">
        <f t="shared" si="3"/>
        <v>Heating,Cooling&amp;AirQuality</v>
      </c>
      <c r="F1260" s="2">
        <v>1049.0</v>
      </c>
      <c r="G1260" s="2">
        <v>2499.0</v>
      </c>
      <c r="H1260" s="3">
        <f t="shared" si="4"/>
        <v>0.5802320928</v>
      </c>
      <c r="I1260" s="4">
        <f>IFERROR(__xludf.DUMMYFUNCTION("GOOGLEFINANCE(""CURRENCY:INRBRL"")*F1260"),62.6025606172)</f>
        <v>62.60256062</v>
      </c>
      <c r="J1260" s="1">
        <v>4.51</v>
      </c>
      <c r="K1260" s="1">
        <v>328.0</v>
      </c>
      <c r="L1260" s="1" t="s">
        <v>4834</v>
      </c>
      <c r="M1260" s="6" t="s">
        <v>4835</v>
      </c>
      <c r="N1260" s="7" t="str">
        <f>VLOOKUP(A1260, avaliacoes!A:G, 5, FALSE)</f>
        <v>Ok product but not for winter,Easy to use,There's no support for the product . You will not get the warranty.,👌👌👌,Value for money,Good,Good,Quality of the product is not as I expected.</v>
      </c>
      <c r="O1260" s="7" t="str">
        <f>VLOOKUP(A1260, avaliacoes!A:G, 6, FALSE)</f>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v>
      </c>
    </row>
    <row r="1261">
      <c r="A1261" s="1" t="s">
        <v>4836</v>
      </c>
      <c r="B1261" s="1" t="s">
        <v>4837</v>
      </c>
      <c r="C1261" s="1" t="s">
        <v>3919</v>
      </c>
      <c r="D1261" s="1" t="str">
        <f t="shared" si="2"/>
        <v>Home&amp;Kitchen</v>
      </c>
      <c r="E1261" s="1" t="str">
        <f t="shared" si="3"/>
        <v>Heating,Cooling&amp;AirQuality</v>
      </c>
      <c r="F1261" s="2">
        <v>3599.0</v>
      </c>
      <c r="G1261" s="2">
        <v>7299.0</v>
      </c>
      <c r="H1261" s="3">
        <f t="shared" si="4"/>
        <v>0.506918756</v>
      </c>
      <c r="I1261" s="4">
        <f>IFERROR(__xludf.DUMMYFUNCTION("GOOGLEFINANCE(""CURRENCY:INRBRL"")*F1261"),214.7822837572)</f>
        <v>214.7822838</v>
      </c>
      <c r="J1261" s="1">
        <v>4.52</v>
      </c>
      <c r="K1261" s="1">
        <v>942.0</v>
      </c>
      <c r="L1261" s="1" t="s">
        <v>4838</v>
      </c>
      <c r="M1261" s="6" t="s">
        <v>4839</v>
      </c>
      <c r="N1261" s="7" t="str">
        <f>VLOOKUP(A1261, avaliacoes!A:G, 5, FALSE)</f>
        <v>Good product but pipes/installation/plug not included,engineer charge 850/- he said company not provide instaltion bill,Good product,Its ok Good, not bad,Geyser is very Good,Genuine,Average,time saving</v>
      </c>
      <c r="O1261" s="7" t="str">
        <f>VLOOKUP(A1261, avaliacoes!A:G, 6, FALSE)</f>
        <v>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v>
      </c>
    </row>
    <row r="1262">
      <c r="A1262" s="1" t="s">
        <v>4840</v>
      </c>
      <c r="B1262" s="1" t="s">
        <v>4841</v>
      </c>
      <c r="C1262" s="1" t="s">
        <v>4842</v>
      </c>
      <c r="D1262" s="1" t="str">
        <f t="shared" si="2"/>
        <v>Home&amp;Kitchen</v>
      </c>
      <c r="E1262" s="1" t="str">
        <f t="shared" si="3"/>
        <v>Kitchen&amp;HomeAppliances</v>
      </c>
      <c r="F1262" s="2">
        <v>4799.0</v>
      </c>
      <c r="G1262" s="2">
        <v>5795.0</v>
      </c>
      <c r="H1262" s="3">
        <f t="shared" si="4"/>
        <v>0.1718723037</v>
      </c>
      <c r="I1262" s="4">
        <f>IFERROR(__xludf.DUMMYFUNCTION("GOOGLEFINANCE(""CURRENCY:INRBRL"")*F1262"),286.3962711172)</f>
        <v>286.3962711</v>
      </c>
      <c r="J1262" s="1">
        <v>4.52</v>
      </c>
      <c r="K1262" s="1">
        <v>3815.0</v>
      </c>
      <c r="L1262" s="1" t="s">
        <v>4843</v>
      </c>
      <c r="M1262" s="6" t="s">
        <v>4844</v>
      </c>
      <c r="N1262" s="7" t="str">
        <f>VLOOKUP(A1262, avaliacoes!A:G, 5, FALSE)</f>
        <v>Sufficient for a Family,Makes superior coffee,almost par with those brewed in CCD,value for money,Nice,Doesn’t justify the Description,Good for the price,Unnecessary Buy,Delivery without Warranty Card</v>
      </c>
      <c r="O1262" s="7" t="str">
        <f>VLOOKUP(A1262, avaliacoes!A:G, 6, FALSE)</f>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v>
      </c>
    </row>
    <row r="1263">
      <c r="A1263" s="1" t="s">
        <v>4845</v>
      </c>
      <c r="B1263" s="1" t="s">
        <v>4846</v>
      </c>
      <c r="C1263" s="1" t="s">
        <v>3914</v>
      </c>
      <c r="D1263" s="1" t="str">
        <f t="shared" si="2"/>
        <v>Home&amp;Kitchen</v>
      </c>
      <c r="E1263" s="1" t="str">
        <f t="shared" si="3"/>
        <v>Kitchen&amp;HomeAppliances</v>
      </c>
      <c r="F1263" s="2">
        <v>1699.0</v>
      </c>
      <c r="G1263" s="2">
        <v>3398.0</v>
      </c>
      <c r="H1263" s="3">
        <f t="shared" si="4"/>
        <v>0.5</v>
      </c>
      <c r="I1263" s="4">
        <f>IFERROR(__xludf.DUMMYFUNCTION("GOOGLEFINANCE(""CURRENCY:INRBRL"")*F1263"),101.3934704372)</f>
        <v>101.3934704</v>
      </c>
      <c r="J1263" s="1">
        <v>4.51</v>
      </c>
      <c r="K1263" s="1">
        <v>7988.0</v>
      </c>
      <c r="L1263" s="1" t="s">
        <v>4847</v>
      </c>
      <c r="M1263" s="6" t="s">
        <v>4848</v>
      </c>
      <c r="N1263" s="7" t="str">
        <f>VLOOKUP(A1263, avaliacoes!A:G, 5, FALSE)</f>
        <v>Like it,Nice 👍 he,Iron worse grinder still usefull,Good,Nice work,Good for,Mixer is good. But package is very shabby. Wanted to gift it. But changed my mind,आवाज बहुत आती है बाकी मिक्सर accha hai</v>
      </c>
      <c r="O1263" s="7" t="str">
        <f>VLOOKUP(A1263, avaliacoes!A:G, 6, FALSE)</f>
        <v>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v>
      </c>
    </row>
    <row r="1264">
      <c r="A1264" s="1" t="s">
        <v>4849</v>
      </c>
      <c r="B1264" s="1" t="s">
        <v>4850</v>
      </c>
      <c r="C1264" s="1" t="s">
        <v>3937</v>
      </c>
      <c r="D1264" s="1" t="str">
        <f t="shared" si="2"/>
        <v>Home&amp;Kitchen</v>
      </c>
      <c r="E1264" s="1" t="str">
        <f t="shared" si="3"/>
        <v>Kitchen&amp;HomeAppliances</v>
      </c>
      <c r="F1264" s="2">
        <v>664.0</v>
      </c>
      <c r="G1264" s="2">
        <v>1499.0</v>
      </c>
      <c r="H1264" s="3">
        <f t="shared" si="4"/>
        <v>0.5570380254</v>
      </c>
      <c r="I1264" s="4">
        <f>IFERROR(__xludf.DUMMYFUNCTION("GOOGLEFINANCE(""CURRENCY:INRBRL"")*F1264"),39.626406339199995)</f>
        <v>39.62640634</v>
      </c>
      <c r="J1264" s="1">
        <v>4.49</v>
      </c>
      <c r="K1264" s="1">
        <v>925.0</v>
      </c>
      <c r="L1264" s="1" t="s">
        <v>4851</v>
      </c>
      <c r="M1264" s="6" t="s">
        <v>4852</v>
      </c>
      <c r="N1264" s="7" t="str">
        <f>VLOOKUP(A1264, avaliacoes!A:G, 5, FALSE)</f>
        <v>It’s a good product in this price.,Nice product,It's very good,Good for use,Velue for money product,Good product,Value for money purchase,It is worthy</v>
      </c>
      <c r="O1264" s="7" t="str">
        <f>VLOOKUP(A1264, avaliacoes!A:G, 6, FALSE)</f>
        <v>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v>
      </c>
    </row>
    <row r="1265">
      <c r="A1265" s="1" t="s">
        <v>4853</v>
      </c>
      <c r="B1265" s="1" t="s">
        <v>4854</v>
      </c>
      <c r="C1265" s="1" t="s">
        <v>4855</v>
      </c>
      <c r="D1265" s="1" t="str">
        <f t="shared" si="2"/>
        <v>Home&amp;Kitchen</v>
      </c>
      <c r="E1265" s="1" t="str">
        <f t="shared" si="3"/>
        <v>Heating,Cooling&amp;AirQuality</v>
      </c>
      <c r="F1265" s="2">
        <v>948.0</v>
      </c>
      <c r="G1265" s="2">
        <v>1629.0</v>
      </c>
      <c r="H1265" s="3">
        <f t="shared" si="4"/>
        <v>0.4180478821</v>
      </c>
      <c r="I1265" s="4">
        <f>IFERROR(__xludf.DUMMYFUNCTION("GOOGLEFINANCE(""CURRENCY:INRBRL"")*F1265"),56.5750500144)</f>
        <v>56.57505001</v>
      </c>
      <c r="J1265" s="1">
        <v>4.49</v>
      </c>
      <c r="K1265" s="1">
        <v>437.0</v>
      </c>
      <c r="L1265" s="1" t="s">
        <v>4856</v>
      </c>
      <c r="M1265" s="6" t="s">
        <v>4857</v>
      </c>
      <c r="N1265" s="7" t="str">
        <f>VLOOKUP(A1265, avaliacoes!A:G, 5, FALSE)</f>
        <v>Replaced the first one.,It is very good product,Go for it,Nice Product,Simple and supper,Compact and Premium look product,Tiny but good,Best buy ever</v>
      </c>
      <c r="O1265" s="7" t="str">
        <f>VLOOKUP(A1265, avaliacoes!A:G, 6, FALSE)</f>
        <v>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v>
      </c>
    </row>
    <row r="1266">
      <c r="A1266" s="1" t="s">
        <v>4858</v>
      </c>
      <c r="B1266" s="1" t="s">
        <v>4859</v>
      </c>
      <c r="C1266" s="1" t="s">
        <v>3909</v>
      </c>
      <c r="D1266" s="1" t="str">
        <f t="shared" si="2"/>
        <v>Home&amp;Kitchen</v>
      </c>
      <c r="E1266" s="1" t="str">
        <f t="shared" si="3"/>
        <v>Kitchen&amp;HomeAppliances</v>
      </c>
      <c r="F1266" s="2">
        <v>850.0</v>
      </c>
      <c r="G1266" s="2">
        <v>999.0</v>
      </c>
      <c r="H1266" s="3">
        <f t="shared" si="4"/>
        <v>0.1491491491</v>
      </c>
      <c r="I1266" s="4">
        <f>IFERROR(__xludf.DUMMYFUNCTION("GOOGLEFINANCE(""CURRENCY:INRBRL"")*F1266"),50.726574379999995)</f>
        <v>50.72657438</v>
      </c>
      <c r="J1266" s="1">
        <v>4.49</v>
      </c>
      <c r="K1266" s="1">
        <v>7619.0</v>
      </c>
      <c r="L1266" s="1" t="s">
        <v>4860</v>
      </c>
      <c r="M1266" s="6" t="s">
        <v>4861</v>
      </c>
      <c r="N1266" s="7" t="str">
        <f>VLOOKUP(A1266, avaliacoes!A:G, 5, FALSE)</f>
        <v>Good,Very lightweight and good looking,good,So far so good,Nice 👍,Average,I think is this 1000 watts? Produce 750 watts.....,Good</v>
      </c>
      <c r="O1266" s="7" t="str">
        <f>VLOOKUP(A1266, avaliacoes!A:G, 6, FALSE)</f>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v>
      </c>
    </row>
    <row r="1267">
      <c r="A1267" s="1" t="s">
        <v>4862</v>
      </c>
      <c r="B1267" s="1" t="s">
        <v>4863</v>
      </c>
      <c r="C1267" s="1" t="s">
        <v>4304</v>
      </c>
      <c r="D1267" s="1" t="str">
        <f t="shared" si="2"/>
        <v>Home&amp;Kitchen</v>
      </c>
      <c r="E1267" s="1" t="str">
        <f t="shared" si="3"/>
        <v>Kitchen&amp;HomeAppliances</v>
      </c>
      <c r="F1267" s="2">
        <v>600.0</v>
      </c>
      <c r="G1267" s="2">
        <v>640.0</v>
      </c>
      <c r="H1267" s="3">
        <f t="shared" si="4"/>
        <v>0.0625</v>
      </c>
      <c r="I1267" s="4">
        <f>IFERROR(__xludf.DUMMYFUNCTION("GOOGLEFINANCE(""CURRENCY:INRBRL"")*F1267"),35.80699368)</f>
        <v>35.80699368</v>
      </c>
      <c r="J1267" s="1">
        <v>4.51</v>
      </c>
      <c r="K1267" s="1">
        <v>2593.0</v>
      </c>
      <c r="L1267" s="1" t="s">
        <v>4864</v>
      </c>
      <c r="M1267" s="6" t="s">
        <v>4865</v>
      </c>
      <c r="N1267" s="7" t="str">
        <f>VLOOKUP(A1267, avaliacoes!A:G, 5, FALSE)</f>
        <v>Good cartridge but works for less than 3 months for 2 people,Normally sediment water filter,Works for a short period,Water is not going down and not filtering,Great product but too costly .,Correct spare,Great water cleanser,ABC</v>
      </c>
      <c r="O1267" s="7" t="str">
        <f>VLOOKUP(A1267, avaliacoes!A:G, 6, FALSE)</f>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v>
      </c>
    </row>
    <row r="1268">
      <c r="A1268" s="1" t="s">
        <v>4866</v>
      </c>
      <c r="B1268" s="1" t="s">
        <v>4867</v>
      </c>
      <c r="C1268" s="1" t="s">
        <v>3846</v>
      </c>
      <c r="D1268" s="1" t="str">
        <f t="shared" si="2"/>
        <v>Home&amp;Kitchen</v>
      </c>
      <c r="E1268" s="1" t="str">
        <f t="shared" si="3"/>
        <v>Heating,Cooling&amp;AirQuality</v>
      </c>
      <c r="F1268" s="2">
        <v>3711.0</v>
      </c>
      <c r="G1268" s="2">
        <v>4495.0</v>
      </c>
      <c r="H1268" s="3">
        <f t="shared" si="4"/>
        <v>0.1744160178</v>
      </c>
      <c r="I1268" s="4">
        <f>IFERROR(__xludf.DUMMYFUNCTION("GOOGLEFINANCE(""CURRENCY:INRBRL"")*F1268"),221.4662559108)</f>
        <v>221.4662559</v>
      </c>
      <c r="J1268" s="1">
        <v>4.5</v>
      </c>
      <c r="K1268" s="1">
        <v>356.0</v>
      </c>
      <c r="L1268" s="1" t="s">
        <v>4868</v>
      </c>
      <c r="M1268" s="6" t="s">
        <v>4869</v>
      </c>
      <c r="N1268" s="7" t="str">
        <f>VLOOKUP(A1268, avaliacoes!A:G, 5, FALSE)</f>
        <v>Sleek , Silent and Effective,Good product,100 % satisfied and recommended....,Bad product. Fan makes lot of noise,Its good with a flaw,Overall best.,Number 1,works decently.</v>
      </c>
      <c r="O1268" s="7" t="str">
        <f>VLOOKUP(A1268, avaliacoes!A:G, 6, FALSE)</f>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v>
      </c>
    </row>
    <row r="1269">
      <c r="A1269" s="1" t="s">
        <v>4870</v>
      </c>
      <c r="B1269" s="1" t="s">
        <v>4871</v>
      </c>
      <c r="C1269" s="1" t="s">
        <v>3861</v>
      </c>
      <c r="D1269" s="1" t="str">
        <f t="shared" si="2"/>
        <v>Home&amp;Kitchen</v>
      </c>
      <c r="E1269" s="1" t="str">
        <f t="shared" si="3"/>
        <v>Kitchen&amp;HomeAppliances</v>
      </c>
      <c r="F1269" s="2">
        <v>799.0</v>
      </c>
      <c r="G1269" s="2">
        <v>2999.0</v>
      </c>
      <c r="H1269" s="3">
        <f t="shared" si="4"/>
        <v>0.7335778593</v>
      </c>
      <c r="I1269" s="4">
        <f>IFERROR(__xludf.DUMMYFUNCTION("GOOGLEFINANCE(""CURRENCY:INRBRL"")*F1269"),47.682979917199994)</f>
        <v>47.68297992</v>
      </c>
      <c r="J1269" s="1">
        <v>4.51</v>
      </c>
      <c r="K1269" s="1">
        <v>63.0</v>
      </c>
      <c r="L1269" s="1" t="s">
        <v>4872</v>
      </c>
      <c r="M1269" s="6" t="s">
        <v>4873</v>
      </c>
      <c r="N1269" s="7" t="str">
        <f>VLOOKUP(A1269, avaliacoes!A:G, 5, FALSE)</f>
        <v>Excellent product,Good product, very accurate and sleek design. Totally Recommended,Good product,Accurate with multiple unit setting option,Light weight scale machine ... It's good for me,Good little gadget for kitchen,Good product for house use.,Awesome product</v>
      </c>
      <c r="O1269" s="7" t="str">
        <f>VLOOKUP(A1269, avaliacoes!A:G, 6, FALSE)</f>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v>
      </c>
    </row>
    <row r="1270">
      <c r="A1270" s="1" t="s">
        <v>4874</v>
      </c>
      <c r="B1270" s="1" t="s">
        <v>4875</v>
      </c>
      <c r="C1270" s="1" t="s">
        <v>4299</v>
      </c>
      <c r="D1270" s="1" t="str">
        <f t="shared" si="2"/>
        <v>Home&amp;Kitchen</v>
      </c>
      <c r="E1270" s="1" t="str">
        <f t="shared" si="3"/>
        <v>Kitchen&amp;HomeAppliances</v>
      </c>
      <c r="F1270" s="2">
        <v>980.0</v>
      </c>
      <c r="G1270" s="2">
        <v>980.0</v>
      </c>
      <c r="H1270" s="3">
        <f t="shared" si="4"/>
        <v>0</v>
      </c>
      <c r="I1270" s="4">
        <f>IFERROR(__xludf.DUMMYFUNCTION("GOOGLEFINANCE(""CURRENCY:INRBRL"")*F1270"),58.484756344)</f>
        <v>58.48475634</v>
      </c>
      <c r="J1270" s="1">
        <v>4.5</v>
      </c>
      <c r="K1270" s="1">
        <v>474.0</v>
      </c>
      <c r="L1270" s="1" t="s">
        <v>4876</v>
      </c>
      <c r="M1270" s="6" t="s">
        <v>4877</v>
      </c>
      <c r="N1270" s="7" t="str">
        <f>VLOOKUP(A1270, avaliacoes!A:G, 5, FALSE)</f>
        <v>It's very nice,Got the correct one, asked,Good product,Very good item,Awesome,Good,ok,Delivered on time</v>
      </c>
      <c r="O1270" s="7" t="str">
        <f>VLOOKUP(A1270, avaliacoes!A:G, 6, FALSE)</f>
        <v>Ok,For replacing battery of Purit 23 advanced water purifier. Got what i required.,Good,Very good,I like it,Been using it since 5 years,ok,Nice product</v>
      </c>
    </row>
    <row r="1271">
      <c r="A1271" s="1" t="s">
        <v>4878</v>
      </c>
      <c r="B1271" s="1" t="s">
        <v>4879</v>
      </c>
      <c r="C1271" s="1" t="s">
        <v>3989</v>
      </c>
      <c r="D1271" s="1" t="str">
        <f t="shared" si="2"/>
        <v>Home&amp;Kitchen</v>
      </c>
      <c r="E1271" s="1" t="str">
        <f t="shared" si="3"/>
        <v>HomeStorage&amp;Organization</v>
      </c>
      <c r="F1271" s="2">
        <v>351.0</v>
      </c>
      <c r="G1271" s="2">
        <v>899.0</v>
      </c>
      <c r="H1271" s="3">
        <f t="shared" si="4"/>
        <v>0.6095661846</v>
      </c>
      <c r="I1271" s="4">
        <f>IFERROR(__xludf.DUMMYFUNCTION("GOOGLEFINANCE(""CURRENCY:INRBRL"")*F1271"),20.947091302799997)</f>
        <v>20.9470913</v>
      </c>
      <c r="J1271" s="1">
        <v>4.52</v>
      </c>
      <c r="K1271" s="1">
        <v>296.0</v>
      </c>
      <c r="L1271" s="1" t="s">
        <v>4880</v>
      </c>
      <c r="M1271" s="6" t="s">
        <v>4881</v>
      </c>
      <c r="N1271" s="7" t="str">
        <f>VLOOKUP(A1271, avaliacoes!A:G, 5, FALSE)</f>
        <v>Good,Product is good bt smell like hell.,Amazing,Good Bag ☺️,Good quality and quick delivery,Worth money,Good and big bag,Good product</v>
      </c>
      <c r="O1271" s="7" t="str">
        <f>VLOOKUP(A1271, avaliacoes!A:G, 6, FALSE)</f>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v>
      </c>
    </row>
    <row r="1272">
      <c r="A1272" s="1" t="s">
        <v>4882</v>
      </c>
      <c r="B1272" s="1" t="s">
        <v>4883</v>
      </c>
      <c r="C1272" s="1" t="s">
        <v>4884</v>
      </c>
      <c r="D1272" s="1" t="str">
        <f t="shared" si="2"/>
        <v>Home&amp;Kitchen</v>
      </c>
      <c r="E1272" s="1" t="str">
        <f t="shared" si="3"/>
        <v>Kitchen&amp;HomeAppliances</v>
      </c>
      <c r="F1272" s="2">
        <v>229.0</v>
      </c>
      <c r="G1272" s="2">
        <v>499.0</v>
      </c>
      <c r="H1272" s="3">
        <f t="shared" si="4"/>
        <v>0.5410821643</v>
      </c>
      <c r="I1272" s="4">
        <f>IFERROR(__xludf.DUMMYFUNCTION("GOOGLEFINANCE(""CURRENCY:INRBRL"")*F1272"),13.666335921199998)</f>
        <v>13.66633592</v>
      </c>
      <c r="J1272" s="1">
        <v>4.5</v>
      </c>
      <c r="K1272" s="1">
        <v>185.0</v>
      </c>
      <c r="L1272" s="1" t="s">
        <v>4885</v>
      </c>
      <c r="M1272" s="6" t="s">
        <v>4886</v>
      </c>
      <c r="N1272" s="7" t="str">
        <f>VLOOKUP(A1272, avaliacoes!A:G, 5, FALSE)</f>
        <v>Good product,Decent product,nice n powerful but delicate,Good product. It’s a bit difficult to insert cells.,Worked well for a month,Extremely useful,Waste product,Value for money</v>
      </c>
      <c r="O1272" s="7" t="str">
        <f>VLOOKUP(A1272, avaliacoes!A:G, 6, FALSE)</f>
        <v>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v>
      </c>
    </row>
    <row r="1273">
      <c r="A1273" s="1" t="s">
        <v>4887</v>
      </c>
      <c r="B1273" s="1" t="s">
        <v>4888</v>
      </c>
      <c r="C1273" s="1" t="s">
        <v>3994</v>
      </c>
      <c r="D1273" s="1" t="str">
        <f t="shared" si="2"/>
        <v>Home&amp;Kitchen</v>
      </c>
      <c r="E1273" s="1" t="str">
        <f t="shared" si="3"/>
        <v>Kitchen&amp;HomeAppliances</v>
      </c>
      <c r="F1273" s="2">
        <v>3349.0</v>
      </c>
      <c r="G1273" s="2">
        <v>3995.0</v>
      </c>
      <c r="H1273" s="3">
        <f t="shared" si="4"/>
        <v>0.1617021277</v>
      </c>
      <c r="I1273" s="4">
        <f>IFERROR(__xludf.DUMMYFUNCTION("GOOGLEFINANCE(""CURRENCY:INRBRL"")*F1273"),199.86270305719998)</f>
        <v>199.8627031</v>
      </c>
      <c r="J1273" s="1">
        <v>4.5</v>
      </c>
      <c r="K1273" s="1">
        <v>1954.0</v>
      </c>
      <c r="L1273" s="1" t="s">
        <v>4889</v>
      </c>
      <c r="M1273" s="6" t="s">
        <v>4890</v>
      </c>
      <c r="N1273" s="7" t="str">
        <f>VLOOKUP(A1273, avaliacoes!A:G, 5, FALSE)</f>
        <v>Go for it,Good steam iron,Plage big size,Good Product and worth Buying,Nice,Easy to use,Good,Going good so far</v>
      </c>
      <c r="O1273" s="7" t="str">
        <f>VLOOKUP(A1273, avaliacoes!A:G, 6, FALSE)</f>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v>
      </c>
    </row>
    <row r="1274">
      <c r="A1274" s="1" t="s">
        <v>4891</v>
      </c>
      <c r="B1274" s="1" t="s">
        <v>4892</v>
      </c>
      <c r="C1274" s="1" t="s">
        <v>3942</v>
      </c>
      <c r="D1274" s="1" t="str">
        <f t="shared" si="2"/>
        <v>Home&amp;Kitchen</v>
      </c>
      <c r="E1274" s="1" t="str">
        <f t="shared" si="3"/>
        <v>Heating,Cooling&amp;AirQuality</v>
      </c>
      <c r="F1274" s="2">
        <v>5499.0</v>
      </c>
      <c r="G1274" s="2">
        <v>11499.0</v>
      </c>
      <c r="H1274" s="3">
        <f t="shared" si="4"/>
        <v>0.521784503</v>
      </c>
      <c r="I1274" s="4">
        <f>IFERROR(__xludf.DUMMYFUNCTION("GOOGLEFINANCE(""CURRENCY:INRBRL"")*F1274"),328.1710970772)</f>
        <v>328.1710971</v>
      </c>
      <c r="J1274" s="1">
        <v>4.52</v>
      </c>
      <c r="K1274" s="1">
        <v>959.0</v>
      </c>
      <c r="L1274" s="1" t="s">
        <v>4893</v>
      </c>
      <c r="M1274" s="6" t="s">
        <v>4894</v>
      </c>
      <c r="N1274" s="7" t="str">
        <f>VLOOKUP(A1274, avaliacoes!A:G, 5, FALSE)</f>
        <v>Ok,A good water heater,Easy to use inverter,Good product,Screw missing,Nice,Gd product from amazon,Good purchase but costly installation</v>
      </c>
      <c r="O1274" s="7" t="str">
        <f>VLOOKUP(A1274, avaliacoes!A:G, 6, FALSE)</f>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v>
      </c>
    </row>
    <row r="1275">
      <c r="A1275" s="1" t="s">
        <v>4895</v>
      </c>
      <c r="B1275" s="1" t="s">
        <v>4896</v>
      </c>
      <c r="C1275" s="1" t="s">
        <v>3856</v>
      </c>
      <c r="D1275" s="1" t="str">
        <f t="shared" si="2"/>
        <v>Home&amp;Kitchen</v>
      </c>
      <c r="E1275" s="1" t="str">
        <f t="shared" si="3"/>
        <v>Kitchen&amp;HomeAppliances</v>
      </c>
      <c r="F1275" s="2">
        <v>299.0</v>
      </c>
      <c r="G1275" s="2">
        <v>499.0</v>
      </c>
      <c r="H1275" s="3">
        <f t="shared" si="4"/>
        <v>0.4008016032</v>
      </c>
      <c r="I1275" s="4">
        <f>IFERROR(__xludf.DUMMYFUNCTION("GOOGLEFINANCE(""CURRENCY:INRBRL"")*F1275"),17.8438185172)</f>
        <v>17.84381852</v>
      </c>
      <c r="J1275" s="1">
        <v>4.52</v>
      </c>
      <c r="K1275" s="1">
        <v>1015.0</v>
      </c>
      <c r="L1275" s="1" t="s">
        <v>4897</v>
      </c>
      <c r="M1275" s="6" t="s">
        <v>4898</v>
      </c>
      <c r="N1275" s="7" t="str">
        <f>VLOOKUP(A1275, avaliacoes!A:G, 5, FALSE)</f>
        <v>Good to use,Really good in this price,Lint roller,Adhesive could have been better,I like this,Low effectiveness,Good for those who have pets!,Useful product</v>
      </c>
      <c r="O1275" s="7" t="str">
        <f>VLOOKUP(A1275, avaliacoes!A:G, 6, FALSE)</f>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v>
      </c>
    </row>
    <row r="1276">
      <c r="A1276" s="1" t="s">
        <v>4899</v>
      </c>
      <c r="B1276" s="1" t="s">
        <v>4900</v>
      </c>
      <c r="C1276" s="1" t="s">
        <v>4901</v>
      </c>
      <c r="D1276" s="1" t="str">
        <f t="shared" si="2"/>
        <v>Home&amp;Kitchen</v>
      </c>
      <c r="E1276" s="1" t="str">
        <f t="shared" si="3"/>
        <v>Heating,Cooling&amp;AirQuality</v>
      </c>
      <c r="F1276" s="2">
        <v>2249.0</v>
      </c>
      <c r="G1276" s="2">
        <v>3549.0</v>
      </c>
      <c r="H1276" s="3">
        <f t="shared" si="4"/>
        <v>0.3663003663</v>
      </c>
      <c r="I1276" s="4">
        <f>IFERROR(__xludf.DUMMYFUNCTION("GOOGLEFINANCE(""CURRENCY:INRBRL"")*F1276"),134.21654797719998)</f>
        <v>134.216548</v>
      </c>
      <c r="J1276" s="1">
        <v>4.0</v>
      </c>
      <c r="K1276" s="1">
        <v>3973.0</v>
      </c>
      <c r="L1276" s="1" t="s">
        <v>4902</v>
      </c>
      <c r="M1276" s="6" t="s">
        <v>4903</v>
      </c>
      <c r="N1276" s="7" t="str">
        <f>VLOOKUP(A1276, avaliacoes!A:G, 5, FALSE)</f>
        <v>So far so good,Good product.,good quality product and create ultra fine mist.,Can be a Great Product,Super,Works as described though difficult to refill water,good one,Amazing</v>
      </c>
      <c r="O1276" s="7" t="str">
        <f>VLOOKUP(A1276, avaliacoes!A:G, 6, FALSE)</f>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v>
      </c>
    </row>
    <row r="1277">
      <c r="A1277" s="1" t="s">
        <v>4904</v>
      </c>
      <c r="B1277" s="1" t="s">
        <v>4905</v>
      </c>
      <c r="C1277" s="1" t="s">
        <v>4049</v>
      </c>
      <c r="D1277" s="1" t="str">
        <f t="shared" si="2"/>
        <v>Home&amp;Kitchen</v>
      </c>
      <c r="E1277" s="1" t="str">
        <f t="shared" si="3"/>
        <v>Kitchen&amp;HomeAppliances</v>
      </c>
      <c r="F1277" s="2">
        <v>699.0</v>
      </c>
      <c r="G1277" s="2">
        <v>1599.0</v>
      </c>
      <c r="H1277" s="3">
        <f t="shared" si="4"/>
        <v>0.5628517824</v>
      </c>
      <c r="I1277" s="4">
        <f>IFERROR(__xludf.DUMMYFUNCTION("GOOGLEFINANCE(""CURRENCY:INRBRL"")*F1277"),41.7151476372)</f>
        <v>41.71514764</v>
      </c>
      <c r="J1277" s="1">
        <v>4.51</v>
      </c>
      <c r="K1277" s="1">
        <v>23.0</v>
      </c>
      <c r="L1277" s="1" t="s">
        <v>4906</v>
      </c>
      <c r="M1277" s="6" t="s">
        <v>4907</v>
      </c>
      <c r="N1277" s="7" t="str">
        <f>VLOOKUP(A1277, avaliacoes!A:G, 5, FALSE)</f>
        <v>Amazing! Value for money!,Very easy to use,2 in 1,Good product,Easy to clean,Good product to buy and use,Easy to operate that is simple process,Worth</v>
      </c>
      <c r="O1277" s="7" t="str">
        <f>VLOOKUP(A1277, avaliacoes!A:G, 6, FALSE)</f>
        <v>Worth buying for eggetarians,Working great so far!Value for money!4 stars as wire is very short in length!,I like this product and it is worth for money,Very good item,Value for money,Easy to use,Easy to use and easy to handle,It is awsome product,Good qualility,Good product. It's very nice</v>
      </c>
    </row>
    <row r="1278">
      <c r="A1278" s="1" t="s">
        <v>4908</v>
      </c>
      <c r="B1278" s="1" t="s">
        <v>4909</v>
      </c>
      <c r="C1278" s="1" t="s">
        <v>3846</v>
      </c>
      <c r="D1278" s="1" t="str">
        <f t="shared" si="2"/>
        <v>Home&amp;Kitchen</v>
      </c>
      <c r="E1278" s="1" t="str">
        <f t="shared" si="3"/>
        <v>Heating,Cooling&amp;AirQuality</v>
      </c>
      <c r="F1278" s="2">
        <v>1235.0</v>
      </c>
      <c r="G1278" s="2">
        <v>1499.0</v>
      </c>
      <c r="H1278" s="3">
        <f t="shared" si="4"/>
        <v>0.1761174116</v>
      </c>
      <c r="I1278" s="4">
        <f>IFERROR(__xludf.DUMMYFUNCTION("GOOGLEFINANCE(""CURRENCY:INRBRL"")*F1278"),73.702728658)</f>
        <v>73.70272866</v>
      </c>
      <c r="J1278" s="1">
        <v>4.49</v>
      </c>
      <c r="K1278" s="1">
        <v>203.0</v>
      </c>
      <c r="L1278" s="1" t="s">
        <v>4910</v>
      </c>
      <c r="M1278" s="6" t="s">
        <v>4911</v>
      </c>
      <c r="N1278" s="7" t="str">
        <f>VLOOKUP(A1278, avaliacoes!A:G, 5, FALSE)</f>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v>
      </c>
      <c r="O1278" s="7" t="str">
        <f>VLOOKUP(A1278, avaliacoes!A:G, 6, FALSE)</f>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v>
      </c>
    </row>
    <row r="1279">
      <c r="A1279" s="1" t="s">
        <v>4912</v>
      </c>
      <c r="B1279" s="1" t="s">
        <v>4913</v>
      </c>
      <c r="C1279" s="1" t="s">
        <v>4115</v>
      </c>
      <c r="D1279" s="1" t="str">
        <f t="shared" si="2"/>
        <v>Home&amp;Kitchen</v>
      </c>
      <c r="E1279" s="1" t="str">
        <f t="shared" si="3"/>
        <v>Kitchen&amp;HomeAppliances</v>
      </c>
      <c r="F1279" s="2">
        <v>1349.0</v>
      </c>
      <c r="G1279" s="2">
        <v>2999.0</v>
      </c>
      <c r="H1279" s="3">
        <f t="shared" si="4"/>
        <v>0.5501833945</v>
      </c>
      <c r="I1279" s="4">
        <f>IFERROR(__xludf.DUMMYFUNCTION("GOOGLEFINANCE(""CURRENCY:INRBRL"")*F1279"),80.5060574572)</f>
        <v>80.50605746</v>
      </c>
      <c r="J1279" s="1">
        <v>4.51</v>
      </c>
      <c r="K1279" s="1">
        <v>441.0</v>
      </c>
      <c r="L1279" s="1" t="s">
        <v>4914</v>
      </c>
      <c r="M1279" s="6" t="s">
        <v>4915</v>
      </c>
      <c r="N1279" s="7" t="str">
        <f>VLOOKUP(A1279, avaliacoes!A:G, 5, FALSE)</f>
        <v>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v>
      </c>
      <c r="O1279" s="7" t="str">
        <f>VLOOKUP(A1279, avaliacoes!A:G, 6, FALSE)</f>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v>
      </c>
    </row>
    <row r="1280">
      <c r="A1280" s="1" t="s">
        <v>4916</v>
      </c>
      <c r="B1280" s="1" t="s">
        <v>4917</v>
      </c>
      <c r="C1280" s="1" t="s">
        <v>3942</v>
      </c>
      <c r="D1280" s="1" t="str">
        <f t="shared" si="2"/>
        <v>Home&amp;Kitchen</v>
      </c>
      <c r="E1280" s="1" t="str">
        <f t="shared" si="3"/>
        <v>Heating,Cooling&amp;AirQuality</v>
      </c>
      <c r="F1280" s="2">
        <v>6799.0</v>
      </c>
      <c r="G1280" s="2">
        <v>11499.0</v>
      </c>
      <c r="H1280" s="3">
        <f t="shared" si="4"/>
        <v>0.408731194</v>
      </c>
      <c r="I1280" s="4">
        <f>IFERROR(__xludf.DUMMYFUNCTION("GOOGLEFINANCE(""CURRENCY:INRBRL"")*F1280"),405.7529167172)</f>
        <v>405.7529167</v>
      </c>
      <c r="J1280" s="1">
        <v>4.49</v>
      </c>
      <c r="K1280" s="1">
        <v>10308.0</v>
      </c>
      <c r="L1280" s="1" t="s">
        <v>4918</v>
      </c>
      <c r="M1280" s="6" t="s">
        <v>4919</v>
      </c>
      <c r="N1280" s="7" t="str">
        <f>VLOOKUP(A1280, avaliacoes!A:G, 5, FALSE)</f>
        <v>Good product st this price,Good Product,Good product,Awesome product,Pipe is not there it's mentioned that pipe is with this order,Easy to install,best price.,Good,Good product</v>
      </c>
      <c r="O1280" s="7" t="str">
        <f>VLOOKUP(A1280, avaliacoes!A:G, 6, FALSE)</f>
        <v>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v>
      </c>
    </row>
    <row r="1281">
      <c r="A1281" s="1" t="s">
        <v>4920</v>
      </c>
      <c r="B1281" s="1" t="s">
        <v>4921</v>
      </c>
      <c r="C1281" s="1" t="s">
        <v>4024</v>
      </c>
      <c r="D1281" s="1" t="str">
        <f t="shared" si="2"/>
        <v>Home&amp;Kitchen</v>
      </c>
      <c r="E1281" s="1" t="str">
        <f t="shared" si="3"/>
        <v>Kitchen&amp;HomeAppliances</v>
      </c>
      <c r="F1281" s="2">
        <v>2099.0</v>
      </c>
      <c r="G1281" s="2">
        <v>2499.0</v>
      </c>
      <c r="H1281" s="3">
        <f t="shared" si="4"/>
        <v>0.1600640256</v>
      </c>
      <c r="I1281" s="4">
        <f>IFERROR(__xludf.DUMMYFUNCTION("GOOGLEFINANCE(""CURRENCY:INRBRL"")*F1281"),125.26479955719999)</f>
        <v>125.2647996</v>
      </c>
      <c r="J1281" s="1">
        <v>0.0</v>
      </c>
      <c r="K1281" s="1">
        <v>992.0</v>
      </c>
      <c r="L1281" s="1" t="s">
        <v>4922</v>
      </c>
      <c r="M1281" s="6" t="s">
        <v>4923</v>
      </c>
      <c r="N1281" s="7" t="str">
        <f>VLOOKUP(A1281, avaliacoes!A:G, 5, FALSE)</f>
        <v>Decent product,doesn't pick up sand,Ok ok,Must Buy,Good one for basic use with normal suction power,Super,First review,Perfect product for my car</v>
      </c>
      <c r="O1281" s="7" t="str">
        <f>VLOOKUP(A1281, avaliacoes!A:G, 6, FALSE)</f>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v>
      </c>
    </row>
    <row r="1282">
      <c r="A1282" s="1" t="s">
        <v>4924</v>
      </c>
      <c r="B1282" s="1" t="s">
        <v>4925</v>
      </c>
      <c r="C1282" s="1" t="s">
        <v>4062</v>
      </c>
      <c r="D1282" s="1" t="str">
        <f t="shared" si="2"/>
        <v>Home&amp;Kitchen</v>
      </c>
      <c r="E1282" s="1" t="str">
        <f t="shared" si="3"/>
        <v>Kitchen&amp;HomeAppliances</v>
      </c>
      <c r="F1282" s="2">
        <v>1699.0</v>
      </c>
      <c r="G1282" s="2">
        <v>1975.0</v>
      </c>
      <c r="H1282" s="3">
        <f t="shared" si="4"/>
        <v>0.1397468354</v>
      </c>
      <c r="I1282" s="4">
        <f>IFERROR(__xludf.DUMMYFUNCTION("GOOGLEFINANCE(""CURRENCY:INRBRL"")*F1282"),101.3934704372)</f>
        <v>101.3934704</v>
      </c>
      <c r="J1282" s="1">
        <v>4.49</v>
      </c>
      <c r="K1282" s="1">
        <v>4716.0</v>
      </c>
      <c r="L1282" s="1" t="s">
        <v>4926</v>
      </c>
      <c r="M1282" s="6" t="s">
        <v>4927</v>
      </c>
      <c r="N1282" s="7" t="str">
        <f>VLOOKUP(A1282, avaliacoes!A:G, 5, FALSE)</f>
        <v>Only for grill sandwich use cord length is too shorthort,Decent product, has some old flaws,Good 👍,Every home should have this,Weak body material,but overall good product,Good one with a small issue.,Trusted brand,Nice product but cord length had to be replaced..very short</v>
      </c>
      <c r="O1282" s="7" t="str">
        <f>VLOOKUP(A1282, avaliacoes!A:G, 6, FALSE)</f>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v>
      </c>
    </row>
    <row r="1283">
      <c r="A1283" s="1" t="s">
        <v>4928</v>
      </c>
      <c r="B1283" s="1" t="s">
        <v>4929</v>
      </c>
      <c r="C1283" s="1" t="s">
        <v>3851</v>
      </c>
      <c r="D1283" s="1" t="str">
        <f t="shared" si="2"/>
        <v>Home&amp;Kitchen</v>
      </c>
      <c r="E1283" s="1" t="str">
        <f t="shared" si="3"/>
        <v>Heating,Cooling&amp;AirQuality</v>
      </c>
      <c r="F1283" s="2">
        <v>1069.0</v>
      </c>
      <c r="G1283" s="2">
        <v>1699.0</v>
      </c>
      <c r="H1283" s="3">
        <f t="shared" si="4"/>
        <v>0.3708063567</v>
      </c>
      <c r="I1283" s="4">
        <f>IFERROR(__xludf.DUMMYFUNCTION("GOOGLEFINANCE(""CURRENCY:INRBRL"")*F1283"),63.7961270732)</f>
        <v>63.79612707</v>
      </c>
      <c r="J1283" s="1">
        <v>4.52</v>
      </c>
      <c r="K1283" s="1">
        <v>313.0</v>
      </c>
      <c r="L1283" s="1" t="s">
        <v>4930</v>
      </c>
      <c r="M1283" s="6" t="s">
        <v>4931</v>
      </c>
      <c r="N1283" s="7" t="str">
        <f>VLOOKUP(A1283, avaliacoes!A:G, 5, FALSE)</f>
        <v>Good product,Value for money,Auto cut is not working properly and fan continues even after auto cut...,Room heater,Worth of money,Budget friendly,Best room heater,Not satisfied with the product</v>
      </c>
      <c r="O1283" s="7" t="str">
        <f>VLOOKUP(A1283, avaliacoes!A:G, 6, FALSE)</f>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v>
      </c>
    </row>
    <row r="1284">
      <c r="A1284" s="1" t="s">
        <v>4932</v>
      </c>
      <c r="B1284" s="1" t="s">
        <v>4933</v>
      </c>
      <c r="C1284" s="1" t="s">
        <v>3851</v>
      </c>
      <c r="D1284" s="1" t="str">
        <f t="shared" si="2"/>
        <v>Home&amp;Kitchen</v>
      </c>
      <c r="E1284" s="1" t="str">
        <f t="shared" si="3"/>
        <v>Heating,Cooling&amp;AirQuality</v>
      </c>
      <c r="F1284" s="2">
        <v>1349.0</v>
      </c>
      <c r="G1284" s="2">
        <v>2495.0</v>
      </c>
      <c r="H1284" s="3">
        <f t="shared" si="4"/>
        <v>0.4593186373</v>
      </c>
      <c r="I1284" s="4">
        <f>IFERROR(__xludf.DUMMYFUNCTION("GOOGLEFINANCE(""CURRENCY:INRBRL"")*F1284"),80.5060574572)</f>
        <v>80.50605746</v>
      </c>
      <c r="J1284" s="1">
        <v>4.51</v>
      </c>
      <c r="K1284" s="1">
        <v>166.0</v>
      </c>
      <c r="L1284" s="1" t="s">
        <v>4934</v>
      </c>
      <c r="M1284" s="6" t="s">
        <v>4935</v>
      </c>
      <c r="N1284" s="7" t="str">
        <f>VLOOKUP(A1284, avaliacoes!A:G, 5, FALSE)</f>
        <v>Worth Buying,Very good,Good and sturdy room heater with compact design.,Inalsa Hotty Heater,Good for winter,Don't buy it go for Amazon brand,Package,Decent</v>
      </c>
      <c r="O1284" s="7" t="str">
        <f>VLOOKUP(A1284, avaliacoes!A:G, 6, FALSE)</f>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v>
      </c>
    </row>
    <row r="1285">
      <c r="A1285" s="1" t="s">
        <v>4936</v>
      </c>
      <c r="B1285" s="1" t="s">
        <v>4937</v>
      </c>
      <c r="C1285" s="1" t="s">
        <v>3971</v>
      </c>
      <c r="D1285" s="1" t="str">
        <f t="shared" si="2"/>
        <v>Home&amp;Kitchen</v>
      </c>
      <c r="E1285" s="1" t="str">
        <f t="shared" si="3"/>
        <v>Heating,Cooling&amp;AirQuality</v>
      </c>
      <c r="F1285" s="2">
        <v>1499.0</v>
      </c>
      <c r="G1285" s="2">
        <v>3499.0</v>
      </c>
      <c r="H1285" s="3">
        <f t="shared" si="4"/>
        <v>0.5715918834</v>
      </c>
      <c r="I1285" s="4">
        <f>IFERROR(__xludf.DUMMYFUNCTION("GOOGLEFINANCE(""CURRENCY:INRBRL"")*F1285"),89.45780587719999)</f>
        <v>89.45780588</v>
      </c>
      <c r="J1285" s="1">
        <v>4.49</v>
      </c>
      <c r="K1285" s="1">
        <v>303.0</v>
      </c>
      <c r="L1285" s="1" t="s">
        <v>4938</v>
      </c>
      <c r="M1285" s="6" t="s">
        <v>4939</v>
      </c>
      <c r="N1285" s="7" t="str">
        <f>VLOOKUP(A1285, avaliacoes!A:G, 5, FALSE)</f>
        <v>product good but service bad unexpected,Its good,Very nice product,Efficient Product,Nice,Very good and useful product as expected before buy.,Handle length is too good you can use whole dram,Very fast heating</v>
      </c>
      <c r="O1285" s="7" t="str">
        <f>VLOOKUP(A1285, avaliacoes!A:G, 6, FALSE)</f>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v>
      </c>
    </row>
    <row r="1286">
      <c r="A1286" s="1" t="s">
        <v>4940</v>
      </c>
      <c r="B1286" s="1" t="s">
        <v>4941</v>
      </c>
      <c r="C1286" s="1" t="s">
        <v>4062</v>
      </c>
      <c r="D1286" s="1" t="str">
        <f t="shared" si="2"/>
        <v>Home&amp;Kitchen</v>
      </c>
      <c r="E1286" s="1" t="str">
        <f t="shared" si="3"/>
        <v>Kitchen&amp;HomeAppliances</v>
      </c>
      <c r="F1286" s="2">
        <v>2092.0</v>
      </c>
      <c r="G1286" s="2">
        <v>4599.0</v>
      </c>
      <c r="H1286" s="3">
        <f t="shared" si="4"/>
        <v>0.545118504</v>
      </c>
      <c r="I1286" s="4">
        <f>IFERROR(__xludf.DUMMYFUNCTION("GOOGLEFINANCE(""CURRENCY:INRBRL"")*F1286"),124.84705129759999)</f>
        <v>124.8470513</v>
      </c>
      <c r="J1286" s="1">
        <v>4.5</v>
      </c>
      <c r="K1286" s="1">
        <v>562.0</v>
      </c>
      <c r="L1286" s="1" t="s">
        <v>4942</v>
      </c>
      <c r="M1286" s="6" t="s">
        <v>4943</v>
      </c>
      <c r="N1286" s="7" t="str">
        <f>VLOOKUP(A1286, avaliacoes!A:G, 5, FALSE)</f>
        <v>Nice Product,Three options (toaster/grill/waffle maker) are  neatly packed into this readily usable device.,Product arrived in under 24 hrs...yet to test it,Good Quality,Very nice,Don't know why I waited so long to get this!,Value for money,Good quality, could have been somewhat lower in price</v>
      </c>
      <c r="O1286" s="7" t="str">
        <f>VLOOKUP(A1286, avaliacoes!A:G, 6, FALSE)</f>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v>
      </c>
    </row>
    <row r="1287">
      <c r="A1287" s="1" t="s">
        <v>4944</v>
      </c>
      <c r="B1287" s="1" t="s">
        <v>4945</v>
      </c>
      <c r="C1287" s="1" t="s">
        <v>4427</v>
      </c>
      <c r="D1287" s="1" t="str">
        <f t="shared" si="2"/>
        <v>Home&amp;Kitchen</v>
      </c>
      <c r="E1287" s="1" t="str">
        <f t="shared" si="3"/>
        <v>Kitchen&amp;HomeAppliances</v>
      </c>
      <c r="F1287" s="2">
        <v>3859.0</v>
      </c>
      <c r="G1287" s="2">
        <v>10295.0</v>
      </c>
      <c r="H1287" s="3">
        <f t="shared" si="4"/>
        <v>0.6251578436</v>
      </c>
      <c r="I1287" s="4">
        <f>IFERROR(__xludf.DUMMYFUNCTION("GOOGLEFINANCE(""CURRENCY:INRBRL"")*F1287"),230.2986476852)</f>
        <v>230.2986477</v>
      </c>
      <c r="J1287" s="1">
        <v>4.52</v>
      </c>
      <c r="K1287" s="1">
        <v>8095.0</v>
      </c>
      <c r="L1287" s="1" t="s">
        <v>4946</v>
      </c>
      <c r="M1287" s="6" t="s">
        <v>4947</v>
      </c>
      <c r="N1287" s="7" t="str">
        <f>VLOOKUP(A1287, avaliacoes!A:G, 5, FALSE)</f>
        <v>Great value,Very Nice product,Very good product at reasonable price,Nice Product. Cost efficient,Value for money,good product for the price,very powerfull motor best product i like it,Good product</v>
      </c>
      <c r="O1287" s="7" t="str">
        <f>VLOOKUP(A1287, avaliacoes!A:G, 6, FALSE)</f>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v>
      </c>
    </row>
    <row r="1288">
      <c r="A1288" s="1" t="s">
        <v>4948</v>
      </c>
      <c r="B1288" s="1" t="s">
        <v>4949</v>
      </c>
      <c r="C1288" s="1" t="s">
        <v>4011</v>
      </c>
      <c r="D1288" s="1" t="str">
        <f t="shared" si="2"/>
        <v>Home&amp;Kitchen</v>
      </c>
      <c r="E1288" s="1" t="str">
        <f t="shared" si="3"/>
        <v>Kitchen&amp;HomeAppliances</v>
      </c>
      <c r="F1288" s="2">
        <v>499.0</v>
      </c>
      <c r="G1288" s="2">
        <v>2199.0</v>
      </c>
      <c r="H1288" s="3">
        <f t="shared" si="4"/>
        <v>0.7730786721</v>
      </c>
      <c r="I1288" s="4">
        <f>IFERROR(__xludf.DUMMYFUNCTION("GOOGLEFINANCE(""CURRENCY:INRBRL"")*F1288"),29.7794830772)</f>
        <v>29.77948308</v>
      </c>
      <c r="J1288" s="1">
        <v>4.51</v>
      </c>
      <c r="K1288" s="1">
        <v>109.0</v>
      </c>
      <c r="L1288" s="1" t="s">
        <v>4950</v>
      </c>
      <c r="M1288" s="6" t="s">
        <v>4951</v>
      </c>
      <c r="N1288" s="7" t="str">
        <f>VLOOKUP(A1288, avaliacoes!A:G, 5, FALSE)</f>
        <v>Portable but not much powerful,not so good. power back up is very poor.its more like a toy for my 9 years old girl.,500 rs ok,Don't be fooled by ratings, not a good product,Not recommended,Worst Battery, no use,It is affordable .,User friendly blender, Recommended to buy nice products</v>
      </c>
      <c r="O1288" s="7" t="str">
        <f>VLOOKUP(A1288, avaliacoes!A:G, 6, FALSE)</f>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v>
      </c>
    </row>
    <row r="1289">
      <c r="A1289" s="1" t="s">
        <v>4952</v>
      </c>
      <c r="B1289" s="1" t="s">
        <v>4953</v>
      </c>
      <c r="C1289" s="1" t="s">
        <v>4158</v>
      </c>
      <c r="D1289" s="1" t="str">
        <f t="shared" si="2"/>
        <v>Home&amp;Kitchen</v>
      </c>
      <c r="E1289" s="1" t="str">
        <f t="shared" si="3"/>
        <v>Heating,Cooling&amp;AirQuality</v>
      </c>
      <c r="F1289" s="2">
        <v>1804.0</v>
      </c>
      <c r="G1289" s="2">
        <v>2399.0</v>
      </c>
      <c r="H1289" s="3">
        <f t="shared" si="4"/>
        <v>0.2480200083</v>
      </c>
      <c r="I1289" s="4">
        <f>IFERROR(__xludf.DUMMYFUNCTION("GOOGLEFINANCE(""CURRENCY:INRBRL"")*F1289"),107.65969433119999)</f>
        <v>107.6596943</v>
      </c>
      <c r="J1289" s="1">
        <v>4.0</v>
      </c>
      <c r="K1289" s="1">
        <v>15382.0</v>
      </c>
      <c r="L1289" s="1" t="s">
        <v>4954</v>
      </c>
      <c r="M1289" s="6" t="s">
        <v>4955</v>
      </c>
      <c r="N1289" s="7" t="str">
        <f>VLOOKUP(A1289, avaliacoes!A:G, 5, FALSE)</f>
        <v>Good Fan for this Price,Good fan with high speed,A decent product for the price.,Good,Good in price,Very happy with Amazon,Good,Good</v>
      </c>
      <c r="O1289" s="7" t="str">
        <f>VLOOKUP(A1289, avaliacoes!A:G, 6, FALSE)</f>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v>
      </c>
    </row>
    <row r="1290">
      <c r="A1290" s="1" t="s">
        <v>4956</v>
      </c>
      <c r="B1290" s="1" t="s">
        <v>4957</v>
      </c>
      <c r="C1290" s="1" t="s">
        <v>4011</v>
      </c>
      <c r="D1290" s="1" t="str">
        <f t="shared" si="2"/>
        <v>Home&amp;Kitchen</v>
      </c>
      <c r="E1290" s="1" t="str">
        <f t="shared" si="3"/>
        <v>Kitchen&amp;HomeAppliances</v>
      </c>
      <c r="F1290" s="2">
        <v>6525.0</v>
      </c>
      <c r="G1290" s="2">
        <v>8819.0</v>
      </c>
      <c r="H1290" s="3">
        <f t="shared" si="4"/>
        <v>0.260120195</v>
      </c>
      <c r="I1290" s="4">
        <f>IFERROR(__xludf.DUMMYFUNCTION("GOOGLEFINANCE(""CURRENCY:INRBRL"")*F1290"),389.40105626999997)</f>
        <v>389.4010563</v>
      </c>
      <c r="J1290" s="1">
        <v>4.51</v>
      </c>
      <c r="K1290" s="1">
        <v>5137.0</v>
      </c>
      <c r="L1290" s="1" t="s">
        <v>4958</v>
      </c>
      <c r="M1290" s="6" t="s">
        <v>4959</v>
      </c>
      <c r="N1290" s="7" t="str">
        <f>VLOOKUP(A1290, avaliacoes!A:G, 5, FALSE)</f>
        <v>Best mixer juicer,Nice,Best product in this price,Good Product, can buy it.,Very easy to handle and very sturdy mixer,Realy great product... Noone providing such heavy motor.,Good product,Value for Money</v>
      </c>
      <c r="O1290" s="7" t="str">
        <f>VLOOKUP(A1290, avaliacoes!A:G, 6, FALSE)</f>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v>
      </c>
    </row>
    <row r="1291">
      <c r="A1291" s="1" t="s">
        <v>4960</v>
      </c>
      <c r="B1291" s="1" t="s">
        <v>4961</v>
      </c>
      <c r="C1291" s="1" t="s">
        <v>4488</v>
      </c>
      <c r="D1291" s="1" t="str">
        <f t="shared" si="2"/>
        <v>Home&amp;Kitchen</v>
      </c>
      <c r="E1291" s="1" t="str">
        <f t="shared" si="3"/>
        <v>Kitchen&amp;HomeAppliances</v>
      </c>
      <c r="F1291" s="2">
        <v>4999.0</v>
      </c>
      <c r="G1291" s="2">
        <v>24999.0</v>
      </c>
      <c r="H1291" s="3">
        <f t="shared" si="4"/>
        <v>0.8000320013</v>
      </c>
      <c r="I1291" s="4">
        <f>IFERROR(__xludf.DUMMYFUNCTION("GOOGLEFINANCE(""CURRENCY:INRBRL"")*F1291"),298.33193567719997)</f>
        <v>298.3319357</v>
      </c>
      <c r="J1291" s="1">
        <v>4.51</v>
      </c>
      <c r="K1291" s="1">
        <v>124.0</v>
      </c>
      <c r="L1291" s="1" t="s">
        <v>4962</v>
      </c>
      <c r="M1291" s="6" t="s">
        <v>4963</v>
      </c>
      <c r="N1291" s="7" t="str">
        <f>VLOOKUP(A1291, avaliacoes!A:G, 5, FALSE)</f>
        <v>service is excellent,  installation guy is very professional,  I liked the service,Amazing,Value for money,Nice product,Water is clean and tasty also. Its cleans very well,Good. Happy with the installation,Nice product at affordable price.,Affordable and we'll functioning R.O.</v>
      </c>
      <c r="O1291" s="7" t="str">
        <f>VLOOKUP(A1291, avaliacoes!A:G, 6, FALSE)</f>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v>
      </c>
    </row>
    <row r="1292">
      <c r="A1292" s="1" t="s">
        <v>4964</v>
      </c>
      <c r="B1292" s="1" t="s">
        <v>4965</v>
      </c>
      <c r="C1292" s="1" t="s">
        <v>4290</v>
      </c>
      <c r="D1292" s="1" t="str">
        <f t="shared" si="2"/>
        <v>Home&amp;Kitchen</v>
      </c>
      <c r="E1292" s="1" t="str">
        <f t="shared" si="3"/>
        <v>Kitchen&amp;HomeAppliances</v>
      </c>
      <c r="F1292" s="2">
        <v>1189.0</v>
      </c>
      <c r="G1292" s="2">
        <v>2399.0</v>
      </c>
      <c r="H1292" s="3">
        <f t="shared" si="4"/>
        <v>0.5043768237</v>
      </c>
      <c r="I1292" s="4">
        <f>IFERROR(__xludf.DUMMYFUNCTION("GOOGLEFINANCE(""CURRENCY:INRBRL"")*F1292"),70.95752580919999)</f>
        <v>70.95752581</v>
      </c>
      <c r="J1292" s="1">
        <v>4.49</v>
      </c>
      <c r="K1292" s="1">
        <v>618.0</v>
      </c>
      <c r="L1292" s="1" t="s">
        <v>4966</v>
      </c>
      <c r="M1292" s="6" t="s">
        <v>4967</v>
      </c>
      <c r="N1292" s="7" t="str">
        <f>VLOOKUP(A1292, avaliacoes!A:G, 5, FALSE)</f>
        <v>Okay to use,Good value for a well finished product - recommended,Do not buy this product,Better than expected.,Best carafe from amazon,Build quality is not that great,Replacement parts not available or sold for twice as much as the value of the entire product,Good product</v>
      </c>
      <c r="O1292" s="7" t="str">
        <f>VLOOKUP(A1292, avaliacoes!A:G, 6, FALSE)</f>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v>
      </c>
    </row>
    <row r="1293">
      <c r="A1293" s="1" t="s">
        <v>4968</v>
      </c>
      <c r="B1293" s="1" t="s">
        <v>4969</v>
      </c>
      <c r="C1293" s="1" t="s">
        <v>3851</v>
      </c>
      <c r="D1293" s="1" t="str">
        <f t="shared" si="2"/>
        <v>Home&amp;Kitchen</v>
      </c>
      <c r="E1293" s="1" t="str">
        <f t="shared" si="3"/>
        <v>Heating,Cooling&amp;AirQuality</v>
      </c>
      <c r="F1293" s="2">
        <v>2599.0</v>
      </c>
      <c r="G1293" s="2">
        <v>4199.0</v>
      </c>
      <c r="H1293" s="3">
        <f t="shared" si="4"/>
        <v>0.3810431055</v>
      </c>
      <c r="I1293" s="4">
        <f>IFERROR(__xludf.DUMMYFUNCTION("GOOGLEFINANCE(""CURRENCY:INRBRL"")*F1293"),155.1039609572)</f>
        <v>155.103961</v>
      </c>
      <c r="J1293" s="1">
        <v>4.49</v>
      </c>
      <c r="K1293" s="1">
        <v>63.0</v>
      </c>
      <c r="L1293" s="1" t="s">
        <v>4970</v>
      </c>
      <c r="M1293" s="6" t="s">
        <v>4971</v>
      </c>
      <c r="N1293" s="7" t="str">
        <f>VLOOKUP(A1293, avaliacoes!A:G, 5, FALSE)</f>
        <v>no,Good and reliable product 👍,Overall very fine Quality,Useful product helped my family a lot in winter,Operating switch is too hard for aged person,Sabse badhiya,Good product,Good product at this price</v>
      </c>
      <c r="O1293" s="7" t="str">
        <f>VLOOKUP(A1293, avaliacoes!A:G, 6, FALSE)</f>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v>
      </c>
    </row>
    <row r="1294">
      <c r="A1294" s="1" t="s">
        <v>4972</v>
      </c>
      <c r="B1294" s="1" t="s">
        <v>4973</v>
      </c>
      <c r="C1294" s="1" t="s">
        <v>3851</v>
      </c>
      <c r="D1294" s="1" t="str">
        <f t="shared" si="2"/>
        <v>Home&amp;Kitchen</v>
      </c>
      <c r="E1294" s="1" t="str">
        <f t="shared" si="3"/>
        <v>Heating,Cooling&amp;AirQuality</v>
      </c>
      <c r="F1294" s="2">
        <v>899.0</v>
      </c>
      <c r="G1294" s="2">
        <v>1599.0</v>
      </c>
      <c r="H1294" s="3">
        <f t="shared" si="4"/>
        <v>0.4377736085</v>
      </c>
      <c r="I1294" s="4">
        <f>IFERROR(__xludf.DUMMYFUNCTION("GOOGLEFINANCE(""CURRENCY:INRBRL"")*F1294"),53.6508121972)</f>
        <v>53.6508122</v>
      </c>
      <c r="J1294" s="1">
        <v>4.5</v>
      </c>
      <c r="K1294" s="1">
        <v>15.0</v>
      </c>
      <c r="L1294" s="1" t="s">
        <v>4974</v>
      </c>
      <c r="M1294" s="6" t="s">
        <v>4975</v>
      </c>
      <c r="N1294" s="7" t="str">
        <f>VLOOKUP(A1294, avaliacoes!A:G, 5, FALSE)</f>
        <v>It's working perfect,Excellent 👍🤠 piece,Value for money,Very good product,Good product,Good Quality 👌,Late delivery 12 days,Totally money West</v>
      </c>
      <c r="O1294" s="7" t="str">
        <f>VLOOKUP(A1294, avaliacoes!A:G, 6, FALSE)</f>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v>
      </c>
    </row>
    <row r="1295">
      <c r="A1295" s="1" t="s">
        <v>4976</v>
      </c>
      <c r="B1295" s="1" t="s">
        <v>4977</v>
      </c>
      <c r="C1295" s="1" t="s">
        <v>3851</v>
      </c>
      <c r="D1295" s="1" t="str">
        <f t="shared" si="2"/>
        <v>Home&amp;Kitchen</v>
      </c>
      <c r="E1295" s="1" t="str">
        <f t="shared" si="3"/>
        <v>Heating,Cooling&amp;AirQuality</v>
      </c>
      <c r="F1295" s="2">
        <v>998.0</v>
      </c>
      <c r="G1295" s="2">
        <v>2999.0</v>
      </c>
      <c r="H1295" s="3">
        <f t="shared" si="4"/>
        <v>0.6672224075</v>
      </c>
      <c r="I1295" s="4">
        <f>IFERROR(__xludf.DUMMYFUNCTION("GOOGLEFINANCE(""CURRENCY:INRBRL"")*F1295"),59.5589661544)</f>
        <v>59.55896615</v>
      </c>
      <c r="J1295" s="1">
        <v>4.51</v>
      </c>
      <c r="K1295" s="1">
        <v>9.0</v>
      </c>
      <c r="L1295" s="1" t="s">
        <v>4978</v>
      </c>
      <c r="M1295" s="6" t="s">
        <v>4979</v>
      </c>
      <c r="N1295" s="7" t="str">
        <f>VLOOKUP(A1295, avaliacoes!A:G, 5, FALSE)</f>
        <v>It's good,Happy to purchase,Product is really good.,It was excellent,Very Good Product,Heater,The final finish product is not  elegant.</v>
      </c>
      <c r="O1295" s="7" t="str">
        <f>VLOOKUP(A1295, avaliacoes!A:G, 6, FALSE)</f>
        <v>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v>
      </c>
    </row>
    <row r="1296">
      <c r="A1296" s="1" t="s">
        <v>4980</v>
      </c>
      <c r="B1296" s="1" t="s">
        <v>4981</v>
      </c>
      <c r="C1296" s="1" t="s">
        <v>3989</v>
      </c>
      <c r="D1296" s="1" t="str">
        <f t="shared" si="2"/>
        <v>Home&amp;Kitchen</v>
      </c>
      <c r="E1296" s="1" t="str">
        <f t="shared" si="3"/>
        <v>HomeStorage&amp;Organization</v>
      </c>
      <c r="F1296" s="2">
        <v>998.06</v>
      </c>
      <c r="G1296" s="2">
        <v>1282.0</v>
      </c>
      <c r="H1296" s="3">
        <f t="shared" si="4"/>
        <v>0.2214820593</v>
      </c>
      <c r="I1296" s="4">
        <f>IFERROR(__xludf.DUMMYFUNCTION("GOOGLEFINANCE(""CURRENCY:INRBRL"")*F1296"),59.56254685376799)</f>
        <v>59.56254685</v>
      </c>
      <c r="J1296" s="1">
        <v>4.5</v>
      </c>
      <c r="K1296" s="1">
        <v>7274.0</v>
      </c>
      <c r="L1296" s="1" t="s">
        <v>4982</v>
      </c>
      <c r="M1296" s="6" t="s">
        <v>4983</v>
      </c>
      <c r="N1296" s="7" t="str">
        <f>VLOOKUP(A1296, avaliacoes!A:G, 5, FALSE)</f>
        <v>Nice product,Ok,The lid could be more sturdier. Very thin plastic.,Not very good,Fine,Excellent product,Quality,Very good quality product,can store a week laundary</v>
      </c>
      <c r="O1296" s="7" t="str">
        <f>VLOOKUP(A1296, avaliacoes!A:G, 6, FALSE)</f>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v>
      </c>
    </row>
    <row r="1297">
      <c r="A1297" s="1" t="s">
        <v>4984</v>
      </c>
      <c r="B1297" s="1" t="s">
        <v>4985</v>
      </c>
      <c r="C1297" s="1" t="s">
        <v>4158</v>
      </c>
      <c r="D1297" s="1" t="str">
        <f t="shared" si="2"/>
        <v>Home&amp;Kitchen</v>
      </c>
      <c r="E1297" s="1" t="str">
        <f t="shared" si="3"/>
        <v>Heating,Cooling&amp;AirQuality</v>
      </c>
      <c r="F1297" s="2">
        <v>1099.0</v>
      </c>
      <c r="G1297" s="2">
        <v>1999.0</v>
      </c>
      <c r="H1297" s="3">
        <f t="shared" si="4"/>
        <v>0.4502251126</v>
      </c>
      <c r="I1297" s="4">
        <f>IFERROR(__xludf.DUMMYFUNCTION("GOOGLEFINANCE(""CURRENCY:INRBRL"")*F1297"),65.58647675719999)</f>
        <v>65.58647676</v>
      </c>
      <c r="J1297" s="1">
        <v>4.52</v>
      </c>
      <c r="K1297" s="1">
        <v>5911.0</v>
      </c>
      <c r="L1297" s="1" t="s">
        <v>4986</v>
      </c>
      <c r="M1297" s="6" t="s">
        <v>4987</v>
      </c>
      <c r="N1297" s="7" t="str">
        <f>VLOOKUP(A1297, avaliacoes!A:G, 5, FALSE)</f>
        <v>Decently priced fan,Power saving fan low super qwality,Nice one, go for it,Fan rod was missing,Overall good fan at this price,Good,Love it .. nice product,Okay</v>
      </c>
      <c r="O1297" s="7" t="str">
        <f>VLOOKUP(A1297, avaliacoes!A:G, 6, FALSE)</f>
        <v>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v>
      </c>
    </row>
    <row r="1298">
      <c r="A1298" s="1" t="s">
        <v>4988</v>
      </c>
      <c r="B1298" s="1" t="s">
        <v>4989</v>
      </c>
      <c r="C1298" s="1" t="s">
        <v>4196</v>
      </c>
      <c r="D1298" s="1" t="str">
        <f t="shared" si="2"/>
        <v>Home&amp;Kitchen</v>
      </c>
      <c r="E1298" s="1" t="str">
        <f t="shared" si="3"/>
        <v>Kitchen&amp;HomeAppliances</v>
      </c>
      <c r="F1298" s="2">
        <v>5999.0</v>
      </c>
      <c r="G1298" s="2">
        <v>9999.0</v>
      </c>
      <c r="H1298" s="3">
        <f t="shared" si="4"/>
        <v>0.400040004</v>
      </c>
      <c r="I1298" s="4">
        <f>IFERROR(__xludf.DUMMYFUNCTION("GOOGLEFINANCE(""CURRENCY:INRBRL"")*F1298"),358.01025847719995)</f>
        <v>358.0102585</v>
      </c>
      <c r="J1298" s="1">
        <v>4.5</v>
      </c>
      <c r="K1298" s="1">
        <v>170.0</v>
      </c>
      <c r="L1298" s="1" t="s">
        <v>4990</v>
      </c>
      <c r="M1298" s="6" t="s">
        <v>4991</v>
      </c>
      <c r="N1298" s="7" t="str">
        <f>VLOOKUP(A1298, avaliacoes!A:G, 5, FALSE)</f>
        <v>It is very good,Good product,Just go for it,Good product,Value For Money.,Good product easy to use,Pressure is very good but mtr shows 115bar,Nice Product.</v>
      </c>
      <c r="O1298" s="7" t="str">
        <f>VLOOKUP(A1298, avaliacoes!A:G, 6, FALSE)</f>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v>
      </c>
    </row>
    <row r="1299">
      <c r="A1299" s="1" t="s">
        <v>4992</v>
      </c>
      <c r="B1299" s="1" t="s">
        <v>4993</v>
      </c>
      <c r="C1299" s="1" t="s">
        <v>4427</v>
      </c>
      <c r="D1299" s="1" t="str">
        <f t="shared" si="2"/>
        <v>Home&amp;Kitchen</v>
      </c>
      <c r="E1299" s="1" t="str">
        <f t="shared" si="3"/>
        <v>Kitchen&amp;HomeAppliances</v>
      </c>
      <c r="F1299" s="2">
        <v>8886.0</v>
      </c>
      <c r="G1299" s="2">
        <v>11849.0</v>
      </c>
      <c r="H1299" s="3">
        <f t="shared" si="4"/>
        <v>0.2500632965</v>
      </c>
      <c r="I1299" s="4">
        <f>IFERROR(__xludf.DUMMYFUNCTION("GOOGLEFINANCE(""CURRENCY:INRBRL"")*F1299"),530.3015764008)</f>
        <v>530.3015764</v>
      </c>
      <c r="J1299" s="1">
        <v>4.5</v>
      </c>
      <c r="K1299" s="1">
        <v>3065.0</v>
      </c>
      <c r="L1299" s="1" t="s">
        <v>4994</v>
      </c>
      <c r="M1299" s="6" t="s">
        <v>4995</v>
      </c>
      <c r="N1299" s="7" t="str">
        <f>VLOOKUP(A1299, avaliacoes!A:G, 5, FALSE)</f>
        <v>Best in its price range,Best suction power,Domestic Beast,Very good suction power and efficient,Beast of a Vaccum Cleaner 🔥💯,Good built quality,Nice product with good suction power,Great Product</v>
      </c>
      <c r="O1299" s="7" t="str">
        <f>VLOOKUP(A1299, avaliacoes!A:G, 6, FALSE)</f>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v>
      </c>
    </row>
    <row r="1300">
      <c r="A1300" s="1" t="s">
        <v>4996</v>
      </c>
      <c r="B1300" s="1" t="s">
        <v>4997</v>
      </c>
      <c r="C1300" s="1" t="s">
        <v>3856</v>
      </c>
      <c r="D1300" s="1" t="str">
        <f t="shared" si="2"/>
        <v>Home&amp;Kitchen</v>
      </c>
      <c r="E1300" s="1" t="str">
        <f t="shared" si="3"/>
        <v>Kitchen&amp;HomeAppliances</v>
      </c>
      <c r="F1300" s="2">
        <v>475.0</v>
      </c>
      <c r="G1300" s="2">
        <v>999.0</v>
      </c>
      <c r="H1300" s="3">
        <f t="shared" si="4"/>
        <v>0.5245245245</v>
      </c>
      <c r="I1300" s="4">
        <f>IFERROR(__xludf.DUMMYFUNCTION("GOOGLEFINANCE(""CURRENCY:INRBRL"")*F1300"),28.34720333)</f>
        <v>28.34720333</v>
      </c>
      <c r="J1300" s="1">
        <v>4.49</v>
      </c>
      <c r="K1300" s="1">
        <v>1021.0</v>
      </c>
      <c r="L1300" s="1" t="s">
        <v>4998</v>
      </c>
      <c r="M1300" s="6" t="s">
        <v>4999</v>
      </c>
      <c r="N1300" s="7" t="str">
        <f>VLOOKUP(A1300, avaliacoes!A:G, 5, FALSE)</f>
        <v>Good,It's a good product. Go for it.,Easy to use,Good product, but quality is ok ok,Value for money,Gave new life to my old clothes-magical,I could not believe that this product is so good ✨✨,Good for woolen clothes</v>
      </c>
      <c r="O1300" s="7" t="str">
        <f>VLOOKUP(A1300, avaliacoes!A:G, 6, FALSE)</f>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v>
      </c>
    </row>
    <row r="1301">
      <c r="A1301" s="1" t="s">
        <v>5000</v>
      </c>
      <c r="B1301" s="1" t="s">
        <v>5001</v>
      </c>
      <c r="C1301" s="1" t="s">
        <v>3984</v>
      </c>
      <c r="D1301" s="1" t="str">
        <f t="shared" si="2"/>
        <v>Home&amp;Kitchen</v>
      </c>
      <c r="E1301" s="1" t="str">
        <f t="shared" si="3"/>
        <v>Kitchen&amp;HomeAppliances</v>
      </c>
      <c r="F1301" s="2">
        <v>4995.0</v>
      </c>
      <c r="G1301" s="2">
        <v>20049.0</v>
      </c>
      <c r="H1301" s="3">
        <f t="shared" si="4"/>
        <v>0.750860392</v>
      </c>
      <c r="I1301" s="4">
        <f>IFERROR(__xludf.DUMMYFUNCTION("GOOGLEFINANCE(""CURRENCY:INRBRL"")*F1301"),298.093222386)</f>
        <v>298.0932224</v>
      </c>
      <c r="J1301" s="1">
        <v>4.51</v>
      </c>
      <c r="K1301" s="1">
        <v>3964.0</v>
      </c>
      <c r="L1301" s="1" t="s">
        <v>5002</v>
      </c>
      <c r="M1301" s="6" t="s">
        <v>5003</v>
      </c>
      <c r="N1301" s="7" t="str">
        <f>VLOOKUP(A1301, avaliacoes!A:G, 5, FALSE)</f>
        <v>Loved it,Good product,Good product,It's easy to use.,Fine product,Awesome Product,Nice product &amp; user friendly,Correct size and easy to use.</v>
      </c>
      <c r="O1301" s="7" t="str">
        <f>VLOOKUP(A1301, avaliacoes!A:G, 6, FALSE)</f>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v>
      </c>
    </row>
    <row r="1302">
      <c r="A1302" s="1" t="s">
        <v>5004</v>
      </c>
      <c r="B1302" s="1" t="s">
        <v>5005</v>
      </c>
      <c r="C1302" s="1" t="s">
        <v>4488</v>
      </c>
      <c r="D1302" s="1" t="str">
        <f t="shared" si="2"/>
        <v>Home&amp;Kitchen</v>
      </c>
      <c r="E1302" s="1" t="str">
        <f t="shared" si="3"/>
        <v>Kitchen&amp;HomeAppliances</v>
      </c>
      <c r="F1302" s="2">
        <v>13999.0</v>
      </c>
      <c r="G1302" s="2">
        <v>24849.0</v>
      </c>
      <c r="H1302" s="3">
        <f t="shared" si="4"/>
        <v>0.4366372892</v>
      </c>
      <c r="I1302" s="4">
        <f>IFERROR(__xludf.DUMMYFUNCTION("GOOGLEFINANCE(""CURRENCY:INRBRL"")*F1302"),835.4368408772)</f>
        <v>835.4368409</v>
      </c>
      <c r="J1302" s="1">
        <v>4.5</v>
      </c>
      <c r="K1302" s="1">
        <v>8948.0</v>
      </c>
      <c r="L1302" s="1" t="s">
        <v>5006</v>
      </c>
      <c r="M1302" s="6" t="s">
        <v>5007</v>
      </c>
      <c r="N1302" s="7" t="str">
        <f>VLOOKUP(A1302, avaliacoes!A:G, 5, FALSE)</f>
        <v>Sound is pretty annoying,Best Normal Water Purifier,Good product,Good,Good,Perfect product for a small family..,It’s a nice mid budget by product.,Great product truely satisfied</v>
      </c>
      <c r="O1302" s="7" t="str">
        <f>VLOOKUP(A1302, avaliacoes!A:G, 6, FALSE)</f>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v>
      </c>
    </row>
    <row r="1303">
      <c r="A1303" s="1" t="s">
        <v>5008</v>
      </c>
      <c r="B1303" s="1" t="s">
        <v>5009</v>
      </c>
      <c r="C1303" s="1" t="s">
        <v>4488</v>
      </c>
      <c r="D1303" s="1" t="str">
        <f t="shared" si="2"/>
        <v>Home&amp;Kitchen</v>
      </c>
      <c r="E1303" s="1" t="str">
        <f t="shared" si="3"/>
        <v>Kitchen&amp;HomeAppliances</v>
      </c>
      <c r="F1303" s="2">
        <v>8499.0</v>
      </c>
      <c r="G1303" s="2">
        <v>16499.0</v>
      </c>
      <c r="H1303" s="3">
        <f t="shared" si="4"/>
        <v>0.4848778714</v>
      </c>
      <c r="I1303" s="4">
        <f>IFERROR(__xludf.DUMMYFUNCTION("GOOGLEFINANCE(""CURRENCY:INRBRL"")*F1303"),507.20606547719996)</f>
        <v>507.2060655</v>
      </c>
      <c r="J1303" s="1">
        <v>4.5</v>
      </c>
      <c r="K1303" s="1">
        <v>97.0</v>
      </c>
      <c r="L1303" s="1" t="s">
        <v>5010</v>
      </c>
      <c r="M1303" s="6" t="s">
        <v>5011</v>
      </c>
      <c r="N1303" s="7" t="str">
        <f>VLOOKUP(A1303, avaliacoes!A:G, 5, FALSE)</f>
        <v>Livpure water filter reviews,Good product,overall good product, works great,Livepure Water purifier,Excellent.,Amazing product,Superb performance,Very good</v>
      </c>
      <c r="O1303" s="7" t="str">
        <f>VLOOKUP(A1303, avaliacoes!A:G, 6, FALSE)</f>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v>
      </c>
    </row>
    <row r="1304">
      <c r="A1304" s="1" t="s">
        <v>5012</v>
      </c>
      <c r="B1304" s="1" t="s">
        <v>5013</v>
      </c>
      <c r="C1304" s="1" t="s">
        <v>3909</v>
      </c>
      <c r="D1304" s="1" t="str">
        <f t="shared" si="2"/>
        <v>Home&amp;Kitchen</v>
      </c>
      <c r="E1304" s="1" t="str">
        <f t="shared" si="3"/>
        <v>Kitchen&amp;HomeAppliances</v>
      </c>
      <c r="F1304" s="2">
        <v>949.0</v>
      </c>
      <c r="G1304" s="2">
        <v>975.0</v>
      </c>
      <c r="H1304" s="3">
        <f t="shared" si="4"/>
        <v>0.02666666667</v>
      </c>
      <c r="I1304" s="4">
        <f>IFERROR(__xludf.DUMMYFUNCTION("GOOGLEFINANCE(""CURRENCY:INRBRL"")*F1304"),56.634728337199995)</f>
        <v>56.63472834</v>
      </c>
      <c r="J1304" s="1">
        <v>4.5</v>
      </c>
      <c r="K1304" s="1">
        <v>7223.0</v>
      </c>
      <c r="L1304" s="1" t="s">
        <v>5014</v>
      </c>
      <c r="M1304" s="6" t="s">
        <v>5015</v>
      </c>
      <c r="N1304" s="7" t="str">
        <f>VLOOKUP(A1304, avaliacoes!A:G, 5, FALSE)</f>
        <v>Good,Good product,Heating is less,Good and quality product.,Excellent product,Very good,Easy to use, better in performance,Superb Project 🥰</v>
      </c>
      <c r="O1304" s="7" t="str">
        <f>VLOOKUP(A1304, avaliacoes!A:G, 6, FALSE)</f>
        <v>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v>
      </c>
    </row>
    <row r="1305">
      <c r="A1305" s="1" t="s">
        <v>5016</v>
      </c>
      <c r="B1305" s="1" t="s">
        <v>5017</v>
      </c>
      <c r="C1305" s="1" t="s">
        <v>3989</v>
      </c>
      <c r="D1305" s="1" t="str">
        <f t="shared" si="2"/>
        <v>Home&amp;Kitchen</v>
      </c>
      <c r="E1305" s="1" t="str">
        <f t="shared" si="3"/>
        <v>HomeStorage&amp;Organization</v>
      </c>
      <c r="F1305" s="2">
        <v>395.0</v>
      </c>
      <c r="G1305" s="2">
        <v>499.0</v>
      </c>
      <c r="H1305" s="3">
        <f t="shared" si="4"/>
        <v>0.2084168337</v>
      </c>
      <c r="I1305" s="4">
        <f>IFERROR(__xludf.DUMMYFUNCTION("GOOGLEFINANCE(""CURRENCY:INRBRL"")*F1305"),23.572937506)</f>
        <v>23.57293751</v>
      </c>
      <c r="J1305" s="1">
        <v>4.0</v>
      </c>
      <c r="K1305" s="1">
        <v>330.0</v>
      </c>
      <c r="L1305" s="1" t="s">
        <v>5018</v>
      </c>
      <c r="M1305" s="6" t="s">
        <v>5019</v>
      </c>
      <c r="N1305" s="7" t="str">
        <f>VLOOKUP(A1305, avaliacoes!A:G, 5, FALSE)</f>
        <v>Kids toys,Value for money, good product in this range,Can go for this one,Good,Nice,Ok,Ok,Durable and bigger than my expectations</v>
      </c>
      <c r="O1305" s="7" t="str">
        <f>VLOOKUP(A1305, avaliacoes!A:G, 6, FALSE)</f>
        <v>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v>
      </c>
    </row>
    <row r="1306">
      <c r="A1306" s="1" t="s">
        <v>5020</v>
      </c>
      <c r="B1306" s="1" t="s">
        <v>5021</v>
      </c>
      <c r="C1306" s="1" t="s">
        <v>5022</v>
      </c>
      <c r="D1306" s="1" t="str">
        <f t="shared" si="2"/>
        <v>Home&amp;Kitchen</v>
      </c>
      <c r="E1306" s="1" t="str">
        <f t="shared" si="3"/>
        <v>Kitchen&amp;HomeAppliances</v>
      </c>
      <c r="F1306" s="2">
        <v>635.0</v>
      </c>
      <c r="G1306" s="2">
        <v>635.0</v>
      </c>
      <c r="H1306" s="3">
        <f t="shared" si="4"/>
        <v>0</v>
      </c>
      <c r="I1306" s="4">
        <f>IFERROR(__xludf.DUMMYFUNCTION("GOOGLEFINANCE(""CURRENCY:INRBRL"")*F1306"),37.895734978)</f>
        <v>37.89573498</v>
      </c>
      <c r="J1306" s="1">
        <v>4.5</v>
      </c>
      <c r="K1306" s="1">
        <v>457.0</v>
      </c>
      <c r="L1306" s="1" t="s">
        <v>5023</v>
      </c>
      <c r="M1306" s="6" t="s">
        <v>5024</v>
      </c>
      <c r="N1306" s="7" t="str">
        <f>VLOOKUP(A1306, avaliacoes!A:G, 5, FALSE)</f>
        <v>Good,Goos product which you can trust,Good,Cost effective,Good,Ok,Very good product,Quality</v>
      </c>
      <c r="O1306" s="7" t="str">
        <f>VLOOKUP(A1306, avaliacoes!A:G, 6, FALSE)</f>
        <v>You can buy a good product.,Purchased this spare jar after 6 yrs of use.,Good product,It's nice,not cheaper same cost of shop.good result when using this jar,Best but not the same as the original one which we get in the box when we buy a mixxer,Like,Quality is good,Same as original</v>
      </c>
    </row>
    <row r="1307">
      <c r="A1307" s="1" t="s">
        <v>5025</v>
      </c>
      <c r="B1307" s="1" t="s">
        <v>5026</v>
      </c>
      <c r="C1307" s="1" t="s">
        <v>3909</v>
      </c>
      <c r="D1307" s="1" t="str">
        <f t="shared" si="2"/>
        <v>Home&amp;Kitchen</v>
      </c>
      <c r="E1307" s="1" t="str">
        <f t="shared" si="3"/>
        <v>Kitchen&amp;HomeAppliances</v>
      </c>
      <c r="F1307" s="2">
        <v>717.0</v>
      </c>
      <c r="G1307" s="2">
        <v>1399.0</v>
      </c>
      <c r="H1307" s="3">
        <f t="shared" si="4"/>
        <v>0.487491065</v>
      </c>
      <c r="I1307" s="4">
        <f>IFERROR(__xludf.DUMMYFUNCTION("GOOGLEFINANCE(""CURRENCY:INRBRL"")*F1307"),42.7893574476)</f>
        <v>42.78935745</v>
      </c>
      <c r="J1307" s="1">
        <v>4.0</v>
      </c>
      <c r="K1307" s="1">
        <v>4867.0</v>
      </c>
      <c r="L1307" s="1" t="s">
        <v>5027</v>
      </c>
      <c r="M1307" s="6" t="s">
        <v>5028</v>
      </c>
      <c r="N1307" s="7" t="str">
        <f>VLOOKUP(A1307, avaliacoes!A:G, 5, FALSE)</f>
        <v>Not so good,Good,Best best from market.,Very good iron,V Good,Light weight value for money,Really good iron at this price,Overall good.</v>
      </c>
      <c r="O1307" s="7" t="str">
        <f>VLOOKUP(A1307, avaliacoes!A:G, 6, FALSE)</f>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v>
      </c>
    </row>
    <row r="1308">
      <c r="A1308" s="1" t="s">
        <v>5029</v>
      </c>
      <c r="B1308" s="1" t="s">
        <v>5030</v>
      </c>
      <c r="C1308" s="1" t="s">
        <v>5031</v>
      </c>
      <c r="D1308" s="1" t="str">
        <f t="shared" si="2"/>
        <v>Home&amp;Kitchen</v>
      </c>
      <c r="E1308" s="1" t="str">
        <f t="shared" si="3"/>
        <v>Kitchen&amp;HomeAppliances</v>
      </c>
      <c r="F1308" s="2">
        <v>27899.0</v>
      </c>
      <c r="G1308" s="2">
        <v>59999.0</v>
      </c>
      <c r="H1308" s="3">
        <f t="shared" si="4"/>
        <v>0.5350089168</v>
      </c>
      <c r="I1308" s="4">
        <f>IFERROR(__xludf.DUMMYFUNCTION("GOOGLEFINANCE(""CURRENCY:INRBRL"")*F1308"),1664.9655277972)</f>
        <v>1664.965528</v>
      </c>
      <c r="J1308" s="1">
        <v>4.5</v>
      </c>
      <c r="K1308" s="1">
        <v>5298.0</v>
      </c>
      <c r="L1308" s="1" t="s">
        <v>5032</v>
      </c>
      <c r="M1308" s="6" t="s">
        <v>5033</v>
      </c>
      <c r="N1308" s="7" t="str">
        <f>VLOOKUP(A1308, avaliacoes!A:G, 5, FALSE)</f>
        <v>A perfect balance of price and performance,Great Suction and above average mopping | Good Buy</v>
      </c>
      <c r="O1308" s="7" t="str">
        <f>VLOOKUP(A1308, avaliacoes!A:G, 6, FALSE)</f>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v>
      </c>
    </row>
    <row r="1309">
      <c r="A1309" s="1" t="s">
        <v>5034</v>
      </c>
      <c r="B1309" s="1" t="s">
        <v>5035</v>
      </c>
      <c r="C1309" s="1" t="s">
        <v>4304</v>
      </c>
      <c r="D1309" s="1" t="str">
        <f t="shared" si="2"/>
        <v>Home&amp;Kitchen</v>
      </c>
      <c r="E1309" s="1" t="str">
        <f t="shared" si="3"/>
        <v>Kitchen&amp;HomeAppliances</v>
      </c>
      <c r="F1309" s="2">
        <v>649.0</v>
      </c>
      <c r="G1309" s="2">
        <v>670.0</v>
      </c>
      <c r="H1309" s="3">
        <f t="shared" si="4"/>
        <v>0.03134328358</v>
      </c>
      <c r="I1309" s="4">
        <f>IFERROR(__xludf.DUMMYFUNCTION("GOOGLEFINANCE(""CURRENCY:INRBRL"")*F1309"),38.7312314972)</f>
        <v>38.7312315</v>
      </c>
      <c r="J1309" s="1">
        <v>4.49</v>
      </c>
      <c r="K1309" s="1">
        <v>7786.0</v>
      </c>
      <c r="L1309" s="1" t="s">
        <v>5036</v>
      </c>
      <c r="M1309" s="6" t="s">
        <v>5037</v>
      </c>
      <c r="N1309" s="7" t="str">
        <f>VLOOKUP(A1309, avaliacoes!A:G, 5, FALSE)</f>
        <v>Good quality, plz add 1 syringe with this kit,Original product,Genuine product,very good product,nice,good product,Good product no issues,ಉತ್ತಮ</v>
      </c>
      <c r="O1309" s="7" t="str">
        <f>VLOOKUP(A1309, avaliacoes!A:G, 6, FALSE)</f>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v>
      </c>
    </row>
    <row r="1310">
      <c r="A1310" s="1" t="s">
        <v>5038</v>
      </c>
      <c r="B1310" s="1" t="s">
        <v>5039</v>
      </c>
      <c r="C1310" s="1" t="s">
        <v>4299</v>
      </c>
      <c r="D1310" s="1" t="str">
        <f t="shared" si="2"/>
        <v>Home&amp;Kitchen</v>
      </c>
      <c r="E1310" s="1" t="str">
        <f t="shared" si="3"/>
        <v>Kitchen&amp;HomeAppliances</v>
      </c>
      <c r="F1310" s="2">
        <v>193.0</v>
      </c>
      <c r="G1310" s="2">
        <v>399.0</v>
      </c>
      <c r="H1310" s="3">
        <f t="shared" si="4"/>
        <v>0.5162907268</v>
      </c>
      <c r="I1310" s="4">
        <f>IFERROR(__xludf.DUMMYFUNCTION("GOOGLEFINANCE(""CURRENCY:INRBRL"")*F1310"),11.5179163004)</f>
        <v>11.5179163</v>
      </c>
      <c r="J1310" s="1">
        <v>4.51</v>
      </c>
      <c r="K1310" s="1">
        <v>37.0</v>
      </c>
      <c r="L1310" s="1" t="s">
        <v>5040</v>
      </c>
      <c r="M1310" s="6" t="s">
        <v>5041</v>
      </c>
      <c r="N1310" s="7" t="str">
        <f>VLOOKUP(A1310, avaliacoes!A:G, 5, FALSE)</f>
        <v>Filter not effective,The best water purifier,Worth for money,Best water purifier,Sheer waste of money,Fits well for kitchen faucet,Lousy product,Waste of money</v>
      </c>
      <c r="O1310" s="7" t="str">
        <f>VLOOKUP(A1310, avaliacoes!A:G, 6, FALSE)</f>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v>
      </c>
    </row>
    <row r="1311">
      <c r="A1311" s="1" t="s">
        <v>5042</v>
      </c>
      <c r="B1311" s="1" t="s">
        <v>5043</v>
      </c>
      <c r="C1311" s="1" t="s">
        <v>3851</v>
      </c>
      <c r="D1311" s="1" t="str">
        <f t="shared" si="2"/>
        <v>Home&amp;Kitchen</v>
      </c>
      <c r="E1311" s="1" t="str">
        <f t="shared" si="3"/>
        <v>Heating,Cooling&amp;AirQuality</v>
      </c>
      <c r="F1311" s="2">
        <v>1299.0</v>
      </c>
      <c r="G1311" s="2">
        <v>2495.0</v>
      </c>
      <c r="H1311" s="3">
        <f t="shared" si="4"/>
        <v>0.4793587174</v>
      </c>
      <c r="I1311" s="4">
        <f>IFERROR(__xludf.DUMMYFUNCTION("GOOGLEFINANCE(""CURRENCY:INRBRL"")*F1311"),77.5221413172)</f>
        <v>77.52214132</v>
      </c>
      <c r="J1311" s="1">
        <v>2.0</v>
      </c>
      <c r="K1311" s="1">
        <v>2.0</v>
      </c>
      <c r="L1311" s="1" t="s">
        <v>5044</v>
      </c>
      <c r="M1311" s="6" t="s">
        <v>5045</v>
      </c>
      <c r="N1311" s="7" t="str">
        <f>VLOOKUP(A1311, avaliacoes!A:G, 5, FALSE)</f>
        <v>Bad quality,Amazing product..</v>
      </c>
      <c r="O1311" s="7" t="str">
        <f>VLOOKUP(A1311, avaliacoes!A:G, 6, FALSE)</f>
        <v>The heating capacity is zero .Moreover i have initiated return request. Noone has come to collect it,Best heater at this price. Quality is very good . Suggest everyone to purchase this heater.......... amazing product to buy...</v>
      </c>
    </row>
    <row r="1312">
      <c r="A1312" s="1" t="s">
        <v>5046</v>
      </c>
      <c r="B1312" s="1" t="s">
        <v>5047</v>
      </c>
      <c r="C1312" s="1" t="s">
        <v>3914</v>
      </c>
      <c r="D1312" s="1" t="str">
        <f t="shared" si="2"/>
        <v>Home&amp;Kitchen</v>
      </c>
      <c r="E1312" s="1" t="str">
        <f t="shared" si="3"/>
        <v>Kitchen&amp;HomeAppliances</v>
      </c>
      <c r="F1312" s="2">
        <v>2449.0</v>
      </c>
      <c r="G1312" s="2">
        <v>3399.0</v>
      </c>
      <c r="H1312" s="3">
        <f t="shared" si="4"/>
        <v>0.2794939688</v>
      </c>
      <c r="I1312" s="4">
        <f>IFERROR(__xludf.DUMMYFUNCTION("GOOGLEFINANCE(""CURRENCY:INRBRL"")*F1312"),146.1522125372)</f>
        <v>146.1522125</v>
      </c>
      <c r="J1312" s="1">
        <v>4.0</v>
      </c>
      <c r="K1312" s="1">
        <v>5206.0</v>
      </c>
      <c r="L1312" s="1" t="s">
        <v>5048</v>
      </c>
      <c r="M1312" s="6" t="s">
        <v>5049</v>
      </c>
      <c r="N1312" s="7" t="str">
        <f>VLOOKUP(A1312, avaliacoes!A:G, 5, FALSE)</f>
        <v>Good,Superb,Nice mixer,Value for money 💰,Good product,His desine,Nice,Nice</v>
      </c>
      <c r="O1312" s="7" t="str">
        <f>VLOOKUP(A1312, avaliacoes!A:G, 6, FALSE)</f>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v>
      </c>
    </row>
    <row r="1313">
      <c r="A1313" s="1" t="s">
        <v>5050</v>
      </c>
      <c r="B1313" s="1" t="s">
        <v>5051</v>
      </c>
      <c r="C1313" s="1" t="s">
        <v>3919</v>
      </c>
      <c r="D1313" s="1" t="str">
        <f t="shared" si="2"/>
        <v>Home&amp;Kitchen</v>
      </c>
      <c r="E1313" s="1" t="str">
        <f t="shared" si="3"/>
        <v>Heating,Cooling&amp;AirQuality</v>
      </c>
      <c r="F1313" s="2">
        <v>1049.0</v>
      </c>
      <c r="G1313" s="2">
        <v>2499.0</v>
      </c>
      <c r="H1313" s="3">
        <f t="shared" si="4"/>
        <v>0.5802320928</v>
      </c>
      <c r="I1313" s="4">
        <f>IFERROR(__xludf.DUMMYFUNCTION("GOOGLEFINANCE(""CURRENCY:INRBRL"")*F1313"),62.6025606172)</f>
        <v>62.60256062</v>
      </c>
      <c r="J1313" s="1">
        <v>4.51</v>
      </c>
      <c r="K1313" s="1">
        <v>638.0</v>
      </c>
      <c r="L1313" s="1" t="s">
        <v>4834</v>
      </c>
      <c r="M1313" s="6" t="s">
        <v>5052</v>
      </c>
      <c r="N1313" s="7" t="str">
        <f>VLOOKUP(A1313, avaliacoes!A:G, 5, FALSE)</f>
        <v>Nice products,Compact,Items is not good because it's tap is not good for output,Good,Good Product,Not suitable,I liked good product,So nuc</v>
      </c>
      <c r="O1313" s="7" t="str">
        <f>VLOOKUP(A1313, avaliacoes!A:G, 6, FALSE)</f>
        <v>https://m.media-amazon.com/images/I/61PfDZp8UzL._SY88.jpg,Easy to use,Items tap is not good for users,Very good 😊,Value for money, working fine,It is not suitable for my tap,I liked..so product good. So happy amazon.. Liked amazon products provided Sum like this,</v>
      </c>
    </row>
    <row r="1314">
      <c r="A1314" s="1" t="s">
        <v>5053</v>
      </c>
      <c r="B1314" s="1" t="s">
        <v>5054</v>
      </c>
      <c r="C1314" s="1" t="s">
        <v>4855</v>
      </c>
      <c r="D1314" s="1" t="str">
        <f t="shared" si="2"/>
        <v>Home&amp;Kitchen</v>
      </c>
      <c r="E1314" s="1" t="str">
        <f t="shared" si="3"/>
        <v>Heating,Cooling&amp;AirQuality</v>
      </c>
      <c r="F1314" s="2">
        <v>2399.0</v>
      </c>
      <c r="G1314" s="2">
        <v>4199.0</v>
      </c>
      <c r="H1314" s="3">
        <f t="shared" si="4"/>
        <v>0.4286734937</v>
      </c>
      <c r="I1314" s="4">
        <f>IFERROR(__xludf.DUMMYFUNCTION("GOOGLEFINANCE(""CURRENCY:INRBRL"")*F1314"),143.16829639719998)</f>
        <v>143.1682964</v>
      </c>
      <c r="J1314" s="1">
        <v>4.51</v>
      </c>
      <c r="K1314" s="1">
        <v>397.0</v>
      </c>
      <c r="L1314" s="1" t="s">
        <v>5055</v>
      </c>
      <c r="M1314" s="6" t="s">
        <v>5056</v>
      </c>
      <c r="N1314" s="7" t="str">
        <f>VLOOKUP(A1314, avaliacoes!A:G, 5, FALSE)</f>
        <v>plastic material not good just ok,Good for middle class range,Good,Havells fan,Oscillating knob cannot be fitted,OK toofan,In this price range very good fan,Good but you have to install the item.No one will come to install the product</v>
      </c>
      <c r="O1314" s="7" t="str">
        <f>VLOOKUP(A1314, avaliacoes!A:G, 6, FALSE)</f>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v>
      </c>
    </row>
    <row r="1315">
      <c r="A1315" s="1" t="s">
        <v>5057</v>
      </c>
      <c r="B1315" s="1" t="s">
        <v>5058</v>
      </c>
      <c r="C1315" s="1" t="s">
        <v>4024</v>
      </c>
      <c r="D1315" s="1" t="str">
        <f t="shared" si="2"/>
        <v>Home&amp;Kitchen</v>
      </c>
      <c r="E1315" s="1" t="str">
        <f t="shared" si="3"/>
        <v>Kitchen&amp;HomeAppliances</v>
      </c>
      <c r="F1315" s="2">
        <v>2286.0</v>
      </c>
      <c r="G1315" s="2">
        <v>4495.0</v>
      </c>
      <c r="H1315" s="3">
        <f t="shared" si="4"/>
        <v>0.4914349277</v>
      </c>
      <c r="I1315" s="4">
        <f>IFERROR(__xludf.DUMMYFUNCTION("GOOGLEFINANCE(""CURRENCY:INRBRL"")*F1315"),136.4246459208)</f>
        <v>136.4246459</v>
      </c>
      <c r="J1315" s="1">
        <v>4.52</v>
      </c>
      <c r="K1315" s="1">
        <v>326.0</v>
      </c>
      <c r="L1315" s="1" t="s">
        <v>5059</v>
      </c>
      <c r="M1315" s="6" t="s">
        <v>5060</v>
      </c>
      <c r="N1315" s="7" t="str">
        <f>VLOOKUP(A1315, avaliacoes!A:G, 5, FALSE)</f>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v>
      </c>
      <c r="O1315" s="7" t="str">
        <f>VLOOKUP(A1315, avaliacoes!A:G, 6, FALSE)</f>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v>
      </c>
    </row>
    <row r="1316">
      <c r="A1316" s="1" t="s">
        <v>5061</v>
      </c>
      <c r="B1316" s="1" t="s">
        <v>5062</v>
      </c>
      <c r="C1316" s="1" t="s">
        <v>4683</v>
      </c>
      <c r="D1316" s="1" t="str">
        <f t="shared" si="2"/>
        <v>Home&amp;Kitchen</v>
      </c>
      <c r="E1316" s="1" t="str">
        <f t="shared" si="3"/>
        <v>Kitchen&amp;HomeAppliances</v>
      </c>
      <c r="F1316" s="2">
        <v>499.0</v>
      </c>
      <c r="G1316" s="2">
        <v>2199.0</v>
      </c>
      <c r="H1316" s="3">
        <f t="shared" si="4"/>
        <v>0.7730786721</v>
      </c>
      <c r="I1316" s="4">
        <f>IFERROR(__xludf.DUMMYFUNCTION("GOOGLEFINANCE(""CURRENCY:INRBRL"")*F1316"),29.7794830772)</f>
        <v>29.77948308</v>
      </c>
      <c r="J1316" s="1">
        <v>4.49</v>
      </c>
      <c r="K1316" s="1">
        <v>3527.0</v>
      </c>
      <c r="L1316" s="1" t="s">
        <v>5063</v>
      </c>
      <c r="M1316" s="6" t="s">
        <v>5064</v>
      </c>
      <c r="N1316" s="7" t="str">
        <f>VLOOKUP(A1316, avaliacoes!A:G, 5, FALSE)</f>
        <v>Running Time is less,Not much useful.,Good one,Not so good,Useful product but improper blades,Overall good ...but can blend only very very softer fruits,Worth your Money,Worest item</v>
      </c>
      <c r="O1316" s="7" t="str">
        <f>VLOOKUP(A1316, avaliacoes!A:G, 6, FALSE)</f>
        <v>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v>
      </c>
    </row>
    <row r="1317">
      <c r="A1317" s="1" t="s">
        <v>5065</v>
      </c>
      <c r="B1317" s="1" t="s">
        <v>5066</v>
      </c>
      <c r="C1317" s="1" t="s">
        <v>4153</v>
      </c>
      <c r="D1317" s="1" t="str">
        <f t="shared" si="2"/>
        <v>Home&amp;Kitchen</v>
      </c>
      <c r="E1317" s="1" t="str">
        <f t="shared" si="3"/>
        <v>Kitchen&amp;HomeAppliances</v>
      </c>
      <c r="F1317" s="2">
        <v>429.0</v>
      </c>
      <c r="G1317" s="2">
        <v>999.0</v>
      </c>
      <c r="H1317" s="3">
        <f t="shared" si="4"/>
        <v>0.5705705706</v>
      </c>
      <c r="I1317" s="4">
        <f>IFERROR(__xludf.DUMMYFUNCTION("GOOGLEFINANCE(""CURRENCY:INRBRL"")*F1317"),25.602000481199997)</f>
        <v>25.60200048</v>
      </c>
      <c r="J1317" s="1">
        <v>3.0</v>
      </c>
      <c r="K1317" s="1">
        <v>617.0</v>
      </c>
      <c r="L1317" s="1" t="s">
        <v>5067</v>
      </c>
      <c r="M1317" s="6" t="s">
        <v>5068</v>
      </c>
      <c r="N1317" s="7" t="str">
        <f>VLOOKUP(A1317, avaliacoes!A:G, 5, FALSE)</f>
        <v>Not worth the hype,Gud,Really useful 😃,Product is good but when we press to seal lower part of sealer is get out automatically...,Ok product. Not generating enough heat to pack,Not up to the mark,Pocket friendly, effective and easy to use,Average</v>
      </c>
      <c r="O1317" s="7" t="str">
        <f>VLOOKUP(A1317, avaliacoes!A:G, 6, FALSE)</f>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v>
      </c>
    </row>
    <row r="1318">
      <c r="A1318" s="1" t="s">
        <v>5069</v>
      </c>
      <c r="B1318" s="1" t="s">
        <v>5070</v>
      </c>
      <c r="C1318" s="1" t="s">
        <v>4062</v>
      </c>
      <c r="D1318" s="1" t="str">
        <f t="shared" si="2"/>
        <v>Home&amp;Kitchen</v>
      </c>
      <c r="E1318" s="1" t="str">
        <f t="shared" si="3"/>
        <v>Kitchen&amp;HomeAppliances</v>
      </c>
      <c r="F1318" s="2">
        <v>299.0</v>
      </c>
      <c r="G1318" s="2">
        <v>595.0</v>
      </c>
      <c r="H1318" s="3">
        <f t="shared" si="4"/>
        <v>0.4974789916</v>
      </c>
      <c r="I1318" s="4">
        <f>IFERROR(__xludf.DUMMYFUNCTION("GOOGLEFINANCE(""CURRENCY:INRBRL"")*F1318"),17.8438185172)</f>
        <v>17.84381852</v>
      </c>
      <c r="J1318" s="1">
        <v>4.0</v>
      </c>
      <c r="K1318" s="1">
        <v>314.0</v>
      </c>
      <c r="L1318" s="1" t="s">
        <v>5071</v>
      </c>
      <c r="M1318" s="6" t="s">
        <v>5072</v>
      </c>
      <c r="N1318" s="7" t="str">
        <f>VLOOKUP(A1318, avaliacoes!A:G, 5, FALSE)</f>
        <v>Very good product,Good,Good,Good product,Not a quality product.,good,Not value for money,Great purchase.</v>
      </c>
      <c r="O1318" s="7" t="str">
        <f>VLOOKUP(A1318, avaliacoes!A:G, 6, FALSE)</f>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v>
      </c>
    </row>
    <row r="1319">
      <c r="A1319" s="1" t="s">
        <v>5073</v>
      </c>
      <c r="B1319" s="1" t="s">
        <v>5074</v>
      </c>
      <c r="C1319" s="1" t="s">
        <v>4488</v>
      </c>
      <c r="D1319" s="1" t="str">
        <f t="shared" si="2"/>
        <v>Home&amp;Kitchen</v>
      </c>
      <c r="E1319" s="1" t="str">
        <f t="shared" si="3"/>
        <v>Kitchen&amp;HomeAppliances</v>
      </c>
      <c r="F1319" s="2">
        <v>5395.0</v>
      </c>
      <c r="G1319" s="2">
        <v>19999.0</v>
      </c>
      <c r="H1319" s="3">
        <f t="shared" si="4"/>
        <v>0.7302365118</v>
      </c>
      <c r="I1319" s="4">
        <f>IFERROR(__xludf.DUMMYFUNCTION("GOOGLEFINANCE(""CURRENCY:INRBRL"")*F1319"),321.96455150599996)</f>
        <v>321.9645515</v>
      </c>
      <c r="J1319" s="1">
        <v>4.5</v>
      </c>
      <c r="K1319" s="1">
        <v>535.0</v>
      </c>
      <c r="L1319" s="1" t="s">
        <v>5075</v>
      </c>
      <c r="M1319" s="6" t="s">
        <v>5076</v>
      </c>
      <c r="N1319" s="7" t="str">
        <f>VLOOKUP(A1319, avaliacoes!A:G, 5, FALSE)</f>
        <v>Gud product and gud service,Good product in this range.,Useful,Good,Water taste is good and installation also done on prioritu basis worth for your money,Very good purifier in this range,Satisfactory performance,Installation charges extra</v>
      </c>
      <c r="O1319" s="7" t="str">
        <f>VLOOKUP(A1319, avaliacoes!A:G, 6, FALSE)</f>
        <v>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v>
      </c>
    </row>
    <row r="1320">
      <c r="A1320" s="1" t="s">
        <v>5077</v>
      </c>
      <c r="B1320" s="1" t="s">
        <v>5078</v>
      </c>
      <c r="C1320" s="1" t="s">
        <v>3909</v>
      </c>
      <c r="D1320" s="1" t="str">
        <f t="shared" si="2"/>
        <v>Home&amp;Kitchen</v>
      </c>
      <c r="E1320" s="1" t="str">
        <f t="shared" si="3"/>
        <v>Kitchen&amp;HomeAppliances</v>
      </c>
      <c r="F1320" s="2">
        <v>559.0</v>
      </c>
      <c r="G1320" s="2">
        <v>1099.0</v>
      </c>
      <c r="H1320" s="3">
        <f t="shared" si="4"/>
        <v>0.491355778</v>
      </c>
      <c r="I1320" s="4">
        <f>IFERROR(__xludf.DUMMYFUNCTION("GOOGLEFINANCE(""CURRENCY:INRBRL"")*F1320"),33.360182445199996)</f>
        <v>33.36018245</v>
      </c>
      <c r="J1320" s="1">
        <v>4.49</v>
      </c>
      <c r="K1320" s="1">
        <v>17325.0</v>
      </c>
      <c r="L1320" s="1" t="s">
        <v>5079</v>
      </c>
      <c r="M1320" s="6" t="s">
        <v>5080</v>
      </c>
      <c r="N1320" s="7" t="str">
        <f>VLOOKUP(A1320, avaliacoes!A:G, 5, FALSE)</f>
        <v>Good health product.,The best dry iron I have owned in last decade!,Value for money,Good,Bang on budget,Bad,light weight,Good for home use</v>
      </c>
      <c r="O1320" s="7" t="str">
        <f>VLOOKUP(A1320, avaliacoes!A:G, 6, FALSE)</f>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v>
      </c>
    </row>
    <row r="1321">
      <c r="A1321" s="1" t="s">
        <v>5081</v>
      </c>
      <c r="B1321" s="1" t="s">
        <v>5082</v>
      </c>
      <c r="C1321" s="1" t="s">
        <v>3909</v>
      </c>
      <c r="D1321" s="1" t="str">
        <f t="shared" si="2"/>
        <v>Home&amp;Kitchen</v>
      </c>
      <c r="E1321" s="1" t="str">
        <f t="shared" si="3"/>
        <v>Kitchen&amp;HomeAppliances</v>
      </c>
      <c r="F1321" s="2">
        <v>660.0</v>
      </c>
      <c r="G1321" s="2">
        <v>1099.0</v>
      </c>
      <c r="H1321" s="3">
        <f t="shared" si="4"/>
        <v>0.3994540491</v>
      </c>
      <c r="I1321" s="4">
        <f>IFERROR(__xludf.DUMMYFUNCTION("GOOGLEFINANCE(""CURRENCY:INRBRL"")*F1321"),39.387693047999996)</f>
        <v>39.38769305</v>
      </c>
      <c r="J1321" s="1">
        <v>4.51</v>
      </c>
      <c r="K1321" s="1">
        <v>91.0</v>
      </c>
      <c r="L1321" s="1" t="s">
        <v>5083</v>
      </c>
      <c r="M1321" s="6" t="s">
        <v>5084</v>
      </c>
      <c r="N1321" s="7" t="str">
        <f>VLOOKUP(A1321, avaliacoes!A:G, 5, FALSE)</f>
        <v>The wire is short,God,Rahul Mallah,Very nice 👍,Good ✌️🤝❤️👏👍❤️❤️,Stopped working after a few days.,Excellent product pls buy,Very useful</v>
      </c>
      <c r="O1321" s="7" t="str">
        <f>VLOOKUP(A1321, avaliacoes!A:G, 6, FALSE)</f>
        <v>Very short wire to connect to my switch,Nice,,Very good product,Good,Turns on heat initially and then doesn’t heat up. Eventually needs to cool down completely to again start heating again. Wouldn’t recommend buying.,Excellent product pls buy.,Nice</v>
      </c>
    </row>
    <row r="1322">
      <c r="A1322" s="1" t="s">
        <v>5085</v>
      </c>
      <c r="B1322" s="1" t="s">
        <v>5086</v>
      </c>
      <c r="C1322" s="1" t="s">
        <v>4049</v>
      </c>
      <c r="D1322" s="1" t="str">
        <f t="shared" si="2"/>
        <v>Home&amp;Kitchen</v>
      </c>
      <c r="E1322" s="1" t="str">
        <f t="shared" si="3"/>
        <v>Kitchen&amp;HomeAppliances</v>
      </c>
      <c r="F1322" s="2">
        <v>419.0</v>
      </c>
      <c r="G1322" s="2">
        <v>999.0</v>
      </c>
      <c r="H1322" s="3">
        <f t="shared" si="4"/>
        <v>0.5805805806</v>
      </c>
      <c r="I1322" s="4">
        <f>IFERROR(__xludf.DUMMYFUNCTION("GOOGLEFINANCE(""CURRENCY:INRBRL"")*F1322"),25.005217253199998)</f>
        <v>25.00521725</v>
      </c>
      <c r="J1322" s="1">
        <v>4.5</v>
      </c>
      <c r="K1322" s="1">
        <v>227.0</v>
      </c>
      <c r="L1322" s="1" t="s">
        <v>5087</v>
      </c>
      <c r="M1322" s="6" t="s">
        <v>5088</v>
      </c>
      <c r="N1322" s="7" t="str">
        <f>VLOOKUP(A1322, avaliacoes!A:G, 5, FALSE)</f>
        <v>It is very good product value for your money go for it and save some money,Nice,Easy ro use for children as well,Less time more work,Must buy 😊 I would recommend just go for it,Super fast,No need to wait for a long time,It's a good product</v>
      </c>
      <c r="O1322" s="7" t="str">
        <f>VLOOKUP(A1322, avaliacoes!A:G, 6, FALSE)</f>
        <v>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v>
      </c>
    </row>
    <row r="1323">
      <c r="A1323" s="1" t="s">
        <v>5089</v>
      </c>
      <c r="B1323" s="1" t="s">
        <v>5090</v>
      </c>
      <c r="C1323" s="1" t="s">
        <v>3942</v>
      </c>
      <c r="D1323" s="1" t="str">
        <f t="shared" si="2"/>
        <v>Home&amp;Kitchen</v>
      </c>
      <c r="E1323" s="1" t="str">
        <f t="shared" si="3"/>
        <v>Heating,Cooling&amp;AirQuality</v>
      </c>
      <c r="F1323" s="2">
        <v>7349.0</v>
      </c>
      <c r="G1323" s="2">
        <v>10899.0</v>
      </c>
      <c r="H1323" s="3">
        <f t="shared" si="4"/>
        <v>0.3257179558</v>
      </c>
      <c r="I1323" s="4">
        <f>IFERROR(__xludf.DUMMYFUNCTION("GOOGLEFINANCE(""CURRENCY:INRBRL"")*F1323"),438.57599425719997)</f>
        <v>438.5759943</v>
      </c>
      <c r="J1323" s="1">
        <v>4.5</v>
      </c>
      <c r="K1323" s="1">
        <v>11957.0</v>
      </c>
      <c r="L1323" s="1" t="s">
        <v>5091</v>
      </c>
      <c r="M1323" s="6" t="s">
        <v>5092</v>
      </c>
      <c r="N1323" s="7" t="str">
        <f>VLOOKUP(A1323, avaliacoes!A:G, 5, FALSE)</f>
        <v>Nice Gyser,Good child I am say,Great product in this budget,Good product,Good,Amazing Machine highly recommend,Good product,Working Great</v>
      </c>
      <c r="O1323" s="7" t="str">
        <f>VLOOKUP(A1323, avaliacoes!A:G, 6, FALSE)</f>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v>
      </c>
    </row>
    <row r="1324">
      <c r="A1324" s="1" t="s">
        <v>5093</v>
      </c>
      <c r="B1324" s="1" t="s">
        <v>5094</v>
      </c>
      <c r="C1324" s="1" t="s">
        <v>4158</v>
      </c>
      <c r="D1324" s="1" t="str">
        <f t="shared" si="2"/>
        <v>Home&amp;Kitchen</v>
      </c>
      <c r="E1324" s="1" t="str">
        <f t="shared" si="3"/>
        <v>Heating,Cooling&amp;AirQuality</v>
      </c>
      <c r="F1324" s="2">
        <v>2899.0</v>
      </c>
      <c r="G1324" s="2">
        <v>4005.0</v>
      </c>
      <c r="H1324" s="3">
        <f t="shared" si="4"/>
        <v>0.2761548065</v>
      </c>
      <c r="I1324" s="4">
        <f>IFERROR(__xludf.DUMMYFUNCTION("GOOGLEFINANCE(""CURRENCY:INRBRL"")*F1324"),173.00745779719998)</f>
        <v>173.0074578</v>
      </c>
      <c r="J1324" s="1">
        <v>4.5</v>
      </c>
      <c r="K1324" s="1">
        <v>714.0</v>
      </c>
      <c r="L1324" s="1" t="s">
        <v>5095</v>
      </c>
      <c r="M1324" s="6" t="s">
        <v>5096</v>
      </c>
      <c r="N1324" s="7" t="str">
        <f>VLOOKUP(A1324, avaliacoes!A:G, 5, FALSE)</f>
        <v>Packaging and look wise it is awesome 👍,Perfect fan,Good product,Good looking bit heavy,Nice product,Good,Good fan,Looks classy</v>
      </c>
      <c r="O1324" s="7" t="str">
        <f>VLOOKUP(A1324, avaliacoes!A:G, 6, FALSE)</f>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v>
      </c>
    </row>
    <row r="1325">
      <c r="A1325" s="1" t="s">
        <v>5097</v>
      </c>
      <c r="B1325" s="1" t="s">
        <v>5098</v>
      </c>
      <c r="C1325" s="1" t="s">
        <v>4024</v>
      </c>
      <c r="D1325" s="1" t="str">
        <f t="shared" si="2"/>
        <v>Home&amp;Kitchen</v>
      </c>
      <c r="E1325" s="1" t="str">
        <f t="shared" si="3"/>
        <v>Kitchen&amp;HomeAppliances</v>
      </c>
      <c r="F1325" s="2">
        <v>1799.0</v>
      </c>
      <c r="G1325" s="2">
        <v>3295.0</v>
      </c>
      <c r="H1325" s="3">
        <f t="shared" si="4"/>
        <v>0.4540212443</v>
      </c>
      <c r="I1325" s="4">
        <f>IFERROR(__xludf.DUMMYFUNCTION("GOOGLEFINANCE(""CURRENCY:INRBRL"")*F1325"),107.36130271719999)</f>
        <v>107.3613027</v>
      </c>
      <c r="J1325" s="1">
        <v>4.51</v>
      </c>
      <c r="K1325" s="1">
        <v>687.0</v>
      </c>
      <c r="L1325" s="1" t="s">
        <v>5099</v>
      </c>
      <c r="M1325" s="6" t="s">
        <v>5100</v>
      </c>
      <c r="N1325" s="7" t="str">
        <f>VLOOKUP(A1325, avaliacoes!A:G, 5, FALSE)</f>
        <v>Good for now,Worth Buying For Daily Cleaning,Very strong!,Convenient and powerful hand vacuum,Powerful suction of Product,Good budget buy,Powrrfully loaded for the purpose.,Handy Vacuum Cleaner</v>
      </c>
      <c r="O1325" s="7" t="str">
        <f>VLOOKUP(A1325, avaliacoes!A:G, 6, FALSE)</f>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v>
      </c>
    </row>
    <row r="1326">
      <c r="A1326" s="1" t="s">
        <v>5101</v>
      </c>
      <c r="B1326" s="1" t="s">
        <v>5102</v>
      </c>
      <c r="C1326" s="1" t="s">
        <v>4062</v>
      </c>
      <c r="D1326" s="1" t="str">
        <f t="shared" si="2"/>
        <v>Home&amp;Kitchen</v>
      </c>
      <c r="E1326" s="1" t="str">
        <f t="shared" si="3"/>
        <v>Kitchen&amp;HomeAppliances</v>
      </c>
      <c r="F1326" s="2">
        <v>1474.0</v>
      </c>
      <c r="G1326" s="2">
        <v>4649.0</v>
      </c>
      <c r="H1326" s="3">
        <f t="shared" si="4"/>
        <v>0.6829425683</v>
      </c>
      <c r="I1326" s="4">
        <f>IFERROR(__xludf.DUMMYFUNCTION("GOOGLEFINANCE(""CURRENCY:INRBRL"")*F1326"),87.96584780719999)</f>
        <v>87.96584781</v>
      </c>
      <c r="J1326" s="1">
        <v>4.49</v>
      </c>
      <c r="K1326" s="1">
        <v>1045.0</v>
      </c>
      <c r="L1326" s="1" t="s">
        <v>5103</v>
      </c>
      <c r="M1326" s="6" t="s">
        <v>5104</v>
      </c>
      <c r="N1326" s="7" t="str">
        <f>VLOOKUP(A1326, avaliacoes!A:G, 5, FALSE)</f>
        <v>The Grill and Toaster is good,Ibell,Good product,Does what it claims.,Good product and valu for money spend,I thought Ibell sandwich maker is best brand and I can use use usually easy clean it now easy,Good Product,Good product</v>
      </c>
      <c r="O1326" s="7" t="str">
        <f>VLOOKUP(A1326, avaliacoes!A:G, 6, FALSE)</f>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v>
      </c>
    </row>
    <row r="1327">
      <c r="A1327" s="1" t="s">
        <v>5105</v>
      </c>
      <c r="B1327" s="1" t="s">
        <v>5106</v>
      </c>
      <c r="C1327" s="1" t="s">
        <v>4488</v>
      </c>
      <c r="D1327" s="1" t="str">
        <f t="shared" si="2"/>
        <v>Home&amp;Kitchen</v>
      </c>
      <c r="E1327" s="1" t="str">
        <f t="shared" si="3"/>
        <v>Kitchen&amp;HomeAppliances</v>
      </c>
      <c r="F1327" s="2">
        <v>15999.0</v>
      </c>
      <c r="G1327" s="2">
        <v>24499.0</v>
      </c>
      <c r="H1327" s="3">
        <f t="shared" si="4"/>
        <v>0.3469529369</v>
      </c>
      <c r="I1327" s="4">
        <f>IFERROR(__xludf.DUMMYFUNCTION("GOOGLEFINANCE(""CURRENCY:INRBRL"")*F1327"),954.7934864772)</f>
        <v>954.7934865</v>
      </c>
      <c r="J1327" s="1">
        <v>4.0</v>
      </c>
      <c r="K1327" s="1">
        <v>11206.0</v>
      </c>
      <c r="L1327" s="1" t="s">
        <v>5107</v>
      </c>
      <c r="M1327" s="6" t="s">
        <v>5108</v>
      </c>
      <c r="N1327" s="7" t="str">
        <f>VLOOKUP(A1327, avaliacoes!A:G, 5, FALSE)</f>
        <v>Usable,Good,Awesome,Satisfied,Purifier,Beware to buy it from online,Very Good Quaility,Easy to install</v>
      </c>
      <c r="O1327" s="7" t="str">
        <f>VLOOKUP(A1327, avaliacoes!A:G, 6, FALSE)</f>
        <v>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v>
      </c>
    </row>
    <row r="1328">
      <c r="A1328" s="1" t="s">
        <v>5109</v>
      </c>
      <c r="B1328" s="1" t="s">
        <v>5110</v>
      </c>
      <c r="C1328" s="1" t="s">
        <v>3919</v>
      </c>
      <c r="D1328" s="1" t="str">
        <f t="shared" si="2"/>
        <v>Home&amp;Kitchen</v>
      </c>
      <c r="E1328" s="1" t="str">
        <f t="shared" si="3"/>
        <v>Heating,Cooling&amp;AirQuality</v>
      </c>
      <c r="F1328" s="2">
        <v>3645.0</v>
      </c>
      <c r="G1328" s="2">
        <v>6069.0</v>
      </c>
      <c r="H1328" s="3">
        <f t="shared" si="4"/>
        <v>0.3994068216</v>
      </c>
      <c r="I1328" s="4">
        <f>IFERROR(__xludf.DUMMYFUNCTION("GOOGLEFINANCE(""CURRENCY:INRBRL"")*F1328"),217.527486606)</f>
        <v>217.5274866</v>
      </c>
      <c r="J1328" s="1">
        <v>4.5</v>
      </c>
      <c r="K1328" s="1">
        <v>561.0</v>
      </c>
      <c r="L1328" s="1" t="s">
        <v>5111</v>
      </c>
      <c r="M1328" s="6" t="s">
        <v>5112</v>
      </c>
      <c r="N1328" s="7" t="str">
        <f>VLOOKUP(A1328, avaliacoes!A:G, 5, FALSE)</f>
        <v>Serves unlimited hot water instantly,Very good,Go for it,Instant heating,Just go for it.,Best for instant heat water,Amazing products,Instant got water, quite literally</v>
      </c>
      <c r="O1328" s="7" t="str">
        <f>VLOOKUP(A1328, avaliacoes!A:G, 6, FALSE)</f>
        <v>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v>
      </c>
    </row>
    <row r="1329">
      <c r="A1329" s="1" t="s">
        <v>5113</v>
      </c>
      <c r="B1329" s="1" t="s">
        <v>5114</v>
      </c>
      <c r="C1329" s="1" t="s">
        <v>3904</v>
      </c>
      <c r="D1329" s="1" t="str">
        <f t="shared" si="2"/>
        <v>Home&amp;Kitchen</v>
      </c>
      <c r="E1329" s="1" t="str">
        <f t="shared" si="3"/>
        <v>Kitchen&amp;HomeAppliances</v>
      </c>
      <c r="F1329" s="2">
        <v>375.0</v>
      </c>
      <c r="G1329" s="2">
        <v>999.0</v>
      </c>
      <c r="H1329" s="3">
        <f t="shared" si="4"/>
        <v>0.6246246246</v>
      </c>
      <c r="I1329" s="4">
        <f>IFERROR(__xludf.DUMMYFUNCTION("GOOGLEFINANCE(""CURRENCY:INRBRL"")*F1329"),22.37937105)</f>
        <v>22.37937105</v>
      </c>
      <c r="J1329" s="1">
        <v>4.51</v>
      </c>
      <c r="K1329" s="1">
        <v>1988.0</v>
      </c>
      <c r="L1329" s="1" t="s">
        <v>5115</v>
      </c>
      <c r="M1329" s="6" t="s">
        <v>5116</v>
      </c>
      <c r="N1329" s="7" t="str">
        <f>VLOOKUP(A1329, avaliacoes!A:G, 5, FALSE)</f>
        <v>Ok ok product,Great Tool for Kitchen,Easy and handy,Different frother machine,not as per images,Not good as I thought.,powerful,So glad that I bought this!,Good product, value for money</v>
      </c>
      <c r="O1329" s="7" t="str">
        <f>VLOOKUP(A1329, avaliacoes!A:G, 6, FALSE)</f>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v>
      </c>
    </row>
    <row r="1330">
      <c r="A1330" s="1" t="s">
        <v>5117</v>
      </c>
      <c r="B1330" s="1" t="s">
        <v>5118</v>
      </c>
      <c r="C1330" s="1" t="s">
        <v>4325</v>
      </c>
      <c r="D1330" s="1" t="str">
        <f t="shared" si="2"/>
        <v>Home&amp;Kitchen</v>
      </c>
      <c r="E1330" s="1" t="str">
        <f t="shared" si="3"/>
        <v>Kitchen&amp;HomeAppliances</v>
      </c>
      <c r="F1330" s="2">
        <v>2976.0</v>
      </c>
      <c r="G1330" s="2">
        <v>3945.0</v>
      </c>
      <c r="H1330" s="3">
        <f t="shared" si="4"/>
        <v>0.2456273764</v>
      </c>
      <c r="I1330" s="4">
        <f>IFERROR(__xludf.DUMMYFUNCTION("GOOGLEFINANCE(""CURRENCY:INRBRL"")*F1330"),177.6026886528)</f>
        <v>177.6026887</v>
      </c>
      <c r="J1330" s="1">
        <v>4.5</v>
      </c>
      <c r="K1330" s="1">
        <v>374.0</v>
      </c>
      <c r="L1330" s="1" t="s">
        <v>5119</v>
      </c>
      <c r="M1330" s="6" t="s">
        <v>5120</v>
      </c>
      <c r="N1330" s="7" t="str">
        <f>VLOOKUP(A1330, avaliacoes!A:G, 5, FALSE)</f>
        <v>Good,Adequate and efficient are the most apt words.,Good product,Single rice bowl,Good,Gift of god,Nice,Looks elegant</v>
      </c>
      <c r="O1330" s="7" t="str">
        <f>VLOOKUP(A1330, avaliacoes!A:G, 6, FALSE)</f>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v>
      </c>
    </row>
    <row r="1331">
      <c r="A1331" s="1" t="s">
        <v>5121</v>
      </c>
      <c r="B1331" s="1" t="s">
        <v>5122</v>
      </c>
      <c r="C1331" s="1" t="s">
        <v>4884</v>
      </c>
      <c r="D1331" s="1" t="str">
        <f t="shared" si="2"/>
        <v>Home&amp;Kitchen</v>
      </c>
      <c r="E1331" s="1" t="str">
        <f t="shared" si="3"/>
        <v>Kitchen&amp;HomeAppliances</v>
      </c>
      <c r="F1331" s="2">
        <v>1099.0</v>
      </c>
      <c r="G1331" s="2">
        <v>1499.0</v>
      </c>
      <c r="H1331" s="3">
        <f t="shared" si="4"/>
        <v>0.266844563</v>
      </c>
      <c r="I1331" s="4">
        <f>IFERROR(__xludf.DUMMYFUNCTION("GOOGLEFINANCE(""CURRENCY:INRBRL"")*F1331"),65.58647675719999)</f>
        <v>65.58647676</v>
      </c>
      <c r="J1331" s="1">
        <v>4.49</v>
      </c>
      <c r="K1331" s="1">
        <v>4401.0</v>
      </c>
      <c r="L1331" s="1" t="s">
        <v>5123</v>
      </c>
      <c r="M1331" s="6" t="s">
        <v>5124</v>
      </c>
      <c r="N1331" s="7" t="str">
        <f>VLOOKUP(A1331, avaliacoes!A:G, 5, FALSE)</f>
        <v>It's okay,A must have for coffee lovers,Perfect product for making a perfect cup of coffee.,Stopped working after minimal usage,Great Product,Amazing!,Awsome,Good</v>
      </c>
      <c r="O1331" s="7" t="str">
        <f>VLOOKUP(A1331, avaliacoes!A:G, 6, FALSE)</f>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v>
      </c>
    </row>
    <row r="1332">
      <c r="A1332" s="1" t="s">
        <v>5125</v>
      </c>
      <c r="B1332" s="1" t="s">
        <v>5126</v>
      </c>
      <c r="C1332" s="1" t="s">
        <v>3994</v>
      </c>
      <c r="D1332" s="1" t="str">
        <f t="shared" si="2"/>
        <v>Home&amp;Kitchen</v>
      </c>
      <c r="E1332" s="1" t="str">
        <f t="shared" si="3"/>
        <v>Kitchen&amp;HomeAppliances</v>
      </c>
      <c r="F1332" s="2">
        <v>2575.0</v>
      </c>
      <c r="G1332" s="2">
        <v>6699.0</v>
      </c>
      <c r="H1332" s="3">
        <f t="shared" si="4"/>
        <v>0.6156142708</v>
      </c>
      <c r="I1332" s="4">
        <f>IFERROR(__xludf.DUMMYFUNCTION("GOOGLEFINANCE(""CURRENCY:INRBRL"")*F1332"),153.67168121)</f>
        <v>153.6716812</v>
      </c>
      <c r="J1332" s="1">
        <v>4.5</v>
      </c>
      <c r="K1332" s="1">
        <v>611.0</v>
      </c>
      <c r="L1332" s="1" t="s">
        <v>5127</v>
      </c>
      <c r="M1332" s="6" t="s">
        <v>5128</v>
      </c>
      <c r="N1332" s="7" t="str">
        <f>VLOOKUP(A1332, avaliacoes!A:G, 5, FALSE)</f>
        <v>Useful Product,Good product,Good,Most cutest color travel iron,Good quality product.,Great quality garment steamer,Superb,Superb supportive good for garment!</v>
      </c>
      <c r="O1332" s="7" t="str">
        <f>VLOOKUP(A1332, avaliacoes!A:G, 6, FALSE)</f>
        <v>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v>
      </c>
    </row>
    <row r="1333">
      <c r="A1333" s="1" t="s">
        <v>5129</v>
      </c>
      <c r="B1333" s="1" t="s">
        <v>5130</v>
      </c>
      <c r="C1333" s="1" t="s">
        <v>3914</v>
      </c>
      <c r="D1333" s="1" t="str">
        <f t="shared" si="2"/>
        <v>Home&amp;Kitchen</v>
      </c>
      <c r="E1333" s="1" t="str">
        <f t="shared" si="3"/>
        <v>Kitchen&amp;HomeAppliances</v>
      </c>
      <c r="F1333" s="2">
        <v>1649.0</v>
      </c>
      <c r="G1333" s="2">
        <v>2799.0</v>
      </c>
      <c r="H1333" s="3">
        <f t="shared" si="4"/>
        <v>0.4108610218</v>
      </c>
      <c r="I1333" s="4">
        <f>IFERROR(__xludf.DUMMYFUNCTION("GOOGLEFINANCE(""CURRENCY:INRBRL"")*F1333"),98.40955429719999)</f>
        <v>98.4095543</v>
      </c>
      <c r="J1333" s="1">
        <v>4.52</v>
      </c>
      <c r="K1333" s="1">
        <v>2162.0</v>
      </c>
      <c r="L1333" s="1" t="s">
        <v>5131</v>
      </c>
      <c r="M1333" s="6" t="s">
        <v>5132</v>
      </c>
      <c r="N1333" s="7" t="str">
        <f>VLOOKUP(A1333, avaliacoes!A:G, 5, FALSE)</f>
        <v>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v>
      </c>
      <c r="O1333" s="7" t="str">
        <f>VLOOKUP(A1333, avaliacoes!A:G, 6, FALSE)</f>
        <v>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v>
      </c>
    </row>
    <row r="1334">
      <c r="A1334" s="1" t="s">
        <v>5133</v>
      </c>
      <c r="B1334" s="1" t="s">
        <v>5134</v>
      </c>
      <c r="C1334" s="1" t="s">
        <v>3904</v>
      </c>
      <c r="D1334" s="1" t="str">
        <f t="shared" si="2"/>
        <v>Home&amp;Kitchen</v>
      </c>
      <c r="E1334" s="1" t="str">
        <f t="shared" si="3"/>
        <v>Kitchen&amp;HomeAppliances</v>
      </c>
      <c r="F1334" s="2">
        <v>799.0</v>
      </c>
      <c r="G1334" s="2">
        <v>1699.0</v>
      </c>
      <c r="H1334" s="3">
        <f t="shared" si="4"/>
        <v>0.5297233667</v>
      </c>
      <c r="I1334" s="4">
        <f>IFERROR(__xludf.DUMMYFUNCTION("GOOGLEFINANCE(""CURRENCY:INRBRL"")*F1334"),47.682979917199994)</f>
        <v>47.68297992</v>
      </c>
      <c r="J1334" s="1">
        <v>4.0</v>
      </c>
      <c r="K1334" s="1">
        <v>97.0</v>
      </c>
      <c r="L1334" s="1" t="s">
        <v>5135</v>
      </c>
      <c r="M1334" s="6" t="s">
        <v>5136</v>
      </c>
      <c r="N1334" s="7" t="str">
        <f>VLOOKUP(A1334, avaliacoes!A:G, 5, FALSE)</f>
        <v>In this price worth to go for,First Impression: Looks elegant and sturdy with classy design.,Quality product,Good,Best purchase,Value for money. Easy to use.,It splashes everywhere and not much power,best of price in Amazon basic. hand blender in other company blenders</v>
      </c>
      <c r="O1334" s="7" t="str">
        <f>VLOOKUP(A1334, avaliacoes!A:G, 6, FALSE)</f>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v>
      </c>
    </row>
    <row r="1335">
      <c r="A1335" s="1" t="s">
        <v>5137</v>
      </c>
      <c r="B1335" s="1" t="s">
        <v>5138</v>
      </c>
      <c r="C1335" s="1" t="s">
        <v>3904</v>
      </c>
      <c r="D1335" s="1" t="str">
        <f t="shared" si="2"/>
        <v>Home&amp;Kitchen</v>
      </c>
      <c r="E1335" s="1" t="str">
        <f t="shared" si="3"/>
        <v>Kitchen&amp;HomeAppliances</v>
      </c>
      <c r="F1335" s="2">
        <v>765.0</v>
      </c>
      <c r="G1335" s="2">
        <v>970.0</v>
      </c>
      <c r="H1335" s="3">
        <f t="shared" si="4"/>
        <v>0.2113402062</v>
      </c>
      <c r="I1335" s="4">
        <f>IFERROR(__xludf.DUMMYFUNCTION("GOOGLEFINANCE(""CURRENCY:INRBRL"")*F1335"),45.653916941999995)</f>
        <v>45.65391694</v>
      </c>
      <c r="J1335" s="1">
        <v>4.5</v>
      </c>
      <c r="K1335" s="1">
        <v>6055.0</v>
      </c>
      <c r="L1335" s="1" t="s">
        <v>5139</v>
      </c>
      <c r="M1335" s="6" t="s">
        <v>5140</v>
      </c>
      <c r="N1335" s="7" t="str">
        <f>VLOOKUP(A1335, avaliacoes!A:G, 5, FALSE)</f>
        <v>Better than I expected!,Good,Good product,Great durability and original products,Very Nice !,Good product,Good,Good product</v>
      </c>
      <c r="O1335" s="7" t="str">
        <f>VLOOKUP(A1335, avaliacoes!A:G, 6, FALSE)</f>
        <v>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v>
      </c>
    </row>
    <row r="1336">
      <c r="A1336" s="1" t="s">
        <v>5141</v>
      </c>
      <c r="B1336" s="1" t="s">
        <v>5142</v>
      </c>
      <c r="C1336" s="1" t="s">
        <v>3856</v>
      </c>
      <c r="D1336" s="1" t="str">
        <f t="shared" si="2"/>
        <v>Home&amp;Kitchen</v>
      </c>
      <c r="E1336" s="1" t="str">
        <f t="shared" si="3"/>
        <v>Kitchen&amp;HomeAppliances</v>
      </c>
      <c r="F1336" s="2">
        <v>999.0</v>
      </c>
      <c r="G1336" s="2">
        <v>1499.0</v>
      </c>
      <c r="H1336" s="3">
        <f t="shared" si="4"/>
        <v>0.3335557038</v>
      </c>
      <c r="I1336" s="4">
        <f>IFERROR(__xludf.DUMMYFUNCTION("GOOGLEFINANCE(""CURRENCY:INRBRL"")*F1336"),59.61864447719999)</f>
        <v>59.61864448</v>
      </c>
      <c r="J1336" s="1">
        <v>4.5</v>
      </c>
      <c r="K1336" s="1">
        <v>386.0</v>
      </c>
      <c r="L1336" s="1" t="s">
        <v>5143</v>
      </c>
      <c r="M1336" s="6" t="s">
        <v>5144</v>
      </c>
      <c r="N1336" s="7" t="str">
        <f>VLOOKUP(A1336, avaliacoes!A:G, 5, FALSE)</f>
        <v>👍 nice,Lint removed instantly and effortlessly,Amazing product...worth the money,Best purchase till date,Good,Works as expected,Good quality,Must have product for Winter clothes</v>
      </c>
      <c r="O1336" s="7" t="str">
        <f>VLOOKUP(A1336, avaliacoes!A:G, 6, FALSE)</f>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v>
      </c>
    </row>
    <row r="1337">
      <c r="A1337" s="1" t="s">
        <v>5145</v>
      </c>
      <c r="B1337" s="1" t="s">
        <v>5146</v>
      </c>
      <c r="C1337" s="1" t="s">
        <v>5147</v>
      </c>
      <c r="D1337" s="1" t="str">
        <f t="shared" si="2"/>
        <v>Home&amp;Kitchen</v>
      </c>
      <c r="E1337" s="1" t="str">
        <f t="shared" si="3"/>
        <v>Kitchen&amp;HomeAppliances</v>
      </c>
      <c r="F1337" s="2">
        <v>587.0</v>
      </c>
      <c r="G1337" s="2">
        <v>1295.0</v>
      </c>
      <c r="H1337" s="3">
        <f t="shared" si="4"/>
        <v>0.5467181467</v>
      </c>
      <c r="I1337" s="4">
        <f>IFERROR(__xludf.DUMMYFUNCTION("GOOGLEFINANCE(""CURRENCY:INRBRL"")*F1337"),35.031175483599995)</f>
        <v>35.03117548</v>
      </c>
      <c r="J1337" s="1">
        <v>4.49</v>
      </c>
      <c r="K1337" s="1">
        <v>557.0</v>
      </c>
      <c r="L1337" s="1" t="s">
        <v>5148</v>
      </c>
      <c r="M1337" s="6" t="s">
        <v>5149</v>
      </c>
      <c r="N1337" s="7" t="str">
        <f>VLOOKUP(A1337, avaliacoes!A:G, 5, FALSE)</f>
        <v>Very easy to use curd maker,Excited to try it,Good product to settle hassle free yogurt,Checking now,Good Product at this Price,Good product,Good,Best yogurt maker at this price range</v>
      </c>
      <c r="O1337" s="7" t="str">
        <f>VLOOKUP(A1337, avaliacoes!A:G, 6, FALSE)</f>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v>
      </c>
    </row>
    <row r="1338">
      <c r="A1338" s="1" t="s">
        <v>5150</v>
      </c>
      <c r="B1338" s="1" t="s">
        <v>5151</v>
      </c>
      <c r="C1338" s="1" t="s">
        <v>5152</v>
      </c>
      <c r="D1338" s="1" t="str">
        <f t="shared" si="2"/>
        <v>Home&amp;Kitchen</v>
      </c>
      <c r="E1338" s="1" t="str">
        <f t="shared" si="3"/>
        <v>Kitchen&amp;HomeAppliances</v>
      </c>
      <c r="F1338" s="2">
        <v>12609.0</v>
      </c>
      <c r="G1338" s="2">
        <v>23999.0</v>
      </c>
      <c r="H1338" s="3">
        <f t="shared" si="4"/>
        <v>0.4746031085</v>
      </c>
      <c r="I1338" s="4">
        <f>IFERROR(__xludf.DUMMYFUNCTION("GOOGLEFINANCE(""CURRENCY:INRBRL"")*F1338"),752.4839721852)</f>
        <v>752.4839722</v>
      </c>
      <c r="J1338" s="1">
        <v>4.5</v>
      </c>
      <c r="K1338" s="1">
        <v>2288.0</v>
      </c>
      <c r="L1338" s="1" t="s">
        <v>5153</v>
      </c>
      <c r="M1338" s="6" t="s">
        <v>5154</v>
      </c>
      <c r="N1338" s="7" t="str">
        <f>VLOOKUP(A1338, avaliacoes!A:G, 5, FALSE)</f>
        <v>Overall Nice Product,Must buy product,Product is good to use.,Tasty and Healthy juice,Good,Good product,material,Just got it</v>
      </c>
      <c r="O1338" s="7" t="str">
        <f>VLOOKUP(A1338, avaliacoes!A:G, 6, FALSE)</f>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v>
      </c>
    </row>
    <row r="1339">
      <c r="A1339" s="1" t="s">
        <v>5155</v>
      </c>
      <c r="B1339" s="1" t="s">
        <v>5156</v>
      </c>
      <c r="C1339" s="1" t="s">
        <v>3909</v>
      </c>
      <c r="D1339" s="1" t="str">
        <f t="shared" si="2"/>
        <v>Home&amp;Kitchen</v>
      </c>
      <c r="E1339" s="1" t="str">
        <f t="shared" si="3"/>
        <v>Kitchen&amp;HomeAppliances</v>
      </c>
      <c r="F1339" s="2">
        <v>699.0</v>
      </c>
      <c r="G1339" s="2">
        <v>850.0</v>
      </c>
      <c r="H1339" s="3">
        <f t="shared" si="4"/>
        <v>0.1776470588</v>
      </c>
      <c r="I1339" s="4">
        <f>IFERROR(__xludf.DUMMYFUNCTION("GOOGLEFINANCE(""CURRENCY:INRBRL"")*F1339"),41.7151476372)</f>
        <v>41.71514764</v>
      </c>
      <c r="J1339" s="1">
        <v>4.49</v>
      </c>
      <c r="K1339" s="1">
        <v>1106.0</v>
      </c>
      <c r="L1339" s="1" t="s">
        <v>5157</v>
      </c>
      <c r="M1339" s="6" t="s">
        <v>5158</v>
      </c>
      <c r="N1339" s="7" t="str">
        <f>VLOOKUP(A1339, avaliacoes!A:G, 5, FALSE)</f>
        <v>it s very nice and easy to use,Good quality...go and purchase,Good,Good quality,Good product 👍,Good,Value for money @600₹,Good</v>
      </c>
      <c r="O1339" s="7" t="str">
        <f>VLOOKUP(A1339, avaliacoes!A:G, 6, FALSE)</f>
        <v>its light weight easy to use but is not worth for the value,Very good product,Good,Very good quality,Easy to to use,,Good and very happy with this product,Value for money @600₹,Easy to use</v>
      </c>
    </row>
    <row r="1340">
      <c r="A1340" s="1" t="s">
        <v>5159</v>
      </c>
      <c r="B1340" s="1" t="s">
        <v>5160</v>
      </c>
      <c r="C1340" s="1" t="s">
        <v>4171</v>
      </c>
      <c r="D1340" s="1" t="str">
        <f t="shared" si="2"/>
        <v>Home&amp;Kitchen</v>
      </c>
      <c r="E1340" s="1" t="str">
        <f t="shared" si="3"/>
        <v>Kitchen&amp;HomeAppliances</v>
      </c>
      <c r="F1340" s="2">
        <v>3799.0</v>
      </c>
      <c r="G1340" s="2">
        <v>5999.0</v>
      </c>
      <c r="H1340" s="3">
        <f t="shared" si="4"/>
        <v>0.366727788</v>
      </c>
      <c r="I1340" s="4">
        <f>IFERROR(__xludf.DUMMYFUNCTION("GOOGLEFINANCE(""CURRENCY:INRBRL"")*F1340"),226.71794831719998)</f>
        <v>226.7179483</v>
      </c>
      <c r="J1340" s="1">
        <v>4.5</v>
      </c>
      <c r="K1340" s="1">
        <v>11935.0</v>
      </c>
      <c r="L1340" s="1" t="s">
        <v>5161</v>
      </c>
      <c r="M1340" s="6" t="s">
        <v>5162</v>
      </c>
      <c r="N1340" s="7" t="str">
        <f>VLOOKUP(A1340, avaliacoes!A:G, 5, FALSE)</f>
        <v>Good suction power, enough for most cleaning,Worth for the price given,Okayish,Budget vacuum cleaner.,Very nice product worth it 😄,Best vacuum cleaner,It's a really good worthy product,Simply superb</v>
      </c>
      <c r="O1340" s="7" t="str">
        <f>VLOOKUP(A1340, avaliacoes!A:G, 6, FALSE)</f>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v>
      </c>
    </row>
    <row r="1341">
      <c r="A1341" s="1" t="s">
        <v>5163</v>
      </c>
      <c r="B1341" s="1" t="s">
        <v>5164</v>
      </c>
      <c r="C1341" s="1" t="s">
        <v>3971</v>
      </c>
      <c r="D1341" s="1" t="str">
        <f t="shared" si="2"/>
        <v>Home&amp;Kitchen</v>
      </c>
      <c r="E1341" s="1" t="str">
        <f t="shared" si="3"/>
        <v>Heating,Cooling&amp;AirQuality</v>
      </c>
      <c r="F1341" s="2">
        <v>640.0</v>
      </c>
      <c r="G1341" s="2">
        <v>1099.0</v>
      </c>
      <c r="H1341" s="3">
        <f t="shared" si="4"/>
        <v>0.4176524113</v>
      </c>
      <c r="I1341" s="4">
        <f>IFERROR(__xludf.DUMMYFUNCTION("GOOGLEFINANCE(""CURRENCY:INRBRL"")*F1341"),38.194126591999996)</f>
        <v>38.19412659</v>
      </c>
      <c r="J1341" s="1">
        <v>4.49</v>
      </c>
      <c r="K1341" s="1">
        <v>5059.0</v>
      </c>
      <c r="L1341" s="1" t="s">
        <v>5165</v>
      </c>
      <c r="M1341" s="6" t="s">
        <v>5166</v>
      </c>
      <c r="N1341" s="7" t="str">
        <f>VLOOKUP(A1341, avaliacoes!A:G, 5, FALSE)</f>
        <v>Nice product,Product not Quality donot buy,Wonderful product,Power Indicator is Missing,Excellent product,Value for money product,rod water heater,पानी गर्म होने में 15 मिनट से ज्यादा टाइम लेता हैं</v>
      </c>
      <c r="O1341" s="7" t="str">
        <f>VLOOKUP(A1341, avaliacoes!A:G, 6, FALSE)</f>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v>
      </c>
    </row>
    <row r="1342">
      <c r="A1342" s="1" t="s">
        <v>5167</v>
      </c>
      <c r="B1342" s="1" t="s">
        <v>5168</v>
      </c>
      <c r="C1342" s="1" t="s">
        <v>3851</v>
      </c>
      <c r="D1342" s="1" t="str">
        <f t="shared" si="2"/>
        <v>Home&amp;Kitchen</v>
      </c>
      <c r="E1342" s="1" t="str">
        <f t="shared" si="3"/>
        <v>Heating,Cooling&amp;AirQuality</v>
      </c>
      <c r="F1342" s="2">
        <v>979.0</v>
      </c>
      <c r="G1342" s="2">
        <v>1999.0</v>
      </c>
      <c r="H1342" s="3">
        <f t="shared" si="4"/>
        <v>0.5102551276</v>
      </c>
      <c r="I1342" s="4">
        <f>IFERROR(__xludf.DUMMYFUNCTION("GOOGLEFINANCE(""CURRENCY:INRBRL"")*F1342"),58.425078021199994)</f>
        <v>58.42507802</v>
      </c>
      <c r="J1342" s="1">
        <v>4.52</v>
      </c>
      <c r="K1342" s="1">
        <v>157.0</v>
      </c>
      <c r="L1342" s="1" t="s">
        <v>5169</v>
      </c>
      <c r="M1342" s="6" t="s">
        <v>5170</v>
      </c>
      <c r="N1342" s="7" t="str">
        <f>VLOOKUP(A1342, avaliacoes!A:G, 5, FALSE)</f>
        <v>Size of heater is small,good product,Power Cord is too short. How and where to use it? Do I spend further on Extension Board???,Not relatable product. No after sell service,Portable and efficient room heater,Useful product,Best Blower for the office use,Good product for room</v>
      </c>
      <c r="O1342" s="7" t="str">
        <f>VLOOKUP(A1342, avaliacoes!A:G, 6, FALSE)</f>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v>
      </c>
    </row>
    <row r="1343">
      <c r="A1343" s="1" t="s">
        <v>5171</v>
      </c>
      <c r="B1343" s="1" t="s">
        <v>5172</v>
      </c>
      <c r="C1343" s="1" t="s">
        <v>3919</v>
      </c>
      <c r="D1343" s="1" t="str">
        <f t="shared" si="2"/>
        <v>Home&amp;Kitchen</v>
      </c>
      <c r="E1343" s="1" t="str">
        <f t="shared" si="3"/>
        <v>Heating,Cooling&amp;AirQuality</v>
      </c>
      <c r="F1343" s="2">
        <v>5365.0</v>
      </c>
      <c r="G1343" s="2">
        <v>7445.0</v>
      </c>
      <c r="H1343" s="3">
        <f t="shared" si="4"/>
        <v>0.2793821357</v>
      </c>
      <c r="I1343" s="4">
        <f>IFERROR(__xludf.DUMMYFUNCTION("GOOGLEFINANCE(""CURRENCY:INRBRL"")*F1343"),320.174201822)</f>
        <v>320.1742018</v>
      </c>
      <c r="J1343" s="1">
        <v>4.52</v>
      </c>
      <c r="K1343" s="1">
        <v>3584.0</v>
      </c>
      <c r="L1343" s="1" t="s">
        <v>5173</v>
      </c>
      <c r="M1343" s="6" t="s">
        <v>5174</v>
      </c>
      <c r="N1343" s="7" t="str">
        <f>VLOOKUP(A1343, avaliacoes!A:G, 5, FALSE)</f>
        <v>Yet to know the performance,Good,Hamara bajaj...,Battery isue,Good but PNG model is Made In China,Value for money,Expansive,Service and Installation</v>
      </c>
      <c r="O1343" s="7" t="str">
        <f>VLOOKUP(A1343, avaliacoes!A:G, 6, FALSE)</f>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v>
      </c>
    </row>
    <row r="1344">
      <c r="A1344" s="1" t="s">
        <v>5175</v>
      </c>
      <c r="B1344" s="1" t="s">
        <v>5176</v>
      </c>
      <c r="C1344" s="1" t="s">
        <v>3994</v>
      </c>
      <c r="D1344" s="1" t="str">
        <f t="shared" si="2"/>
        <v>Home&amp;Kitchen</v>
      </c>
      <c r="E1344" s="1" t="str">
        <f t="shared" si="3"/>
        <v>Kitchen&amp;HomeAppliances</v>
      </c>
      <c r="F1344" s="2">
        <v>3199.0</v>
      </c>
      <c r="G1344" s="2">
        <v>3499.0</v>
      </c>
      <c r="H1344" s="3">
        <f t="shared" si="4"/>
        <v>0.08573878251</v>
      </c>
      <c r="I1344" s="4">
        <f>IFERROR(__xludf.DUMMYFUNCTION("GOOGLEFINANCE(""CURRENCY:INRBRL"")*F1344"),190.91095463719998)</f>
        <v>190.9109546</v>
      </c>
      <c r="J1344" s="1">
        <v>4.5</v>
      </c>
      <c r="K1344" s="1">
        <v>1899.0</v>
      </c>
      <c r="L1344" s="1" t="s">
        <v>5177</v>
      </c>
      <c r="M1344" s="6" t="s">
        <v>5178</v>
      </c>
      <c r="N1344" s="7" t="str">
        <f>VLOOKUP(A1344, avaliacoes!A:G, 5, FALSE)</f>
        <v>No entanglement,Iron with freedom,Good Iron,Steam iron!,It’s wireless,Good,Wonderful,Light weight and very adjustable to ur family needs</v>
      </c>
      <c r="O1344" s="7" t="str">
        <f>VLOOKUP(A1344, avaliacoes!A:G, 6, FALSE)</f>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v>
      </c>
    </row>
    <row r="1345">
      <c r="A1345" s="1" t="s">
        <v>5179</v>
      </c>
      <c r="B1345" s="1" t="s">
        <v>5180</v>
      </c>
      <c r="C1345" s="1" t="s">
        <v>4596</v>
      </c>
      <c r="D1345" s="1" t="str">
        <f t="shared" si="2"/>
        <v>Home&amp;Kitchen</v>
      </c>
      <c r="E1345" s="1" t="str">
        <f t="shared" si="3"/>
        <v>Kitchen&amp;HomeAppliances</v>
      </c>
      <c r="F1345" s="2">
        <v>979.0</v>
      </c>
      <c r="G1345" s="2">
        <v>1395.0</v>
      </c>
      <c r="H1345" s="3">
        <f t="shared" si="4"/>
        <v>0.2982078853</v>
      </c>
      <c r="I1345" s="4">
        <f>IFERROR(__xludf.DUMMYFUNCTION("GOOGLEFINANCE(""CURRENCY:INRBRL"")*F1345"),58.425078021199994)</f>
        <v>58.42507802</v>
      </c>
      <c r="J1345" s="1">
        <v>4.5</v>
      </c>
      <c r="K1345" s="1">
        <v>15252.0</v>
      </c>
      <c r="L1345" s="1" t="s">
        <v>5181</v>
      </c>
      <c r="M1345" s="6" t="s">
        <v>5182</v>
      </c>
      <c r="N1345" s="7" t="str">
        <f>VLOOKUP(A1345, avaliacoes!A:G, 5, FALSE)</f>
        <v>Good,Decent,Ok,Good product,Nice,Good product,Not good as per price,small &amp; elegant hand mixer</v>
      </c>
      <c r="O1345" s="7" t="str">
        <f>VLOOKUP(A1345, avaliacoes!A:G, 6, FALSE)</f>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v>
      </c>
    </row>
    <row r="1346">
      <c r="A1346" s="1" t="s">
        <v>5183</v>
      </c>
      <c r="B1346" s="1" t="s">
        <v>5184</v>
      </c>
      <c r="C1346" s="1" t="s">
        <v>3846</v>
      </c>
      <c r="D1346" s="1" t="str">
        <f t="shared" si="2"/>
        <v>Home&amp;Kitchen</v>
      </c>
      <c r="E1346" s="1" t="str">
        <f t="shared" si="3"/>
        <v>Heating,Cooling&amp;AirQuality</v>
      </c>
      <c r="F1346" s="2">
        <v>929.0</v>
      </c>
      <c r="G1346" s="2">
        <v>2199.0</v>
      </c>
      <c r="H1346" s="3">
        <f t="shared" si="4"/>
        <v>0.5775352433</v>
      </c>
      <c r="I1346" s="4">
        <f>IFERROR(__xludf.DUMMYFUNCTION("GOOGLEFINANCE(""CURRENCY:INRBRL"")*F1346"),55.441161881199996)</f>
        <v>55.44116188</v>
      </c>
      <c r="J1346" s="1">
        <v>4.51</v>
      </c>
      <c r="K1346" s="1">
        <v>4.0</v>
      </c>
      <c r="L1346" s="1" t="s">
        <v>5185</v>
      </c>
      <c r="M1346" s="6" t="s">
        <v>5186</v>
      </c>
      <c r="N1346" s="7" t="str">
        <f>VLOOKUP(A1346, avaliacoes!A:G, 5, FALSE)</f>
        <v>Ok product,Worth buying product,Must buyyyyy</v>
      </c>
      <c r="O1346" s="7" t="str">
        <f>VLOOKUP(A1346, avaliacoes!A:G, 6, FALSE)</f>
        <v>2 rods can not be switched seperately, selecting 1 rod always switches on the top rod.,,</v>
      </c>
    </row>
    <row r="1347">
      <c r="A1347" s="1" t="s">
        <v>5187</v>
      </c>
      <c r="B1347" s="1" t="s">
        <v>5188</v>
      </c>
      <c r="C1347" s="1" t="s">
        <v>4617</v>
      </c>
      <c r="D1347" s="1" t="str">
        <f t="shared" si="2"/>
        <v>Home&amp;Kitchen</v>
      </c>
      <c r="E1347" s="1" t="str">
        <f t="shared" si="3"/>
        <v>Kitchen&amp;HomeAppliances</v>
      </c>
      <c r="F1347" s="2">
        <v>3699.0</v>
      </c>
      <c r="G1347" s="2">
        <v>4329.0</v>
      </c>
      <c r="H1347" s="3">
        <f t="shared" si="4"/>
        <v>0.1455301455</v>
      </c>
      <c r="I1347" s="4">
        <f>IFERROR(__xludf.DUMMYFUNCTION("GOOGLEFINANCE(""CURRENCY:INRBRL"")*F1347"),220.75011603719997)</f>
        <v>220.750116</v>
      </c>
      <c r="J1347" s="1">
        <v>4.51</v>
      </c>
      <c r="K1347" s="1">
        <v>1662.0</v>
      </c>
      <c r="L1347" s="1" t="s">
        <v>5189</v>
      </c>
      <c r="M1347" s="6" t="s">
        <v>5190</v>
      </c>
      <c r="N1347" s="7" t="str">
        <f>VLOOKUP(A1347, avaliacoes!A:G, 5, FALSE)</f>
        <v>Good,Ease of use,Ok,Very good,Grinding is fine but during grinding little barter leaked from the drum. Kindly suggest.,Good one, but loud.,The quality is good but damaged,Ok 👍👍👍👍</v>
      </c>
      <c r="O1347" s="7" t="str">
        <f>VLOOKUP(A1347, avaliacoes!A:G, 6, FALSE)</f>
        <v>Can buy it,its really a good product for the price,Ok,Very good,Product is nice. I used it for idli dosa barter.Kindly suggest what to do?,The device is good but very loud!,The jar is damaged.,Ok good..</v>
      </c>
    </row>
    <row r="1348">
      <c r="A1348" s="1" t="s">
        <v>5191</v>
      </c>
      <c r="B1348" s="1" t="s">
        <v>5192</v>
      </c>
      <c r="C1348" s="1" t="s">
        <v>3914</v>
      </c>
      <c r="D1348" s="1" t="str">
        <f t="shared" si="2"/>
        <v>Home&amp;Kitchen</v>
      </c>
      <c r="E1348" s="1" t="str">
        <f t="shared" si="3"/>
        <v>Kitchen&amp;HomeAppliances</v>
      </c>
      <c r="F1348" s="2">
        <v>2033.0</v>
      </c>
      <c r="G1348" s="2">
        <v>4295.0</v>
      </c>
      <c r="H1348" s="3">
        <f t="shared" si="4"/>
        <v>0.5266589057</v>
      </c>
      <c r="I1348" s="4">
        <f>IFERROR(__xludf.DUMMYFUNCTION("GOOGLEFINANCE(""CURRENCY:INRBRL"")*F1348"),121.32603025239999)</f>
        <v>121.3260303</v>
      </c>
      <c r="J1348" s="1">
        <v>4.5</v>
      </c>
      <c r="K1348" s="1">
        <v>422.0</v>
      </c>
      <c r="L1348" s="1" t="s">
        <v>5193</v>
      </c>
      <c r="M1348" s="6" t="s">
        <v>5194</v>
      </c>
      <c r="N1348" s="7" t="str">
        <f>VLOOKUP(A1348, avaliacoes!A:G, 5, FALSE)</f>
        <v>Not as expected,DON'T BUY pegion products, NO CUSTOMER SERVICE,Not that happy,Undoughtable,Nice product,Value for money mixer,Sound and blade,product have too much scratches on top</v>
      </c>
      <c r="O1348" s="7" t="str">
        <f>VLOOKUP(A1348, avaliacoes!A:G, 6, FALSE)</f>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v>
      </c>
    </row>
    <row r="1349">
      <c r="A1349" s="1" t="s">
        <v>5195</v>
      </c>
      <c r="B1349" s="1" t="s">
        <v>5196</v>
      </c>
      <c r="C1349" s="1" t="s">
        <v>3846</v>
      </c>
      <c r="D1349" s="1" t="str">
        <f t="shared" si="2"/>
        <v>Home&amp;Kitchen</v>
      </c>
      <c r="E1349" s="1" t="str">
        <f t="shared" si="3"/>
        <v>Heating,Cooling&amp;AirQuality</v>
      </c>
      <c r="F1349" s="2">
        <v>9495.0</v>
      </c>
      <c r="G1349" s="2">
        <v>18999.0</v>
      </c>
      <c r="H1349" s="3">
        <f t="shared" si="4"/>
        <v>0.5002368546</v>
      </c>
      <c r="I1349" s="4">
        <f>IFERROR(__xludf.DUMMYFUNCTION("GOOGLEFINANCE(""CURRENCY:INRBRL"")*F1349"),566.6456749859999)</f>
        <v>566.645675</v>
      </c>
      <c r="J1349" s="1">
        <v>4.5</v>
      </c>
      <c r="K1349" s="1">
        <v>79.0</v>
      </c>
      <c r="L1349" s="1" t="s">
        <v>5197</v>
      </c>
      <c r="M1349" s="6" t="s">
        <v>5198</v>
      </c>
      <c r="N1349" s="7" t="str">
        <f>VLOOKUP(A1349, avaliacoes!A:G, 5, FALSE)</f>
        <v>A1,AWESOME PRODUCT,Room heater2900watt need separate power connection,Not upto the mark.,Probably the best build in this category.,A good heater with some additional amazing features which make it a best buy,Not as expected,Nice product</v>
      </c>
      <c r="O1349" s="7" t="str">
        <f>VLOOKUP(A1349, avaliacoes!A:G, 6, FALSE)</f>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v>
      </c>
    </row>
    <row r="1350">
      <c r="A1350" s="1" t="s">
        <v>5199</v>
      </c>
      <c r="B1350" s="1" t="s">
        <v>5200</v>
      </c>
      <c r="C1350" s="1" t="s">
        <v>3942</v>
      </c>
      <c r="D1350" s="1" t="str">
        <f t="shared" si="2"/>
        <v>Home&amp;Kitchen</v>
      </c>
      <c r="E1350" s="1" t="str">
        <f t="shared" si="3"/>
        <v>Heating,Cooling&amp;AirQuality</v>
      </c>
      <c r="F1350" s="2">
        <v>7799.0</v>
      </c>
      <c r="G1350" s="2">
        <v>12499.0</v>
      </c>
      <c r="H1350" s="3">
        <f t="shared" si="4"/>
        <v>0.3760300824</v>
      </c>
      <c r="I1350" s="4">
        <f>IFERROR(__xludf.DUMMYFUNCTION("GOOGLEFINANCE(""CURRENCY:INRBRL"")*F1350"),465.43123951719997)</f>
        <v>465.4312395</v>
      </c>
      <c r="J1350" s="1">
        <v>4.0</v>
      </c>
      <c r="K1350" s="1">
        <v>516.0</v>
      </c>
      <c r="L1350" s="1" t="s">
        <v>5201</v>
      </c>
      <c r="M1350" s="6" t="s">
        <v>5202</v>
      </c>
      <c r="N1350" s="7" t="str">
        <f>VLOOKUP(A1350, avaliacoes!A:G, 5, FALSE)</f>
        <v>Best for small Family,The Gyser warms up water very quickly but does not hold hot water for long,It's good,Not up to the mark,One day delivery and installation... excellent service,Waranty card not found,बेहतरीन,Good</v>
      </c>
      <c r="O1350" s="7" t="str">
        <f>VLOOKUP(A1350, avaliacoes!A:G, 6, FALSE)</f>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v>
      </c>
    </row>
    <row r="1351">
      <c r="A1351" s="1" t="s">
        <v>5203</v>
      </c>
      <c r="B1351" s="1" t="s">
        <v>5204</v>
      </c>
      <c r="C1351" s="1" t="s">
        <v>3841</v>
      </c>
      <c r="D1351" s="1" t="str">
        <f t="shared" si="2"/>
        <v>Home&amp;Kitchen</v>
      </c>
      <c r="E1351" s="1" t="str">
        <f t="shared" si="3"/>
        <v>Kitchen&amp;HomeAppliances</v>
      </c>
      <c r="F1351" s="2">
        <v>949.0</v>
      </c>
      <c r="G1351" s="2">
        <v>2385.0</v>
      </c>
      <c r="H1351" s="3">
        <f t="shared" si="4"/>
        <v>0.6020964361</v>
      </c>
      <c r="I1351" s="4">
        <f>IFERROR(__xludf.DUMMYFUNCTION("GOOGLEFINANCE(""CURRENCY:INRBRL"")*F1351"),56.634728337199995)</f>
        <v>56.63472834</v>
      </c>
      <c r="J1351" s="1">
        <v>4.49</v>
      </c>
      <c r="K1351" s="1">
        <v>2311.0</v>
      </c>
      <c r="L1351" s="1" t="s">
        <v>5205</v>
      </c>
      <c r="M1351" s="6" t="s">
        <v>5206</v>
      </c>
      <c r="N1351" s="7" t="str">
        <f>VLOOKUP(A1351, avaliacoes!A:G, 5, FALSE)</f>
        <v>Useful item,OVERALL NOT VERY BAD,Good quality,For the price ok.,GOOD PRODUCT,Review,Good quality,Short cord and narrow mouth.</v>
      </c>
      <c r="O1351" s="7" t="str">
        <f>VLOOKUP(A1351, avaliacoes!A:G, 6, FALSE)</f>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v>
      </c>
    </row>
    <row r="1352">
      <c r="A1352" s="1" t="s">
        <v>5207</v>
      </c>
      <c r="B1352" s="1" t="s">
        <v>5208</v>
      </c>
      <c r="C1352" s="1" t="s">
        <v>3919</v>
      </c>
      <c r="D1352" s="1" t="str">
        <f t="shared" si="2"/>
        <v>Home&amp;Kitchen</v>
      </c>
      <c r="E1352" s="1" t="str">
        <f t="shared" si="3"/>
        <v>Heating,Cooling&amp;AirQuality</v>
      </c>
      <c r="F1352" s="2">
        <v>2799.0</v>
      </c>
      <c r="G1352" s="2">
        <v>4899.0</v>
      </c>
      <c r="H1352" s="3">
        <f t="shared" si="4"/>
        <v>0.42865891</v>
      </c>
      <c r="I1352" s="4">
        <f>IFERROR(__xludf.DUMMYFUNCTION("GOOGLEFINANCE(""CURRENCY:INRBRL"")*F1352"),167.0396255172)</f>
        <v>167.0396255</v>
      </c>
      <c r="J1352" s="1">
        <v>4.52</v>
      </c>
      <c r="K1352" s="1">
        <v>588.0</v>
      </c>
      <c r="L1352" s="1" t="s">
        <v>5209</v>
      </c>
      <c r="M1352" s="6" t="s">
        <v>5210</v>
      </c>
      <c r="N1352" s="7" t="str">
        <f>VLOOKUP(A1352, avaliacoes!A:G, 5, FALSE)</f>
        <v>Overall its good product,Heater is Slow,Small but useful !,Average product quality,Working Good,just missing temprature  Controller.,Nice quality,Good looking and tests patience,Good product with affodable price</v>
      </c>
      <c r="O1352" s="7" t="str">
        <f>VLOOKUP(A1352, avaliacoes!A:G, 6, FALSE)</f>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v>
      </c>
    </row>
    <row r="1353">
      <c r="A1353" s="1" t="s">
        <v>5211</v>
      </c>
      <c r="B1353" s="1" t="s">
        <v>5212</v>
      </c>
      <c r="C1353" s="1" t="s">
        <v>3909</v>
      </c>
      <c r="D1353" s="1" t="str">
        <f t="shared" si="2"/>
        <v>Home&amp;Kitchen</v>
      </c>
      <c r="E1353" s="1" t="str">
        <f t="shared" si="3"/>
        <v>Kitchen&amp;HomeAppliances</v>
      </c>
      <c r="F1353" s="2">
        <v>645.0</v>
      </c>
      <c r="G1353" s="2">
        <v>1099.0</v>
      </c>
      <c r="H1353" s="3">
        <f t="shared" si="4"/>
        <v>0.4131028207</v>
      </c>
      <c r="I1353" s="4">
        <f>IFERROR(__xludf.DUMMYFUNCTION("GOOGLEFINANCE(""CURRENCY:INRBRL"")*F1353"),38.492518206)</f>
        <v>38.49251821</v>
      </c>
      <c r="J1353" s="1">
        <v>4.0</v>
      </c>
      <c r="K1353" s="1">
        <v>3271.0</v>
      </c>
      <c r="L1353" s="1" t="s">
        <v>5213</v>
      </c>
      <c r="M1353" s="6" t="s">
        <v>5214</v>
      </c>
      <c r="N1353" s="7" t="str">
        <f>VLOOKUP(A1353, avaliacoes!A:G, 5, FALSE)</f>
        <v>Good,Easy to handling ..satisfied,Good,Good,Quality product,Good Product,Nice,Hanske taka product</v>
      </c>
      <c r="O1353" s="7" t="str">
        <f>VLOOKUP(A1353, avaliacoes!A:G, 6, FALSE)</f>
        <v>Good,https://m.media-amazon.com/images/I/41D5G0vX76L._SY88.jpg,Worth for the price,Compact and lightweight,Nice,Nice product easy to use, price also good,Nice,Chenagidye</v>
      </c>
    </row>
    <row r="1354">
      <c r="A1354" s="1" t="s">
        <v>5215</v>
      </c>
      <c r="B1354" s="1" t="s">
        <v>5216</v>
      </c>
      <c r="C1354" s="1" t="s">
        <v>3914</v>
      </c>
      <c r="D1354" s="1" t="str">
        <f t="shared" si="2"/>
        <v>Home&amp;Kitchen</v>
      </c>
      <c r="E1354" s="1" t="str">
        <f t="shared" si="3"/>
        <v>Kitchen&amp;HomeAppliances</v>
      </c>
      <c r="F1354" s="2">
        <v>2237.81</v>
      </c>
      <c r="G1354" s="2">
        <v>3899.0</v>
      </c>
      <c r="H1354" s="3">
        <f t="shared" si="4"/>
        <v>0.4260553988</v>
      </c>
      <c r="I1354" s="4">
        <f>IFERROR(__xludf.DUMMYFUNCTION("GOOGLEFINANCE(""CURRENCY:INRBRL"")*F1354"),133.54874754506798)</f>
        <v>133.5487475</v>
      </c>
      <c r="J1354" s="1">
        <v>4.52</v>
      </c>
      <c r="K1354" s="1">
        <v>11004.0</v>
      </c>
      <c r="L1354" s="1" t="s">
        <v>5217</v>
      </c>
      <c r="M1354" s="6" t="s">
        <v>5218</v>
      </c>
      <c r="N1354" s="7" t="str">
        <f>VLOOKUP(A1354, avaliacoes!A:G, 5, FALSE)</f>
        <v>Good quality,Super 👌,Worth for the money but the knob is slippery,Good product,Good quality,Nothing,Worthy product,Good</v>
      </c>
      <c r="O1354" s="7" t="str">
        <f>VLOOKUP(A1354, avaliacoes!A:G, 6, FALSE)</f>
        <v>Good quality,Super 👌,Worth for the money but the knob is slippery,Good product,Nice,Ok,Little bit of noice,Good</v>
      </c>
    </row>
    <row r="1355">
      <c r="A1355" s="1" t="s">
        <v>5219</v>
      </c>
      <c r="B1355" s="1" t="s">
        <v>5220</v>
      </c>
      <c r="C1355" s="1" t="s">
        <v>3942</v>
      </c>
      <c r="D1355" s="1" t="str">
        <f t="shared" si="2"/>
        <v>Home&amp;Kitchen</v>
      </c>
      <c r="E1355" s="1" t="str">
        <f t="shared" si="3"/>
        <v>Heating,Cooling&amp;AirQuality</v>
      </c>
      <c r="F1355" s="2">
        <v>8699.0</v>
      </c>
      <c r="G1355" s="2">
        <v>16899.0</v>
      </c>
      <c r="H1355" s="3">
        <f t="shared" si="4"/>
        <v>0.4852358128</v>
      </c>
      <c r="I1355" s="4">
        <f>IFERROR(__xludf.DUMMYFUNCTION("GOOGLEFINANCE(""CURRENCY:INRBRL"")*F1355"),519.1417300372)</f>
        <v>519.14173</v>
      </c>
      <c r="J1355" s="1">
        <v>4.5</v>
      </c>
      <c r="K1355" s="1">
        <v>3195.0</v>
      </c>
      <c r="L1355" s="1" t="s">
        <v>5221</v>
      </c>
      <c r="M1355" s="6" t="s">
        <v>5222</v>
      </c>
      <c r="N1355" s="7" t="str">
        <f>VLOOKUP(A1355, avaliacoes!A:G, 5, FALSE)</f>
        <v>Worth money,Average,Morden geyser , very nice, value for money,Value for money,Voltage issue after geyser installation,Model looks nice but charged for connection pipes.,Very good Geyser. Worth every penny.,Quick service</v>
      </c>
      <c r="O1355" s="7" t="str">
        <f>VLOOKUP(A1355, avaliacoes!A:G, 6, FALSE)</f>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v>
      </c>
    </row>
    <row r="1356">
      <c r="A1356" s="1" t="s">
        <v>5223</v>
      </c>
      <c r="B1356" s="1" t="s">
        <v>5224</v>
      </c>
      <c r="C1356" s="1" t="s">
        <v>5225</v>
      </c>
      <c r="D1356" s="1" t="str">
        <f t="shared" si="2"/>
        <v>Home&amp;Kitchen</v>
      </c>
      <c r="E1356" s="1" t="str">
        <f t="shared" si="3"/>
        <v>Heating,Cooling&amp;AirQuality</v>
      </c>
      <c r="F1356" s="2">
        <v>42989.0</v>
      </c>
      <c r="G1356" s="2">
        <v>75989.0</v>
      </c>
      <c r="H1356" s="3">
        <f t="shared" si="4"/>
        <v>0.4342733817</v>
      </c>
      <c r="I1356" s="4">
        <f>IFERROR(__xludf.DUMMYFUNCTION("GOOGLEFINANCE(""CURRENCY:INRBRL"")*F1356"),2565.5114188492)</f>
        <v>2565.511419</v>
      </c>
      <c r="J1356" s="1">
        <v>4.5</v>
      </c>
      <c r="K1356" s="1">
        <v>3231.0</v>
      </c>
      <c r="L1356" s="1" t="s">
        <v>5226</v>
      </c>
      <c r="M1356" s="6" t="s">
        <v>5227</v>
      </c>
      <c r="N1356" s="7" t="str">
        <f>VLOOKUP(A1356, avaliacoes!A:G, 5, FALSE)</f>
        <v>Very nice,Efficient but little costly.,Good product but disappointing after sales service,After 30 days review ⭐⭐⭐⭐⭐,Good Product, Expensive Installation,Good,Adequately quiet, cooling is good, features are more than sufficient.,Nice and quick cooling .</v>
      </c>
      <c r="O1356" s="7" t="str">
        <f>VLOOKUP(A1356, avaliacoes!A:G, 6, FALSE)</f>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v>
      </c>
    </row>
    <row r="1357">
      <c r="A1357" s="1" t="s">
        <v>5228</v>
      </c>
      <c r="B1357" s="1" t="s">
        <v>5229</v>
      </c>
      <c r="C1357" s="1" t="s">
        <v>4299</v>
      </c>
      <c r="D1357" s="1" t="str">
        <f t="shared" si="2"/>
        <v>Home&amp;Kitchen</v>
      </c>
      <c r="E1357" s="1" t="str">
        <f t="shared" si="3"/>
        <v>Kitchen&amp;HomeAppliances</v>
      </c>
      <c r="F1357" s="2">
        <v>825.0</v>
      </c>
      <c r="G1357" s="2">
        <v>825.0</v>
      </c>
      <c r="H1357" s="3">
        <f t="shared" si="4"/>
        <v>0</v>
      </c>
      <c r="I1357" s="4">
        <f>IFERROR(__xludf.DUMMYFUNCTION("GOOGLEFINANCE(""CURRENCY:INRBRL"")*F1357"),49.23461631)</f>
        <v>49.23461631</v>
      </c>
      <c r="J1357" s="1">
        <v>4.0</v>
      </c>
      <c r="K1357" s="1">
        <v>3246.0</v>
      </c>
      <c r="L1357" s="1" t="s">
        <v>5230</v>
      </c>
      <c r="M1357" s="6" t="s">
        <v>5231</v>
      </c>
      <c r="N1357" s="7" t="str">
        <f>VLOOKUP(A1357, avaliacoes!A:G, 5, FALSE)</f>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v>
      </c>
      <c r="O1357" s="7" t="str">
        <f>VLOOKUP(A1357, avaliacoes!A:G, 6, FALSE)</f>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v>
      </c>
    </row>
    <row r="1358">
      <c r="A1358" s="1" t="s">
        <v>5232</v>
      </c>
      <c r="B1358" s="1" t="s">
        <v>5233</v>
      </c>
      <c r="C1358" s="1" t="s">
        <v>4153</v>
      </c>
      <c r="D1358" s="1" t="str">
        <f t="shared" si="2"/>
        <v>Home&amp;Kitchen</v>
      </c>
      <c r="E1358" s="1" t="str">
        <f t="shared" si="3"/>
        <v>Kitchen&amp;HomeAppliances</v>
      </c>
      <c r="F1358" s="2">
        <v>161.0</v>
      </c>
      <c r="G1358" s="2">
        <v>300.0</v>
      </c>
      <c r="H1358" s="3">
        <f t="shared" si="4"/>
        <v>0.4633333333</v>
      </c>
      <c r="I1358" s="4">
        <f>IFERROR(__xludf.DUMMYFUNCTION("GOOGLEFINANCE(""CURRENCY:INRBRL"")*F1358"),9.608209970799999)</f>
        <v>9.608209971</v>
      </c>
      <c r="J1358" s="1">
        <v>4.51</v>
      </c>
      <c r="K1358" s="1">
        <v>24.0</v>
      </c>
      <c r="L1358" s="1" t="s">
        <v>5234</v>
      </c>
      <c r="M1358" s="6" t="s">
        <v>5235</v>
      </c>
      <c r="N1358" s="7" t="str">
        <f>VLOOKUP(A1358, avaliacoes!A:G, 5, FALSE)</f>
        <v>It is broken,Could have been a bit better,The first one was not working and the replacement was sent without box with a used piece,Super cool,Great,Product does not work,Product was not too good it only seal normal thin polybag,Good. Works</v>
      </c>
      <c r="O1358" s="7" t="str">
        <f>VLOOKUP(A1358, avaliacoes!A:G, 6, FALSE)</f>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v>
      </c>
    </row>
    <row r="1359">
      <c r="A1359" s="1" t="s">
        <v>5236</v>
      </c>
      <c r="B1359" s="1" t="s">
        <v>5237</v>
      </c>
      <c r="C1359" s="1" t="s">
        <v>3887</v>
      </c>
      <c r="D1359" s="1" t="str">
        <f t="shared" si="2"/>
        <v>Home&amp;Kitchen</v>
      </c>
      <c r="E1359" s="1" t="str">
        <f t="shared" si="3"/>
        <v>Kitchen&amp;HomeAppliances</v>
      </c>
      <c r="F1359" s="2">
        <v>697.0</v>
      </c>
      <c r="G1359" s="2">
        <v>1499.0</v>
      </c>
      <c r="H1359" s="3">
        <f t="shared" si="4"/>
        <v>0.5350233489</v>
      </c>
      <c r="I1359" s="4">
        <f>IFERROR(__xludf.DUMMYFUNCTION("GOOGLEFINANCE(""CURRENCY:INRBRL"")*F1359"),41.5957909916)</f>
        <v>41.59579099</v>
      </c>
      <c r="J1359" s="1">
        <v>4.51</v>
      </c>
      <c r="K1359" s="1">
        <v>144.0</v>
      </c>
      <c r="L1359" s="1" t="s">
        <v>5238</v>
      </c>
      <c r="M1359" s="6" t="s">
        <v>5239</v>
      </c>
      <c r="N1359" s="7" t="str">
        <f>VLOOKUP(A1359, avaliacoes!A:G, 5, FALSE)</f>
        <v>Works well enough,Overall good,Performance,Good For Tea , Coffee and Hot water Only...,Yes it's only coal heater,Na,Very good item..,Good buy</v>
      </c>
      <c r="O1359" s="7" t="str">
        <f>VLOOKUP(A1359, avaliacoes!A:G, 6, FALSE)</f>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v>
      </c>
    </row>
    <row r="1360">
      <c r="A1360" s="1" t="s">
        <v>5240</v>
      </c>
      <c r="B1360" s="1" t="s">
        <v>5241</v>
      </c>
      <c r="C1360" s="1" t="s">
        <v>5242</v>
      </c>
      <c r="D1360" s="1" t="str">
        <f t="shared" si="2"/>
        <v>Home&amp;Kitchen</v>
      </c>
      <c r="E1360" s="1" t="str">
        <f t="shared" si="3"/>
        <v>Kitchen&amp;HomeAppliances</v>
      </c>
      <c r="F1360" s="2">
        <v>688.0</v>
      </c>
      <c r="G1360" s="2">
        <v>747.0</v>
      </c>
      <c r="H1360" s="3">
        <f t="shared" si="4"/>
        <v>0.07898259705</v>
      </c>
      <c r="I1360" s="4">
        <f>IFERROR(__xludf.DUMMYFUNCTION("GOOGLEFINANCE(""CURRENCY:INRBRL"")*F1360"),41.058686086399995)</f>
        <v>41.05868609</v>
      </c>
      <c r="J1360" s="1">
        <v>4.51</v>
      </c>
      <c r="K1360" s="1">
        <v>228.0</v>
      </c>
      <c r="L1360" s="1" t="s">
        <v>5243</v>
      </c>
      <c r="M1360" s="6" t="s">
        <v>5244</v>
      </c>
      <c r="N1360" s="7" t="str">
        <f>VLOOKUP(A1360, avaliacoes!A:G, 5, FALSE)</f>
        <v>Hope it will last long,Superb product,This is new version, with safety locks.,Original and Good,One of the Best you can expect,Sujata chutney jar,Quality,Original Product at reasonable price</v>
      </c>
      <c r="O1360" s="7" t="str">
        <f>VLOOKUP(A1360, avaliacoes!A:G, 6, FALSE)</f>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v>
      </c>
    </row>
    <row r="1361">
      <c r="A1361" s="1" t="s">
        <v>5245</v>
      </c>
      <c r="B1361" s="1" t="s">
        <v>5246</v>
      </c>
      <c r="C1361" s="1" t="s">
        <v>4201</v>
      </c>
      <c r="D1361" s="1" t="str">
        <f t="shared" si="2"/>
        <v>Home&amp;Kitchen</v>
      </c>
      <c r="E1361" s="1" t="str">
        <f t="shared" si="3"/>
        <v>Heating,Cooling&amp;AirQuality</v>
      </c>
      <c r="F1361" s="2">
        <v>2199.0</v>
      </c>
      <c r="G1361" s="2">
        <v>3999.0</v>
      </c>
      <c r="H1361" s="3">
        <f t="shared" si="4"/>
        <v>0.4501125281</v>
      </c>
      <c r="I1361" s="4">
        <f>IFERROR(__xludf.DUMMYFUNCTION("GOOGLEFINANCE(""CURRENCY:INRBRL"")*F1361"),131.2326318372)</f>
        <v>131.2326318</v>
      </c>
      <c r="J1361" s="1">
        <v>4.5</v>
      </c>
      <c r="K1361" s="1">
        <v>340.0</v>
      </c>
      <c r="L1361" s="1" t="s">
        <v>5247</v>
      </c>
      <c r="M1361" s="6" t="s">
        <v>5248</v>
      </c>
      <c r="N1361" s="7" t="str">
        <f>VLOOKUP(A1361, avaliacoes!A:G, 5, FALSE)</f>
        <v>Broken product,working related issue,Satisfactory,The product needs to be checked for defects  before despatch to customer,Value for Money,Value for Money &amp; effective,Item broken after some time .,Quality is good,</v>
      </c>
      <c r="O1361" s="7" t="str">
        <f>VLOOKUP(A1361, avaliacoes!A:G, 6, FALSE)</f>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v>
      </c>
    </row>
    <row r="1362">
      <c r="A1362" s="1" t="s">
        <v>5249</v>
      </c>
      <c r="B1362" s="1" t="s">
        <v>5250</v>
      </c>
      <c r="C1362" s="1" t="s">
        <v>3851</v>
      </c>
      <c r="D1362" s="1" t="str">
        <f t="shared" si="2"/>
        <v>Home&amp;Kitchen</v>
      </c>
      <c r="E1362" s="1" t="str">
        <f t="shared" si="3"/>
        <v>Heating,Cooling&amp;AirQuality</v>
      </c>
      <c r="F1362" s="2">
        <v>6849.0</v>
      </c>
      <c r="G1362" s="2">
        <v>11989.0</v>
      </c>
      <c r="H1362" s="3">
        <f t="shared" si="4"/>
        <v>0.4287263325</v>
      </c>
      <c r="I1362" s="4">
        <f>IFERROR(__xludf.DUMMYFUNCTION("GOOGLEFINANCE(""CURRENCY:INRBRL"")*F1362"),408.73683285719994)</f>
        <v>408.7368329</v>
      </c>
      <c r="J1362" s="1">
        <v>4.52</v>
      </c>
      <c r="K1362" s="1">
        <v>144.0</v>
      </c>
      <c r="L1362" s="1" t="s">
        <v>5251</v>
      </c>
      <c r="M1362" s="6" t="s">
        <v>5252</v>
      </c>
      <c r="N1362" s="7" t="str">
        <f>VLOOKUP(A1362, avaliacoes!A:G, 5, FALSE)</f>
        <v>Enough only for 10* 10 room as the outlet is small,The product is good,Looks like a used product which is refurbished and the wheels provided with the the heater are old.,Helpful,Not radiating much heat even though it is working.,Good quality,Excellent product to have,No use</v>
      </c>
      <c r="O1362" s="7" t="str">
        <f>VLOOKUP(A1362, avaliacoes!A:G, 6, FALSE)</f>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v>
      </c>
    </row>
    <row r="1363">
      <c r="A1363" s="1" t="s">
        <v>5253</v>
      </c>
      <c r="B1363" s="1" t="s">
        <v>5254</v>
      </c>
      <c r="C1363" s="1" t="s">
        <v>3919</v>
      </c>
      <c r="D1363" s="1" t="str">
        <f t="shared" si="2"/>
        <v>Home&amp;Kitchen</v>
      </c>
      <c r="E1363" s="1" t="str">
        <f t="shared" si="3"/>
        <v>Heating,Cooling&amp;AirQuality</v>
      </c>
      <c r="F1363" s="2">
        <v>2699.0</v>
      </c>
      <c r="G1363" s="2">
        <v>3799.0</v>
      </c>
      <c r="H1363" s="3">
        <f t="shared" si="4"/>
        <v>0.2895498815</v>
      </c>
      <c r="I1363" s="4">
        <f>IFERROR(__xludf.DUMMYFUNCTION("GOOGLEFINANCE(""CURRENCY:INRBRL"")*F1363"),161.07179323719998)</f>
        <v>161.0717932</v>
      </c>
      <c r="J1363" s="1">
        <v>4.0</v>
      </c>
      <c r="K1363" s="1">
        <v>727.0</v>
      </c>
      <c r="L1363" s="1" t="s">
        <v>5255</v>
      </c>
      <c r="M1363" s="6" t="s">
        <v>5256</v>
      </c>
      <c r="N1363" s="7" t="str">
        <f>VLOOKUP(A1363, avaliacoes!A:G, 5, FALSE)</f>
        <v>A must buy product for every house specially in North India.,Good,Amazing product, it's worth buying,Temperature of heating,Either HOT or COLD, not mixed water.,Worthless item,Great product,Purpose is not fully served</v>
      </c>
      <c r="O1363" s="7" t="str">
        <f>VLOOKUP(A1363, avaliacoes!A:G, 6, FALSE)</f>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v>
      </c>
    </row>
    <row r="1364">
      <c r="A1364" s="1" t="s">
        <v>5257</v>
      </c>
      <c r="B1364" s="1" t="s">
        <v>5258</v>
      </c>
      <c r="C1364" s="1" t="s">
        <v>5259</v>
      </c>
      <c r="D1364" s="1" t="str">
        <f t="shared" si="2"/>
        <v>Home&amp;Kitchen</v>
      </c>
      <c r="E1364" s="1" t="str">
        <f t="shared" si="3"/>
        <v>Kitchen&amp;HomeAppliances</v>
      </c>
      <c r="F1364" s="2">
        <v>899.0</v>
      </c>
      <c r="G1364" s="2">
        <v>1999.0</v>
      </c>
      <c r="H1364" s="3">
        <f t="shared" si="4"/>
        <v>0.5502751376</v>
      </c>
      <c r="I1364" s="4">
        <f>IFERROR(__xludf.DUMMYFUNCTION("GOOGLEFINANCE(""CURRENCY:INRBRL"")*F1364"),53.6508121972)</f>
        <v>53.6508122</v>
      </c>
      <c r="J1364" s="1">
        <v>4.0</v>
      </c>
      <c r="K1364" s="1">
        <v>832.0</v>
      </c>
      <c r="L1364" s="1" t="s">
        <v>5260</v>
      </c>
      <c r="M1364" s="6" t="s">
        <v>5261</v>
      </c>
      <c r="N1364" s="7" t="str">
        <f>VLOOKUP(A1364, avaliacoes!A:G, 5, FALSE)</f>
        <v>It’s amazing but I think waffle should be more crisp but it’s Ok.,Value for Money,Good product,Go for it!!,Takes a while to cook,Not giving it 5 stars as there was no measuring cup as promised.,Value for money,very good however size is small</v>
      </c>
      <c r="O1364" s="7" t="str">
        <f>VLOOKUP(A1364, avaliacoes!A:G, 6, FALSE)</f>
        <v>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v>
      </c>
    </row>
    <row r="1365">
      <c r="A1365" s="1" t="s">
        <v>5262</v>
      </c>
      <c r="B1365" s="1" t="s">
        <v>5263</v>
      </c>
      <c r="C1365" s="1" t="s">
        <v>3851</v>
      </c>
      <c r="D1365" s="1" t="str">
        <f t="shared" si="2"/>
        <v>Home&amp;Kitchen</v>
      </c>
      <c r="E1365" s="1" t="str">
        <f t="shared" si="3"/>
        <v>Heating,Cooling&amp;AirQuality</v>
      </c>
      <c r="F1365" s="2">
        <v>1089.0</v>
      </c>
      <c r="G1365" s="2">
        <v>2999.0</v>
      </c>
      <c r="H1365" s="3">
        <f t="shared" si="4"/>
        <v>0.6368789597</v>
      </c>
      <c r="I1365" s="4">
        <f>IFERROR(__xludf.DUMMYFUNCTION("GOOGLEFINANCE(""CURRENCY:INRBRL"")*F1365"),64.9896935292)</f>
        <v>64.98969353</v>
      </c>
      <c r="J1365" s="1">
        <v>4.5</v>
      </c>
      <c r="K1365" s="1">
        <v>57.0</v>
      </c>
      <c r="L1365" s="1" t="s">
        <v>5264</v>
      </c>
      <c r="M1365" s="6" t="s">
        <v>5265</v>
      </c>
      <c r="N1365" s="7" t="str">
        <f>VLOOKUP(A1365, avaliacoes!A:G, 5, FALSE)</f>
        <v>Best performance, Best in such that cost..,Nice,Not good,Nise product best use into winter ❄️❄️,Deamig,Durability,The air blow output is good</v>
      </c>
      <c r="O1365" s="7" t="str">
        <f>VLOOKUP(A1365, avaliacoes!A:G, 6, FALSE)</f>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v>
      </c>
    </row>
    <row r="1366">
      <c r="A1366" s="1" t="s">
        <v>5266</v>
      </c>
      <c r="B1366" s="1" t="s">
        <v>5267</v>
      </c>
      <c r="C1366" s="1" t="s">
        <v>3861</v>
      </c>
      <c r="D1366" s="1" t="str">
        <f t="shared" si="2"/>
        <v>Home&amp;Kitchen</v>
      </c>
      <c r="E1366" s="1" t="str">
        <f t="shared" si="3"/>
        <v>Kitchen&amp;HomeAppliances</v>
      </c>
      <c r="F1366" s="2">
        <v>295.0</v>
      </c>
      <c r="G1366" s="2">
        <v>599.0</v>
      </c>
      <c r="H1366" s="3">
        <f t="shared" si="4"/>
        <v>0.5075125209</v>
      </c>
      <c r="I1366" s="4">
        <f>IFERROR(__xludf.DUMMYFUNCTION("GOOGLEFINANCE(""CURRENCY:INRBRL"")*F1366"),17.605105226)</f>
        <v>17.60510523</v>
      </c>
      <c r="J1366" s="1">
        <v>4.0</v>
      </c>
      <c r="K1366" s="1">
        <v>1644.0</v>
      </c>
      <c r="L1366" s="1" t="s">
        <v>5268</v>
      </c>
      <c r="M1366" s="6" t="s">
        <v>5269</v>
      </c>
      <c r="N1366" s="7" t="str">
        <f>VLOOKUP(A1366, avaliacoes!A:G, 5, FALSE)</f>
        <v>Good product 👍,Perfect for all the stoners out there.,Good product,Nice,This is a nice and helpful product. .,Easy to use,Good,Easy to use machine</v>
      </c>
      <c r="O1366" s="7" t="str">
        <f>VLOOKUP(A1366, avaliacoes!A:G, 6, FALSE)</f>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v>
      </c>
    </row>
    <row r="1367">
      <c r="A1367" s="1" t="s">
        <v>5270</v>
      </c>
      <c r="B1367" s="1" t="s">
        <v>5271</v>
      </c>
      <c r="C1367" s="1" t="s">
        <v>3937</v>
      </c>
      <c r="D1367" s="1" t="str">
        <f t="shared" si="2"/>
        <v>Home&amp;Kitchen</v>
      </c>
      <c r="E1367" s="1" t="str">
        <f t="shared" si="3"/>
        <v>Kitchen&amp;HomeAppliances</v>
      </c>
      <c r="F1367" s="2">
        <v>479.0</v>
      </c>
      <c r="G1367" s="2">
        <v>1999.0</v>
      </c>
      <c r="H1367" s="3">
        <f t="shared" si="4"/>
        <v>0.7603801901</v>
      </c>
      <c r="I1367" s="4">
        <f>IFERROR(__xludf.DUMMYFUNCTION("GOOGLEFINANCE(""CURRENCY:INRBRL"")*F1367"),28.5859166212)</f>
        <v>28.58591662</v>
      </c>
      <c r="J1367" s="1">
        <v>4.5</v>
      </c>
      <c r="K1367" s="1">
        <v>1066.0</v>
      </c>
      <c r="L1367" s="1" t="s">
        <v>5272</v>
      </c>
      <c r="M1367" s="6" t="s">
        <v>5273</v>
      </c>
      <c r="N1367" s="7" t="str">
        <f>VLOOKUP(A1367, avaliacoes!A:G, 5, FALSE)</f>
        <v>Ok,Very good product,Broken item riceved,Everything is good but the wire length is too small,ok,Nice,So far so good,Average used</v>
      </c>
      <c r="O1367" s="7" t="str">
        <f>VLOOKUP(A1367, avaliacoes!A:G, 6, FALSE)</f>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v>
      </c>
    </row>
    <row r="1368">
      <c r="A1368" s="1" t="s">
        <v>5274</v>
      </c>
      <c r="B1368" s="1" t="s">
        <v>5275</v>
      </c>
      <c r="C1368" s="1" t="s">
        <v>3919</v>
      </c>
      <c r="D1368" s="1" t="str">
        <f t="shared" si="2"/>
        <v>Home&amp;Kitchen</v>
      </c>
      <c r="E1368" s="1" t="str">
        <f t="shared" si="3"/>
        <v>Heating,Cooling&amp;AirQuality</v>
      </c>
      <c r="F1368" s="2">
        <v>2949.0</v>
      </c>
      <c r="G1368" s="2">
        <v>4849.0</v>
      </c>
      <c r="H1368" s="3">
        <f t="shared" si="4"/>
        <v>0.3918333677</v>
      </c>
      <c r="I1368" s="4">
        <f>IFERROR(__xludf.DUMMYFUNCTION("GOOGLEFINANCE(""CURRENCY:INRBRL"")*F1368"),175.9913739372)</f>
        <v>175.9913739</v>
      </c>
      <c r="J1368" s="1">
        <v>4.5</v>
      </c>
      <c r="K1368" s="1">
        <v>7968.0</v>
      </c>
      <c r="L1368" s="1" t="s">
        <v>5276</v>
      </c>
      <c r="M1368" s="6" t="s">
        <v>5277</v>
      </c>
      <c r="N1368" s="7" t="str">
        <f>VLOOKUP(A1368, avaliacoes!A:G, 5, FALSE)</f>
        <v>Good to go for small family. Indicater and installation issues.,Very nice product,Worth buying,Best gyser,Good,Goodwill,Bit costlier than other products in the market of its kind but quality is also very good.,Working is fine</v>
      </c>
      <c r="O1368" s="7" t="str">
        <f>VLOOKUP(A1368, avaliacoes!A:G, 6, FALSE)</f>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v>
      </c>
    </row>
    <row r="1369">
      <c r="A1369" s="1" t="s">
        <v>5278</v>
      </c>
      <c r="B1369" s="1" t="s">
        <v>5279</v>
      </c>
      <c r="C1369" s="1" t="s">
        <v>3971</v>
      </c>
      <c r="D1369" s="1" t="str">
        <f t="shared" si="2"/>
        <v>Home&amp;Kitchen</v>
      </c>
      <c r="E1369" s="1" t="str">
        <f t="shared" si="3"/>
        <v>Heating,Cooling&amp;AirQuality</v>
      </c>
      <c r="F1369" s="2">
        <v>335.0</v>
      </c>
      <c r="G1369" s="2">
        <v>510.0</v>
      </c>
      <c r="H1369" s="3">
        <f t="shared" si="4"/>
        <v>0.3431372549</v>
      </c>
      <c r="I1369" s="4">
        <f>IFERROR(__xludf.DUMMYFUNCTION("GOOGLEFINANCE(""CURRENCY:INRBRL"")*F1369"),19.992238137999998)</f>
        <v>19.99223814</v>
      </c>
      <c r="J1369" s="1">
        <v>4.51</v>
      </c>
      <c r="K1369" s="1">
        <v>3195.0</v>
      </c>
      <c r="L1369" s="1" t="s">
        <v>5280</v>
      </c>
      <c r="M1369" s="6" t="s">
        <v>5281</v>
      </c>
      <c r="N1369" s="7" t="str">
        <f>VLOOKUP(A1369, avaliacoes!A:G, 5, FALSE)</f>
        <v>Poor product,Not working Properly,Average,Nice items,Cord is not enough long,Good,Goog,Everything is fine except cord length</v>
      </c>
      <c r="O1369" s="7" t="str">
        <f>VLOOKUP(A1369, avaliacoes!A:G, 6, FALSE)</f>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v>
      </c>
    </row>
    <row r="1370">
      <c r="A1370" s="1" t="s">
        <v>5282</v>
      </c>
      <c r="B1370" s="1" t="s">
        <v>5283</v>
      </c>
      <c r="C1370" s="1" t="s">
        <v>4290</v>
      </c>
      <c r="D1370" s="1" t="str">
        <f t="shared" si="2"/>
        <v>Home&amp;Kitchen</v>
      </c>
      <c r="E1370" s="1" t="str">
        <f t="shared" si="3"/>
        <v>Kitchen&amp;HomeAppliances</v>
      </c>
      <c r="F1370" s="2">
        <v>293.0</v>
      </c>
      <c r="G1370" s="2">
        <v>499.0</v>
      </c>
      <c r="H1370" s="3">
        <f t="shared" si="4"/>
        <v>0.4128256513</v>
      </c>
      <c r="I1370" s="4">
        <f>IFERROR(__xludf.DUMMYFUNCTION("GOOGLEFINANCE(""CURRENCY:INRBRL"")*F1370"),17.4857485804)</f>
        <v>17.48574858</v>
      </c>
      <c r="J1370" s="1">
        <v>4.49</v>
      </c>
      <c r="K1370" s="1">
        <v>1456.0</v>
      </c>
      <c r="L1370" s="1" t="s">
        <v>5284</v>
      </c>
      <c r="M1370" s="6" t="s">
        <v>5285</v>
      </c>
      <c r="N1370" s="7" t="str">
        <f>VLOOKUP(A1370, avaliacoes!A:G, 5, FALSE)</f>
        <v>Okay Okay kind of product,Good quality though bit expensive,Easy to use,Quality is good,Good quality product,Just Okay,Very thin steel.,Super</v>
      </c>
      <c r="O1370" s="7" t="str">
        <f>VLOOKUP(A1370, avaliacoes!A:G, 6, FALSE)</f>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v>
      </c>
    </row>
    <row r="1371">
      <c r="A1371" s="1" t="s">
        <v>5286</v>
      </c>
      <c r="B1371" s="1" t="s">
        <v>5287</v>
      </c>
      <c r="C1371" s="1" t="s">
        <v>5288</v>
      </c>
      <c r="D1371" s="1" t="str">
        <f t="shared" si="2"/>
        <v>Home&amp;Kitchen</v>
      </c>
      <c r="E1371" s="1" t="str">
        <f t="shared" si="3"/>
        <v>Kitchen&amp;HomeAppliances</v>
      </c>
      <c r="F1371" s="2">
        <v>599.0</v>
      </c>
      <c r="G1371" s="2">
        <v>1299.0</v>
      </c>
      <c r="H1371" s="3">
        <f t="shared" si="4"/>
        <v>0.5388760585</v>
      </c>
      <c r="I1371" s="4">
        <f>IFERROR(__xludf.DUMMYFUNCTION("GOOGLEFINANCE(""CURRENCY:INRBRL"")*F1371"),35.747315357199994)</f>
        <v>35.74731536</v>
      </c>
      <c r="J1371" s="1">
        <v>4.5</v>
      </c>
      <c r="K1371" s="1">
        <v>590.0</v>
      </c>
      <c r="L1371" s="1" t="s">
        <v>5289</v>
      </c>
      <c r="M1371" s="6" t="s">
        <v>5290</v>
      </c>
      <c r="N1371" s="7" t="str">
        <f>VLOOKUP(A1371, avaliacoes!A:G, 5, FALSE)</f>
        <v>Excellent coffee maker,Sturdy quality product!,Good product,Just go for it!,Mokapot's upward filteration is messy,i felt its more of a joy to prepare concoction in this espresso maker,Good product,Espresso quality</v>
      </c>
      <c r="O1371" s="7" t="str">
        <f>VLOOKUP(A1371, avaliacoes!A:G, 6, FALSE)</f>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v>
      </c>
    </row>
    <row r="1372">
      <c r="A1372" s="1" t="s">
        <v>5291</v>
      </c>
      <c r="B1372" s="1" t="s">
        <v>5292</v>
      </c>
      <c r="C1372" s="1" t="s">
        <v>4299</v>
      </c>
      <c r="D1372" s="1" t="str">
        <f t="shared" si="2"/>
        <v>Home&amp;Kitchen</v>
      </c>
      <c r="E1372" s="1" t="str">
        <f t="shared" si="3"/>
        <v>Kitchen&amp;HomeAppliances</v>
      </c>
      <c r="F1372" s="2">
        <v>499.0</v>
      </c>
      <c r="G1372" s="2">
        <v>999.0</v>
      </c>
      <c r="H1372" s="3">
        <f t="shared" si="4"/>
        <v>0.5005005005</v>
      </c>
      <c r="I1372" s="4">
        <f>IFERROR(__xludf.DUMMYFUNCTION("GOOGLEFINANCE(""CURRENCY:INRBRL"")*F1372"),29.7794830772)</f>
        <v>29.77948308</v>
      </c>
      <c r="J1372" s="1">
        <v>4.5</v>
      </c>
      <c r="K1372" s="1">
        <v>1436.0</v>
      </c>
      <c r="L1372" s="1" t="s">
        <v>5293</v>
      </c>
      <c r="M1372" s="6" t="s">
        <v>5294</v>
      </c>
      <c r="N1372" s="7" t="str">
        <f>VLOOKUP(A1372, avaliacoes!A:G, 5, FALSE)</f>
        <v>👍,Good product,nice product,Satisfied,Value of money,Good filter,Excellent product,Overall this is a good product.</v>
      </c>
      <c r="O1372" s="7" t="str">
        <f>VLOOKUP(A1372, avaliacoes!A:G, 6, FALSE)</f>
        <v>👍,Good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v>
      </c>
    </row>
    <row r="1373">
      <c r="A1373" s="1" t="s">
        <v>5295</v>
      </c>
      <c r="B1373" s="1" t="s">
        <v>5296</v>
      </c>
      <c r="C1373" s="1" t="s">
        <v>3909</v>
      </c>
      <c r="D1373" s="1" t="str">
        <f t="shared" si="2"/>
        <v>Home&amp;Kitchen</v>
      </c>
      <c r="E1373" s="1" t="str">
        <f t="shared" si="3"/>
        <v>Kitchen&amp;HomeAppliances</v>
      </c>
      <c r="F1373" s="2">
        <v>849.0</v>
      </c>
      <c r="G1373" s="2">
        <v>1189.0</v>
      </c>
      <c r="H1373" s="3">
        <f t="shared" si="4"/>
        <v>0.2859545837</v>
      </c>
      <c r="I1373" s="4">
        <f>IFERROR(__xludf.DUMMYFUNCTION("GOOGLEFINANCE(""CURRENCY:INRBRL"")*F1373"),50.6668960572)</f>
        <v>50.66689606</v>
      </c>
      <c r="J1373" s="1">
        <v>4.5</v>
      </c>
      <c r="K1373" s="1">
        <v>4184.0</v>
      </c>
      <c r="L1373" s="1" t="s">
        <v>5297</v>
      </c>
      <c r="M1373" s="6" t="s">
        <v>5298</v>
      </c>
      <c r="N1373" s="7" t="str">
        <f>VLOOKUP(A1373, avaliacoes!A:G, 5, FALSE)</f>
        <v>Nice iron . Heating earlist,Value for money,Nice product,सुपर,Good,Superb,Excellent product by Havells,Good</v>
      </c>
      <c r="O1373" s="7" t="str">
        <f>VLOOKUP(A1373, avaliacoes!A:G, 6, FALSE)</f>
        <v>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v>
      </c>
    </row>
    <row r="1374">
      <c r="A1374" s="1" t="s">
        <v>5299</v>
      </c>
      <c r="B1374" s="1" t="s">
        <v>5300</v>
      </c>
      <c r="C1374" s="1" t="s">
        <v>4290</v>
      </c>
      <c r="D1374" s="1" t="str">
        <f t="shared" si="2"/>
        <v>Home&amp;Kitchen</v>
      </c>
      <c r="E1374" s="1" t="str">
        <f t="shared" si="3"/>
        <v>Kitchen&amp;HomeAppliances</v>
      </c>
      <c r="F1374" s="2">
        <v>249.0</v>
      </c>
      <c r="G1374" s="2">
        <v>400.0</v>
      </c>
      <c r="H1374" s="3">
        <f t="shared" si="4"/>
        <v>0.3775</v>
      </c>
      <c r="I1374" s="4">
        <f>IFERROR(__xludf.DUMMYFUNCTION("GOOGLEFINANCE(""CURRENCY:INRBRL"")*F1374"),14.8599023772)</f>
        <v>14.85990238</v>
      </c>
      <c r="J1374" s="1">
        <v>4.49</v>
      </c>
      <c r="K1374" s="1">
        <v>693.0</v>
      </c>
      <c r="L1374" s="1" t="s">
        <v>5301</v>
      </c>
      <c r="M1374" s="6" t="s">
        <v>5302</v>
      </c>
      <c r="N1374" s="7" t="str">
        <f>VLOOKUP(A1374, avaliacoes!A:G, 5, FALSE)</f>
        <v>Meets expectation,Good product,High quality product,Worth the spend!,Great product,A decent filter coffee maker.,Good product for an average user.,High quality</v>
      </c>
      <c r="O1374" s="7" t="str">
        <f>VLOOKUP(A1374, avaliacoes!A:G, 6, FALSE)</f>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v>
      </c>
    </row>
    <row r="1375">
      <c r="A1375" s="1" t="s">
        <v>5303</v>
      </c>
      <c r="B1375" s="1" t="s">
        <v>5304</v>
      </c>
      <c r="C1375" s="1" t="s">
        <v>4299</v>
      </c>
      <c r="D1375" s="1" t="str">
        <f t="shared" si="2"/>
        <v>Home&amp;Kitchen</v>
      </c>
      <c r="E1375" s="1" t="str">
        <f t="shared" si="3"/>
        <v>Kitchen&amp;HomeAppliances</v>
      </c>
      <c r="F1375" s="2">
        <v>185.0</v>
      </c>
      <c r="G1375" s="2">
        <v>599.0</v>
      </c>
      <c r="H1375" s="3">
        <f t="shared" si="4"/>
        <v>0.6911519199</v>
      </c>
      <c r="I1375" s="4">
        <f>IFERROR(__xludf.DUMMYFUNCTION("GOOGLEFINANCE(""CURRENCY:INRBRL"")*F1375"),11.040489718)</f>
        <v>11.04048972</v>
      </c>
      <c r="J1375" s="1">
        <v>4.52</v>
      </c>
      <c r="K1375" s="1">
        <v>1306.0</v>
      </c>
      <c r="L1375" s="1" t="s">
        <v>5305</v>
      </c>
      <c r="M1375" s="6" t="s">
        <v>5306</v>
      </c>
      <c r="N1375" s="7" t="str">
        <f>VLOOKUP(A1375, avaliacoes!A:G, 5, FALSE)</f>
        <v>Compatible with pureit classic g2,Very good product,Best item in best price.,Good,Good one,Nyce product,Good Item With Perfect Accuracy VFM !,One star for bad delivery options</v>
      </c>
      <c r="O1375" s="7" t="str">
        <f>VLOOKUP(A1375, avaliacoes!A:G, 6, FALSE)</f>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v>
      </c>
    </row>
    <row r="1376">
      <c r="A1376" s="1" t="s">
        <v>5307</v>
      </c>
      <c r="B1376" s="1" t="s">
        <v>5308</v>
      </c>
      <c r="C1376" s="1" t="s">
        <v>3851</v>
      </c>
      <c r="D1376" s="1" t="str">
        <f t="shared" si="2"/>
        <v>Home&amp;Kitchen</v>
      </c>
      <c r="E1376" s="1" t="str">
        <f t="shared" si="3"/>
        <v>Heating,Cooling&amp;AirQuality</v>
      </c>
      <c r="F1376" s="2">
        <v>778.0</v>
      </c>
      <c r="G1376" s="2">
        <v>999.0</v>
      </c>
      <c r="H1376" s="3">
        <f t="shared" si="4"/>
        <v>0.2212212212</v>
      </c>
      <c r="I1376" s="4">
        <f>IFERROR(__xludf.DUMMYFUNCTION("GOOGLEFINANCE(""CURRENCY:INRBRL"")*F1376"),46.4297351384)</f>
        <v>46.42973514</v>
      </c>
      <c r="J1376" s="1">
        <v>4.5</v>
      </c>
      <c r="K1376" s="1">
        <v>8.0</v>
      </c>
      <c r="L1376" s="1" t="s">
        <v>5309</v>
      </c>
      <c r="M1376" s="6" t="s">
        <v>5310</v>
      </c>
      <c r="N1376" s="7" t="str">
        <f>VLOOKUP(A1376, avaliacoes!A:G, 5, FALSE)</f>
        <v>Quality Product,The Packing is very poor so theswitch has gone inside the heater I cannot use iy,Very good 😊,Easy to use, comfortable, value for money, temperature control,Effective And creative product</v>
      </c>
      <c r="O1376" s="7" t="str">
        <f>VLOOKUP(A1376, avaliacoes!A:G, 6, FALSE)</f>
        <v>1) Best product2) Room gets warm within few mins3) Quality is nice4) Timer option is very useful5) Portable,,,Like it,By continuing use it work fine. Small but effective product. No more space required to store and use. In a short time my room temperature got increased. Feels gool</v>
      </c>
    </row>
    <row r="1377">
      <c r="A1377" s="1" t="s">
        <v>5311</v>
      </c>
      <c r="B1377" s="1" t="s">
        <v>5312</v>
      </c>
      <c r="C1377" s="1" t="s">
        <v>5313</v>
      </c>
      <c r="D1377" s="1" t="str">
        <f t="shared" si="2"/>
        <v>Home&amp;Kitchen</v>
      </c>
      <c r="E1377" s="1" t="str">
        <f t="shared" si="3"/>
        <v>Kitchen&amp;HomeAppliances</v>
      </c>
      <c r="F1377" s="2">
        <v>279.0</v>
      </c>
      <c r="G1377" s="2">
        <v>699.0</v>
      </c>
      <c r="H1377" s="3">
        <f t="shared" si="4"/>
        <v>0.6008583691</v>
      </c>
      <c r="I1377" s="4">
        <f>IFERROR(__xludf.DUMMYFUNCTION("GOOGLEFINANCE(""CURRENCY:INRBRL"")*F1377"),16.6502520612)</f>
        <v>16.65025206</v>
      </c>
      <c r="J1377" s="1">
        <v>4.5</v>
      </c>
      <c r="K1377" s="1">
        <v>2326.0</v>
      </c>
      <c r="L1377" s="1" t="s">
        <v>5314</v>
      </c>
      <c r="M1377" s="6" t="s">
        <v>5315</v>
      </c>
      <c r="N1377" s="7" t="str">
        <f>VLOOKUP(A1377, avaliacoes!A:G, 5, FALSE)</f>
        <v>Go for it,Good quality and price,good quality,Good to have instead of plastic one.,Looks good better to use than plastic,Good but can be better,Value for money,Good quality product</v>
      </c>
      <c r="O1377" s="7" t="str">
        <f>VLOOKUP(A1377, avaliacoes!A:G, 6, FALSE)</f>
        <v>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v>
      </c>
    </row>
    <row r="1378">
      <c r="A1378" s="1" t="s">
        <v>5316</v>
      </c>
      <c r="B1378" s="1" t="s">
        <v>5317</v>
      </c>
      <c r="C1378" s="1" t="s">
        <v>4299</v>
      </c>
      <c r="D1378" s="1" t="str">
        <f t="shared" si="2"/>
        <v>Home&amp;Kitchen</v>
      </c>
      <c r="E1378" s="1" t="str">
        <f t="shared" si="3"/>
        <v>Kitchen&amp;HomeAppliances</v>
      </c>
      <c r="F1378" s="2">
        <v>215.0</v>
      </c>
      <c r="G1378" s="2">
        <v>1499.0</v>
      </c>
      <c r="H1378" s="3">
        <f t="shared" si="4"/>
        <v>0.8565710474</v>
      </c>
      <c r="I1378" s="4">
        <f>IFERROR(__xludf.DUMMYFUNCTION("GOOGLEFINANCE(""CURRENCY:INRBRL"")*F1378"),12.830839401999999)</f>
        <v>12.8308394</v>
      </c>
      <c r="J1378" s="1">
        <v>4.52</v>
      </c>
      <c r="K1378" s="1">
        <v>1004.0</v>
      </c>
      <c r="L1378" s="1" t="s">
        <v>5318</v>
      </c>
      <c r="M1378" s="6" t="s">
        <v>5319</v>
      </c>
      <c r="N1378" s="7" t="str">
        <f>VLOOKUP(A1378, avaliacoes!A:G, 5, FALSE)</f>
        <v>RO filter candle,Good product and fit perfectly,Thermacol product,Excellent product,Quality is good, I always buy this,Not suitable for Pureit Advance,Good,Nice</v>
      </c>
      <c r="O1378" s="7" t="str">
        <f>VLOOKUP(A1378, avaliacoes!A:G, 6, FALSE)</f>
        <v>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v>
      </c>
    </row>
    <row r="1379">
      <c r="A1379" s="1" t="s">
        <v>5320</v>
      </c>
      <c r="B1379" s="1" t="s">
        <v>5321</v>
      </c>
      <c r="C1379" s="1" t="s">
        <v>3909</v>
      </c>
      <c r="D1379" s="1" t="str">
        <f t="shared" si="2"/>
        <v>Home&amp;Kitchen</v>
      </c>
      <c r="E1379" s="1" t="str">
        <f t="shared" si="3"/>
        <v>Kitchen&amp;HomeAppliances</v>
      </c>
      <c r="F1379" s="2">
        <v>889.0</v>
      </c>
      <c r="G1379" s="2">
        <v>1295.0</v>
      </c>
      <c r="H1379" s="3">
        <f t="shared" si="4"/>
        <v>0.3135135135</v>
      </c>
      <c r="I1379" s="4">
        <f>IFERROR(__xludf.DUMMYFUNCTION("GOOGLEFINANCE(""CURRENCY:INRBRL"")*F1379"),53.0540289692)</f>
        <v>53.05402897</v>
      </c>
      <c r="J1379" s="1">
        <v>4.5</v>
      </c>
      <c r="K1379" s="1">
        <v>64.0</v>
      </c>
      <c r="L1379" s="1" t="s">
        <v>5322</v>
      </c>
      <c r="M1379" s="6" t="s">
        <v>5323</v>
      </c>
      <c r="N1379" s="7" t="str">
        <f>VLOOKUP(A1379, avaliacoes!A:G, 5, FALSE)</f>
        <v>Nice product,Nice iron,Wonderful product,Best product 👍,Good electric iron,As expected,Acch iron hai ap order kar sakte hai,GOOD</v>
      </c>
      <c r="O1379" s="7" t="str">
        <f>VLOOKUP(A1379, avaliacoes!A:G, 6, FALSE)</f>
        <v>Nice,Good iron, performance, look and shape is very good,I like this product,Yes,Working well now.,Nice product,Acch hai,GOOD</v>
      </c>
    </row>
    <row r="1380">
      <c r="A1380" s="1" t="s">
        <v>5324</v>
      </c>
      <c r="B1380" s="1" t="s">
        <v>5325</v>
      </c>
      <c r="C1380" s="1" t="s">
        <v>3919</v>
      </c>
      <c r="D1380" s="1" t="str">
        <f t="shared" si="2"/>
        <v>Home&amp;Kitchen</v>
      </c>
      <c r="E1380" s="1" t="str">
        <f t="shared" si="3"/>
        <v>Heating,Cooling&amp;AirQuality</v>
      </c>
      <c r="F1380" s="2">
        <v>1449.0</v>
      </c>
      <c r="G1380" s="2">
        <v>4999.0</v>
      </c>
      <c r="H1380" s="3">
        <f t="shared" si="4"/>
        <v>0.7101420284</v>
      </c>
      <c r="I1380" s="4">
        <f>IFERROR(__xludf.DUMMYFUNCTION("GOOGLEFINANCE(""CURRENCY:INRBRL"")*F1380"),86.4738897372)</f>
        <v>86.47388974</v>
      </c>
      <c r="J1380" s="1">
        <v>4.51</v>
      </c>
      <c r="K1380" s="1">
        <v>63.0</v>
      </c>
      <c r="L1380" s="1" t="s">
        <v>5326</v>
      </c>
      <c r="M1380" s="6" t="s">
        <v>5327</v>
      </c>
      <c r="N1380" s="7" t="str">
        <f>VLOOKUP(A1380, avaliacoes!A:G, 5, FALSE)</f>
        <v>ok product,It's a good product.,Simply awsome,Nice tap hot water,It is good for short time use. Needs continuous of temp and water flow to keep it under control.,Easy to install. Highly recommended,Excellent quality,Very frauding</v>
      </c>
      <c r="O1380" s="7" t="str">
        <f>VLOOKUP(A1380, avaliacoes!A:G, 6, FALSE)</f>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v>
      </c>
    </row>
    <row r="1381">
      <c r="A1381" s="1" t="s">
        <v>5328</v>
      </c>
      <c r="B1381" s="1" t="s">
        <v>5329</v>
      </c>
      <c r="C1381" s="1" t="s">
        <v>3919</v>
      </c>
      <c r="D1381" s="1" t="str">
        <f t="shared" si="2"/>
        <v>Home&amp;Kitchen</v>
      </c>
      <c r="E1381" s="1" t="str">
        <f t="shared" si="3"/>
        <v>Heating,Cooling&amp;AirQuality</v>
      </c>
      <c r="F1381" s="2">
        <v>1189.0</v>
      </c>
      <c r="G1381" s="2">
        <v>2549.0</v>
      </c>
      <c r="H1381" s="3">
        <f t="shared" si="4"/>
        <v>0.5335425657</v>
      </c>
      <c r="I1381" s="4">
        <f>IFERROR(__xludf.DUMMYFUNCTION("GOOGLEFINANCE(""CURRENCY:INRBRL"")*F1381"),70.95752580919999)</f>
        <v>70.95752581</v>
      </c>
      <c r="J1381" s="1">
        <v>4.51</v>
      </c>
      <c r="K1381" s="1">
        <v>1181.0</v>
      </c>
      <c r="L1381" s="1" t="s">
        <v>5330</v>
      </c>
      <c r="M1381" s="6" t="s">
        <v>5331</v>
      </c>
      <c r="N1381" s="7" t="str">
        <f>VLOOKUP(A1381, avaliacoes!A:G, 5, FALSE)</f>
        <v>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v>
      </c>
      <c r="O1381" s="7" t="str">
        <f>VLOOKUP(A1381, avaliacoes!A:G, 6, FALSE)</f>
        <v>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v>
      </c>
    </row>
    <row r="1382">
      <c r="A1382" s="1" t="s">
        <v>5332</v>
      </c>
      <c r="B1382" s="1" t="s">
        <v>5333</v>
      </c>
      <c r="C1382" s="1" t="s">
        <v>4488</v>
      </c>
      <c r="D1382" s="1" t="str">
        <f t="shared" si="2"/>
        <v>Home&amp;Kitchen</v>
      </c>
      <c r="E1382" s="1" t="str">
        <f t="shared" si="3"/>
        <v>Kitchen&amp;HomeAppliances</v>
      </c>
      <c r="F1382" s="2">
        <v>1799.0</v>
      </c>
      <c r="G1382" s="2">
        <v>1949.0</v>
      </c>
      <c r="H1382" s="3">
        <f t="shared" si="4"/>
        <v>0.07696254489</v>
      </c>
      <c r="I1382" s="4">
        <f>IFERROR(__xludf.DUMMYFUNCTION("GOOGLEFINANCE(""CURRENCY:INRBRL"")*F1382"),107.36130271719999)</f>
        <v>107.3613027</v>
      </c>
      <c r="J1382" s="1">
        <v>4.52</v>
      </c>
      <c r="K1382" s="1">
        <v>1888.0</v>
      </c>
      <c r="L1382" s="1" t="s">
        <v>5334</v>
      </c>
      <c r="M1382" s="6" t="s">
        <v>5335</v>
      </c>
      <c r="N1382" s="7" t="str">
        <f>VLOOKUP(A1382, avaliacoes!A:G, 5, FALSE)</f>
        <v>Excellent product timely delivered,It's good,Sleek useful but after some time filling water takes time,Good product,PH not certain,Awesome,Excercise Caution before buying,Almost ok</v>
      </c>
      <c r="O1382" s="7" t="str">
        <f>VLOOKUP(A1382, avaliacoes!A:G, 6, FALSE)</f>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v>
      </c>
    </row>
    <row r="1383">
      <c r="A1383" s="1" t="s">
        <v>5336</v>
      </c>
      <c r="B1383" s="1" t="s">
        <v>5337</v>
      </c>
      <c r="C1383" s="1" t="s">
        <v>3914</v>
      </c>
      <c r="D1383" s="1" t="str">
        <f t="shared" si="2"/>
        <v>Home&amp;Kitchen</v>
      </c>
      <c r="E1383" s="1" t="str">
        <f t="shared" si="3"/>
        <v>Kitchen&amp;HomeAppliances</v>
      </c>
      <c r="F1383" s="2">
        <v>6119.0</v>
      </c>
      <c r="G1383" s="2">
        <v>8478.0</v>
      </c>
      <c r="H1383" s="3">
        <f t="shared" si="4"/>
        <v>0.2782495872</v>
      </c>
      <c r="I1383" s="4">
        <f>IFERROR(__xludf.DUMMYFUNCTION("GOOGLEFINANCE(""CURRENCY:INRBRL"")*F1383"),365.1716572132)</f>
        <v>365.1716572</v>
      </c>
      <c r="J1383" s="1">
        <v>4.51</v>
      </c>
      <c r="K1383" s="1">
        <v>655.0</v>
      </c>
      <c r="L1383" s="1" t="s">
        <v>5338</v>
      </c>
      <c r="M1383" s="6" t="s">
        <v>5339</v>
      </c>
      <c r="N1383" s="7" t="str">
        <f>VLOOKUP(A1383, avaliacoes!A:G, 5, FALSE)</f>
        <v>Best mixer,Best value for money,सबसे जरूरी बात ये है के इसमे सब पिस्ता है चाहे पत्थर भी दाल दो।😂। https://youtu.be/WBPca3j306k,Noice is high compared to others,Five star product,BEST MIXI,Best in the market best in segment,Good but not best</v>
      </c>
      <c r="O1383" s="7" t="str">
        <f>VLOOKUP(A1383, avaliacoes!A:G, 6, FALSE)</f>
        <v>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v>
      </c>
    </row>
    <row r="1384">
      <c r="A1384" s="1" t="s">
        <v>5340</v>
      </c>
      <c r="B1384" s="1" t="s">
        <v>5341</v>
      </c>
      <c r="C1384" s="1" t="s">
        <v>3914</v>
      </c>
      <c r="D1384" s="1" t="str">
        <f t="shared" si="2"/>
        <v>Home&amp;Kitchen</v>
      </c>
      <c r="E1384" s="1" t="str">
        <f t="shared" si="3"/>
        <v>Kitchen&amp;HomeAppliances</v>
      </c>
      <c r="F1384" s="2">
        <v>1799.0</v>
      </c>
      <c r="G1384" s="2">
        <v>3299.0</v>
      </c>
      <c r="H1384" s="3">
        <f t="shared" si="4"/>
        <v>0.4546832373</v>
      </c>
      <c r="I1384" s="4">
        <f>IFERROR(__xludf.DUMMYFUNCTION("GOOGLEFINANCE(""CURRENCY:INRBRL"")*F1384"),107.36130271719999)</f>
        <v>107.3613027</v>
      </c>
      <c r="J1384" s="1">
        <v>4.51</v>
      </c>
      <c r="K1384" s="1">
        <v>1846.0</v>
      </c>
      <c r="L1384" s="1" t="s">
        <v>5342</v>
      </c>
      <c r="M1384" s="6" t="s">
        <v>5343</v>
      </c>
      <c r="N1384" s="7" t="str">
        <f>VLOOKUP(A1384, avaliacoes!A:G, 5, FALSE)</f>
        <v>Good product 👍,Value for money,Does the job which is intended from it,Nice product..,कीमत के अनुसार अच्छा उत्पाद है।,Not satisfied as expected. 😔,Awsme product,Good in this price</v>
      </c>
      <c r="O1384" s="7" t="str">
        <f>VLOOKUP(A1384, avaliacoes!A:G, 6, FALSE)</f>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v>
      </c>
    </row>
    <row r="1385">
      <c r="A1385" s="1" t="s">
        <v>5344</v>
      </c>
      <c r="B1385" s="1" t="s">
        <v>5345</v>
      </c>
      <c r="C1385" s="1" t="s">
        <v>3914</v>
      </c>
      <c r="D1385" s="1" t="str">
        <f t="shared" si="2"/>
        <v>Home&amp;Kitchen</v>
      </c>
      <c r="E1385" s="1" t="str">
        <f t="shared" si="3"/>
        <v>Kitchen&amp;HomeAppliances</v>
      </c>
      <c r="F1385" s="2">
        <v>2199.0</v>
      </c>
      <c r="G1385" s="2">
        <v>3895.0</v>
      </c>
      <c r="H1385" s="3">
        <f t="shared" si="4"/>
        <v>0.4354300385</v>
      </c>
      <c r="I1385" s="4">
        <f>IFERROR(__xludf.DUMMYFUNCTION("GOOGLEFINANCE(""CURRENCY:INRBRL"")*F1385"),131.2326318372)</f>
        <v>131.2326318</v>
      </c>
      <c r="J1385" s="1">
        <v>4.52</v>
      </c>
      <c r="K1385" s="1">
        <v>1085.0</v>
      </c>
      <c r="L1385" s="1" t="s">
        <v>5346</v>
      </c>
      <c r="M1385" s="6" t="s">
        <v>5347</v>
      </c>
      <c r="N1385" s="7" t="str">
        <f>VLOOKUP(A1385, avaliacoes!A:G, 5, FALSE)</f>
        <v>Good product, Value of money,Basic and Good,Good product for the price range,Best for family of 3,Value for money,Nice,Best,Nice</v>
      </c>
      <c r="O1385" s="7" t="str">
        <f>VLOOKUP(A1385, avaliacoes!A:G, 6, FALSE)</f>
        <v>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v>
      </c>
    </row>
    <row r="1386">
      <c r="A1386" s="1" t="s">
        <v>5348</v>
      </c>
      <c r="B1386" s="1" t="s">
        <v>5349</v>
      </c>
      <c r="C1386" s="1" t="s">
        <v>4325</v>
      </c>
      <c r="D1386" s="1" t="str">
        <f t="shared" si="2"/>
        <v>Home&amp;Kitchen</v>
      </c>
      <c r="E1386" s="1" t="str">
        <f t="shared" si="3"/>
        <v>Kitchen&amp;HomeAppliances</v>
      </c>
      <c r="F1386" s="2">
        <v>3685.0</v>
      </c>
      <c r="G1386" s="2">
        <v>5495.0</v>
      </c>
      <c r="H1386" s="3">
        <f t="shared" si="4"/>
        <v>0.3293903549</v>
      </c>
      <c r="I1386" s="4">
        <f>IFERROR(__xludf.DUMMYFUNCTION("GOOGLEFINANCE(""CURRENCY:INRBRL"")*F1386"),219.914619518)</f>
        <v>219.9146195</v>
      </c>
      <c r="J1386" s="1">
        <v>4.49</v>
      </c>
      <c r="K1386" s="1">
        <v>290.0</v>
      </c>
      <c r="L1386" s="1" t="s">
        <v>5350</v>
      </c>
      <c r="M1386" s="6" t="s">
        <v>5351</v>
      </c>
      <c r="N1386" s="7" t="str">
        <f>VLOOKUP(A1386, avaliacoes!A:G, 5, FALSE)</f>
        <v>It is a great product can be used to make dishes and curry too.,Nice and satisfied.,Good Product. Easy to use. Worth buying.,It works well.,Nice product,Its a beautiful product but very small.,Impressive product,Stylish</v>
      </c>
      <c r="O1386" s="7" t="str">
        <f>VLOOKUP(A1386, avaliacoes!A:G, 6, FALSE)</f>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v>
      </c>
    </row>
    <row r="1387">
      <c r="A1387" s="1" t="s">
        <v>5352</v>
      </c>
      <c r="B1387" s="1" t="s">
        <v>5353</v>
      </c>
      <c r="C1387" s="1" t="s">
        <v>4011</v>
      </c>
      <c r="D1387" s="1" t="str">
        <f t="shared" si="2"/>
        <v>Home&amp;Kitchen</v>
      </c>
      <c r="E1387" s="1" t="str">
        <f t="shared" si="3"/>
        <v>Kitchen&amp;HomeAppliances</v>
      </c>
      <c r="F1387" s="2">
        <v>649.0</v>
      </c>
      <c r="G1387" s="2">
        <v>999.0</v>
      </c>
      <c r="H1387" s="3">
        <f t="shared" si="4"/>
        <v>0.3503503504</v>
      </c>
      <c r="I1387" s="4">
        <f>IFERROR(__xludf.DUMMYFUNCTION("GOOGLEFINANCE(""CURRENCY:INRBRL"")*F1387"),38.7312314972)</f>
        <v>38.7312315</v>
      </c>
      <c r="J1387" s="1">
        <v>4.51</v>
      </c>
      <c r="K1387" s="1">
        <v>4.0</v>
      </c>
      <c r="L1387" s="1" t="s">
        <v>5354</v>
      </c>
      <c r="M1387" s="6" t="s">
        <v>5355</v>
      </c>
      <c r="N1387" s="7" t="str">
        <f>VLOOKUP(A1387, avaliacoes!A:G, 5, FALSE)</f>
        <v>As smooth as it can and as fast as possible,Wrost product</v>
      </c>
      <c r="O1387" s="7" t="str">
        <f>VLOOKUP(A1387, avaliacoes!A:G, 6, FALSE)</f>
        <v>Tried for two days good experience and great product with excellent quality with fast and powerful blades,Please don't buy this product as it is not all useful it got broken while washing totally money wastage please don't buy</v>
      </c>
    </row>
    <row r="1388">
      <c r="A1388" s="1" t="s">
        <v>5356</v>
      </c>
      <c r="B1388" s="1" t="s">
        <v>5357</v>
      </c>
      <c r="C1388" s="1" t="s">
        <v>4622</v>
      </c>
      <c r="D1388" s="1" t="str">
        <f t="shared" si="2"/>
        <v>Home&amp;Kitchen</v>
      </c>
      <c r="E1388" s="1" t="str">
        <f t="shared" si="3"/>
        <v>Kitchen&amp;HomeAppliances</v>
      </c>
      <c r="F1388" s="2">
        <v>8599.0</v>
      </c>
      <c r="G1388" s="2">
        <v>8995.0</v>
      </c>
      <c r="H1388" s="3">
        <f t="shared" si="4"/>
        <v>0.04402445803</v>
      </c>
      <c r="I1388" s="4">
        <f>IFERROR(__xludf.DUMMYFUNCTION("GOOGLEFINANCE(""CURRENCY:INRBRL"")*F1388"),513.1738977571999)</f>
        <v>513.1738978</v>
      </c>
      <c r="J1388" s="1">
        <v>4.5</v>
      </c>
      <c r="K1388" s="1">
        <v>9734.0</v>
      </c>
      <c r="L1388" s="1" t="s">
        <v>5358</v>
      </c>
      <c r="M1388" s="6" t="s">
        <v>5359</v>
      </c>
      <c r="N1388" s="7" t="str">
        <f>VLOOKUP(A1388, avaliacoes!A:G, 5, FALSE)</f>
        <v>Love it,Very good product quality,Awesome product,Phillips OTG,it has the maximum temperature of 230 last .,Looks Good, Easy and smart working,Good product,Good quality</v>
      </c>
      <c r="O1388" s="7" t="str">
        <f>VLOOKUP(A1388, avaliacoes!A:G, 6, FALSE)</f>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v>
      </c>
    </row>
    <row r="1389">
      <c r="A1389" s="1" t="s">
        <v>5360</v>
      </c>
      <c r="B1389" s="1" t="s">
        <v>5361</v>
      </c>
      <c r="C1389" s="1" t="s">
        <v>3909</v>
      </c>
      <c r="D1389" s="1" t="str">
        <f t="shared" si="2"/>
        <v>Home&amp;Kitchen</v>
      </c>
      <c r="E1389" s="1" t="str">
        <f t="shared" si="3"/>
        <v>Kitchen&amp;HomeAppliances</v>
      </c>
      <c r="F1389" s="2">
        <v>1109.0</v>
      </c>
      <c r="G1389" s="2">
        <v>1599.0</v>
      </c>
      <c r="H1389" s="3">
        <f t="shared" si="4"/>
        <v>0.306441526</v>
      </c>
      <c r="I1389" s="4">
        <f>IFERROR(__xludf.DUMMYFUNCTION("GOOGLEFINANCE(""CURRENCY:INRBRL"")*F1389"),66.1832599852)</f>
        <v>66.18325999</v>
      </c>
      <c r="J1389" s="1">
        <v>4.5</v>
      </c>
      <c r="K1389" s="1">
        <v>4022.0</v>
      </c>
      <c r="L1389" s="1" t="s">
        <v>5362</v>
      </c>
      <c r="M1389" s="6" t="s">
        <v>5363</v>
      </c>
      <c r="N1389" s="7" t="str">
        <f>VLOOKUP(A1389, avaliacoes!A:G, 5, FALSE)</f>
        <v>It doesn't heat up,Value fir money,Ok,satisfied,Nice pic,Best iron so far,look,Ironbox stopped working after 4 months  of purchase</v>
      </c>
      <c r="O1389" s="7" t="str">
        <f>VLOOKUP(A1389, avaliacoes!A:G, 6, FALSE)</f>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v>
      </c>
    </row>
    <row r="1390">
      <c r="A1390" s="1" t="s">
        <v>5364</v>
      </c>
      <c r="B1390" s="1" t="s">
        <v>5365</v>
      </c>
      <c r="C1390" s="1" t="s">
        <v>3919</v>
      </c>
      <c r="D1390" s="1" t="str">
        <f t="shared" si="2"/>
        <v>Home&amp;Kitchen</v>
      </c>
      <c r="E1390" s="1" t="str">
        <f t="shared" si="3"/>
        <v>Heating,Cooling&amp;AirQuality</v>
      </c>
      <c r="F1390" s="2">
        <v>1499.0</v>
      </c>
      <c r="G1390" s="2">
        <v>3499.0</v>
      </c>
      <c r="H1390" s="3">
        <f t="shared" si="4"/>
        <v>0.5715918834</v>
      </c>
      <c r="I1390" s="4">
        <f>IFERROR(__xludf.DUMMYFUNCTION("GOOGLEFINANCE(""CURRENCY:INRBRL"")*F1390"),89.45780587719999)</f>
        <v>89.45780588</v>
      </c>
      <c r="J1390" s="1">
        <v>4.51</v>
      </c>
      <c r="K1390" s="1">
        <v>2591.0</v>
      </c>
      <c r="L1390" s="1" t="s">
        <v>5366</v>
      </c>
      <c r="M1390" s="6" t="s">
        <v>5367</v>
      </c>
      <c r="N1390" s="7" t="str">
        <f>VLOOKUP(A1390, avaliacoes!A:G, 5, FALSE)</f>
        <v>Felt very useful 👌 but cable is short,Good in portable series of Geyser,Awesome product,Good quality,Product okay but no bill receive,Wrong Reviews uploaded for this product.,Good Product</v>
      </c>
      <c r="O1390" s="7" t="str">
        <f>VLOOKUP(A1390, avaliacoes!A:G, 6, FALSE)</f>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v>
      </c>
    </row>
    <row r="1391">
      <c r="A1391" s="1" t="s">
        <v>5368</v>
      </c>
      <c r="B1391" s="1" t="s">
        <v>5369</v>
      </c>
      <c r="C1391" s="1" t="s">
        <v>3861</v>
      </c>
      <c r="D1391" s="1" t="str">
        <f t="shared" si="2"/>
        <v>Home&amp;Kitchen</v>
      </c>
      <c r="E1391" s="1" t="str">
        <f t="shared" si="3"/>
        <v>Kitchen&amp;HomeAppliances</v>
      </c>
      <c r="F1391" s="2">
        <v>759.0</v>
      </c>
      <c r="G1391" s="2">
        <v>1999.0</v>
      </c>
      <c r="H1391" s="3">
        <f t="shared" si="4"/>
        <v>0.6203101551</v>
      </c>
      <c r="I1391" s="4">
        <f>IFERROR(__xludf.DUMMYFUNCTION("GOOGLEFINANCE(""CURRENCY:INRBRL"")*F1391"),45.295847005199995)</f>
        <v>45.29584701</v>
      </c>
      <c r="J1391" s="1">
        <v>4.5</v>
      </c>
      <c r="K1391" s="1">
        <v>532.0</v>
      </c>
      <c r="L1391" s="1" t="s">
        <v>5370</v>
      </c>
      <c r="M1391" s="6" t="s">
        <v>5371</v>
      </c>
      <c r="N1391" s="7" t="str">
        <f>VLOOKUP(A1391, avaliacoes!A:G, 5, FALSE)</f>
        <v>Weight without the wait,Good,Good Product,Nice cute scale,Best weight machine,Must have for every kitchen,Value for money,Digital Luggage Scale with Target Value Setting</v>
      </c>
      <c r="O1391" s="7" t="str">
        <f>VLOOKUP(A1391, avaliacoes!A:G, 6, FALSE)</f>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v>
      </c>
    </row>
    <row r="1392">
      <c r="A1392" s="1" t="s">
        <v>5372</v>
      </c>
      <c r="B1392" s="1" t="s">
        <v>5373</v>
      </c>
      <c r="C1392" s="1" t="s">
        <v>4024</v>
      </c>
      <c r="D1392" s="1" t="str">
        <f t="shared" si="2"/>
        <v>Home&amp;Kitchen</v>
      </c>
      <c r="E1392" s="1" t="str">
        <f t="shared" si="3"/>
        <v>Kitchen&amp;HomeAppliances</v>
      </c>
      <c r="F1392" s="2">
        <v>2669.0</v>
      </c>
      <c r="G1392" s="2">
        <v>3199.0</v>
      </c>
      <c r="H1392" s="3">
        <f t="shared" si="4"/>
        <v>0.165676774</v>
      </c>
      <c r="I1392" s="4">
        <f>IFERROR(__xludf.DUMMYFUNCTION("GOOGLEFINANCE(""CURRENCY:INRBRL"")*F1392"),159.28144355319998)</f>
        <v>159.2814436</v>
      </c>
      <c r="J1392" s="1">
        <v>4.52</v>
      </c>
      <c r="K1392" s="1">
        <v>260.0</v>
      </c>
      <c r="L1392" s="1" t="s">
        <v>5374</v>
      </c>
      <c r="M1392" s="6" t="s">
        <v>5375</v>
      </c>
      <c r="N1392" s="7" t="str">
        <f>VLOOKUP(A1392, avaliacoes!A:G, 5, FALSE)</f>
        <v>Value for money,Good mini handheld vacuum, I use it to clean my electronics,Best in market,Quite handy and efficient,Small and powerful,Nice product,Blower leaks air,Really good portable vacuum cleaner</v>
      </c>
      <c r="O1392" s="7" t="str">
        <f>VLOOKUP(A1392, avaliacoes!A:G, 6, FALSE)</f>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v>
      </c>
    </row>
    <row r="1393">
      <c r="A1393" s="1" t="s">
        <v>5376</v>
      </c>
      <c r="B1393" s="1" t="s">
        <v>5377</v>
      </c>
      <c r="C1393" s="1" t="s">
        <v>4062</v>
      </c>
      <c r="D1393" s="1" t="str">
        <f t="shared" si="2"/>
        <v>Home&amp;Kitchen</v>
      </c>
      <c r="E1393" s="1" t="str">
        <f t="shared" si="3"/>
        <v>Kitchen&amp;HomeAppliances</v>
      </c>
      <c r="F1393" s="2">
        <v>929.0</v>
      </c>
      <c r="G1393" s="2">
        <v>1299.0</v>
      </c>
      <c r="H1393" s="3">
        <f t="shared" si="4"/>
        <v>0.2848344881</v>
      </c>
      <c r="I1393" s="4">
        <f>IFERROR(__xludf.DUMMYFUNCTION("GOOGLEFINANCE(""CURRENCY:INRBRL"")*F1393"),55.441161881199996)</f>
        <v>55.44116188</v>
      </c>
      <c r="J1393" s="1">
        <v>4.52</v>
      </c>
      <c r="K1393" s="1">
        <v>1672.0</v>
      </c>
      <c r="L1393" s="1" t="s">
        <v>5378</v>
      </c>
      <c r="M1393" s="6" t="s">
        <v>5379</v>
      </c>
      <c r="N1393" s="7" t="str">
        <f>VLOOKUP(A1393, avaliacoes!A:G, 5, FALSE)</f>
        <v>Budget friendly best product in class,Good product,Quality,Lifelong Grill Sandwich maker,We can make anything sandwich to grill.,A very good product, go for it,Comact nice design,the facility of big sandwich maker in small size.</v>
      </c>
      <c r="O1393" s="7" t="str">
        <f>VLOOKUP(A1393, avaliacoes!A:G, 6, FALSE)</f>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v>
      </c>
    </row>
    <row r="1394">
      <c r="A1394" s="1" t="s">
        <v>5380</v>
      </c>
      <c r="B1394" s="1" t="s">
        <v>5381</v>
      </c>
      <c r="C1394" s="1" t="s">
        <v>3989</v>
      </c>
      <c r="D1394" s="1" t="str">
        <f t="shared" si="2"/>
        <v>Home&amp;Kitchen</v>
      </c>
      <c r="E1394" s="1" t="str">
        <f t="shared" si="3"/>
        <v>HomeStorage&amp;Organization</v>
      </c>
      <c r="F1394" s="2">
        <v>199.0</v>
      </c>
      <c r="G1394" s="2">
        <v>399.0</v>
      </c>
      <c r="H1394" s="3">
        <f t="shared" si="4"/>
        <v>0.5012531328</v>
      </c>
      <c r="I1394" s="4">
        <f>IFERROR(__xludf.DUMMYFUNCTION("GOOGLEFINANCE(""CURRENCY:INRBRL"")*F1394"),11.8759862372)</f>
        <v>11.87598624</v>
      </c>
      <c r="J1394" s="1">
        <v>4.51</v>
      </c>
      <c r="K1394" s="1">
        <v>7945.0</v>
      </c>
      <c r="L1394" s="1" t="s">
        <v>5382</v>
      </c>
      <c r="M1394" s="6" t="s">
        <v>5383</v>
      </c>
      <c r="N1394" s="7" t="str">
        <f>VLOOKUP(A1394, avaliacoes!A:G, 5, FALSE)</f>
        <v>Unsatisfied,Too small for home use.,Nic,Nice item,.,Good,Material is not good.,Overall product is good, but one of it is damaged</v>
      </c>
      <c r="O1394" s="7" t="str">
        <f>VLOOKUP(A1394, avaliacoes!A:G, 6, FALSE)</f>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v>
      </c>
    </row>
    <row r="1395">
      <c r="A1395" s="1" t="s">
        <v>5384</v>
      </c>
      <c r="B1395" s="1" t="s">
        <v>5385</v>
      </c>
      <c r="C1395" s="1" t="s">
        <v>3856</v>
      </c>
      <c r="D1395" s="1" t="str">
        <f t="shared" si="2"/>
        <v>Home&amp;Kitchen</v>
      </c>
      <c r="E1395" s="1" t="str">
        <f t="shared" si="3"/>
        <v>Kitchen&amp;HomeAppliances</v>
      </c>
      <c r="F1395" s="2">
        <v>279.0</v>
      </c>
      <c r="G1395" s="2">
        <v>599.0</v>
      </c>
      <c r="H1395" s="3">
        <f t="shared" si="4"/>
        <v>0.5342237062</v>
      </c>
      <c r="I1395" s="4">
        <f>IFERROR(__xludf.DUMMYFUNCTION("GOOGLEFINANCE(""CURRENCY:INRBRL"")*F1395"),16.6502520612)</f>
        <v>16.65025206</v>
      </c>
      <c r="J1395" s="1">
        <v>4.5</v>
      </c>
      <c r="K1395" s="1">
        <v>1367.0</v>
      </c>
      <c r="L1395" s="1" t="s">
        <v>5386</v>
      </c>
      <c r="M1395" s="6" t="s">
        <v>5387</v>
      </c>
      <c r="N1395" s="7" t="str">
        <f>VLOOKUP(A1395, avaliacoes!A:G, 5, FALSE)</f>
        <v>This is a good product,Not upto the expectation,Not recommended for buying.,Very delicate product,Worth a buy,Good product,Just fine buy,Good stickiness but bad handle</v>
      </c>
      <c r="O1395" s="7" t="str">
        <f>VLOOKUP(A1395, avaliacoes!A:G, 6, FALSE)</f>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v>
      </c>
    </row>
    <row r="1396">
      <c r="A1396" s="1" t="s">
        <v>5388</v>
      </c>
      <c r="B1396" s="1" t="s">
        <v>5389</v>
      </c>
      <c r="C1396" s="1" t="s">
        <v>3904</v>
      </c>
      <c r="D1396" s="1" t="str">
        <f t="shared" si="2"/>
        <v>Home&amp;Kitchen</v>
      </c>
      <c r="E1396" s="1" t="str">
        <f t="shared" si="3"/>
        <v>Kitchen&amp;HomeAppliances</v>
      </c>
      <c r="F1396" s="2">
        <v>549.0</v>
      </c>
      <c r="G1396" s="2">
        <v>999.0</v>
      </c>
      <c r="H1396" s="3">
        <f t="shared" si="4"/>
        <v>0.4504504505</v>
      </c>
      <c r="I1396" s="4">
        <f>IFERROR(__xludf.DUMMYFUNCTION("GOOGLEFINANCE(""CURRENCY:INRBRL"")*F1396"),32.763399217199996)</f>
        <v>32.76339922</v>
      </c>
      <c r="J1396" s="1">
        <v>4.0</v>
      </c>
      <c r="K1396" s="1">
        <v>1313.0</v>
      </c>
      <c r="L1396" s="1" t="s">
        <v>5390</v>
      </c>
      <c r="M1396" s="6" t="s">
        <v>5391</v>
      </c>
      <c r="N1396" s="7" t="str">
        <f>VLOOKUP(A1396, avaliacoes!A:G, 5, FALSE)</f>
        <v>बढिया है।वजन कम होने की वजह से जादा देर तक चला सकते है।,Nice product and easy to use,Heating issues,Bakwas,Nice,Good product,Good product,Good product</v>
      </c>
      <c r="O1396" s="7" t="str">
        <f>VLOOKUP(A1396, avaliacoes!A:G, 6, FALSE)</f>
        <v>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v>
      </c>
    </row>
    <row r="1397">
      <c r="A1397" s="1" t="s">
        <v>5392</v>
      </c>
      <c r="B1397" s="1" t="s">
        <v>5393</v>
      </c>
      <c r="C1397" s="1" t="s">
        <v>4583</v>
      </c>
      <c r="D1397" s="1" t="str">
        <f t="shared" si="2"/>
        <v>Home&amp;Kitchen</v>
      </c>
      <c r="E1397" s="1" t="str">
        <f t="shared" si="3"/>
        <v>HomeStorage&amp;Organization</v>
      </c>
      <c r="F1397" s="2">
        <v>85.0</v>
      </c>
      <c r="G1397" s="2">
        <v>199.0</v>
      </c>
      <c r="H1397" s="3">
        <f t="shared" si="4"/>
        <v>0.5728643216</v>
      </c>
      <c r="I1397" s="4">
        <f>IFERROR(__xludf.DUMMYFUNCTION("GOOGLEFINANCE(""CURRENCY:INRBRL"")*F1397"),5.072657437999999)</f>
        <v>5.072657438</v>
      </c>
      <c r="J1397" s="1">
        <v>4.49</v>
      </c>
      <c r="K1397" s="1">
        <v>212.0</v>
      </c>
      <c r="L1397" s="1" t="s">
        <v>5394</v>
      </c>
      <c r="M1397" s="6" t="s">
        <v>5395</v>
      </c>
      <c r="N1397" s="7" t="str">
        <f>VLOOKUP(A1397, avaliacoes!A:G, 5, FALSE)</f>
        <v>Not satisfied,Nice,Low quality,Amazing product,Best in its category,Very good sprayer,Good,Not sturdy</v>
      </c>
      <c r="O1397" s="7" t="str">
        <f>VLOOKUP(A1397, avaliacoes!A:G, 6, FALSE)</f>
        <v>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v>
      </c>
    </row>
    <row r="1398">
      <c r="A1398" s="1" t="s">
        <v>5396</v>
      </c>
      <c r="B1398" s="1" t="s">
        <v>5397</v>
      </c>
      <c r="C1398" s="1" t="s">
        <v>4011</v>
      </c>
      <c r="D1398" s="1" t="str">
        <f t="shared" si="2"/>
        <v>Home&amp;Kitchen</v>
      </c>
      <c r="E1398" s="1" t="str">
        <f t="shared" si="3"/>
        <v>Kitchen&amp;HomeAppliances</v>
      </c>
      <c r="F1398" s="2">
        <v>499.0</v>
      </c>
      <c r="G1398" s="2">
        <v>1299.0</v>
      </c>
      <c r="H1398" s="3">
        <f t="shared" si="4"/>
        <v>0.6158583526</v>
      </c>
      <c r="I1398" s="4">
        <f>IFERROR(__xludf.DUMMYFUNCTION("GOOGLEFINANCE(""CURRENCY:INRBRL"")*F1398"),29.7794830772)</f>
        <v>29.77948308</v>
      </c>
      <c r="J1398" s="1">
        <v>4.52</v>
      </c>
      <c r="K1398" s="1">
        <v>65.0</v>
      </c>
      <c r="L1398" s="1" t="s">
        <v>5398</v>
      </c>
      <c r="M1398" s="6" t="s">
        <v>5399</v>
      </c>
      <c r="N1398" s="7" t="str">
        <f>VLOOKUP(A1398, avaliacoes!A:G, 5, FALSE)</f>
        <v>Nice product as expected...,Very good quality 😊 love it,Its leaking product as small gap,Product is so amazing,The colour was dull.,Pretty good.,User friendly,I buy a product but in using of twice the product is not working iam totally unsatisfied of this</v>
      </c>
      <c r="O1398" s="7" t="str">
        <f>VLOOKUP(A1398, avaliacoes!A:G, 6, FALSE)</f>
        <v>Easy to make milkshakes and diet smoothies..Useful.,Very good quality 😌,,This product is very helpfull amd backup is good,The mixer was split throughout the blender.,Easy to clean, portable, easy to carry and easy to use or traveling..,Good for travelling,</v>
      </c>
    </row>
    <row r="1399">
      <c r="A1399" s="1" t="s">
        <v>5400</v>
      </c>
      <c r="B1399" s="1" t="s">
        <v>5401</v>
      </c>
      <c r="C1399" s="1" t="s">
        <v>4011</v>
      </c>
      <c r="D1399" s="1" t="str">
        <f t="shared" si="2"/>
        <v>Home&amp;Kitchen</v>
      </c>
      <c r="E1399" s="1" t="str">
        <f t="shared" si="3"/>
        <v>Kitchen&amp;HomeAppliances</v>
      </c>
      <c r="F1399" s="2">
        <v>5865.0</v>
      </c>
      <c r="G1399" s="2">
        <v>7776.0</v>
      </c>
      <c r="H1399" s="3">
        <f t="shared" si="4"/>
        <v>0.2457561728</v>
      </c>
      <c r="I1399" s="4">
        <f>IFERROR(__xludf.DUMMYFUNCTION("GOOGLEFINANCE(""CURRENCY:INRBRL"")*F1399"),350.01336322199995)</f>
        <v>350.0133632</v>
      </c>
      <c r="J1399" s="1">
        <v>4.5</v>
      </c>
      <c r="K1399" s="1">
        <v>2737.0</v>
      </c>
      <c r="L1399" s="1" t="s">
        <v>5402</v>
      </c>
      <c r="M1399" s="6" t="s">
        <v>5403</v>
      </c>
      <c r="N1399" s="7" t="str">
        <f>VLOOKUP(A1399, avaliacoes!A:G, 5, FALSE)</f>
        <v>Good,Power and performance,Very useful and powerful juicer,Best quality,WORLD CLASS JUCER MIXER GRINDER,Industrial grade,A better product,Good Juicer</v>
      </c>
      <c r="O1399" s="7" t="str">
        <f>VLOOKUP(A1399, avaliacoes!A:G, 6, FALSE)</f>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v>
      </c>
    </row>
    <row r="1400">
      <c r="A1400" s="1" t="s">
        <v>5404</v>
      </c>
      <c r="B1400" s="1" t="s">
        <v>5405</v>
      </c>
      <c r="C1400" s="1" t="s">
        <v>3841</v>
      </c>
      <c r="D1400" s="1" t="str">
        <f t="shared" si="2"/>
        <v>Home&amp;Kitchen</v>
      </c>
      <c r="E1400" s="1" t="str">
        <f t="shared" si="3"/>
        <v>Kitchen&amp;HomeAppliances</v>
      </c>
      <c r="F1400" s="2">
        <v>1259.0</v>
      </c>
      <c r="G1400" s="2">
        <v>2299.0</v>
      </c>
      <c r="H1400" s="3">
        <f t="shared" si="4"/>
        <v>0.4523705959</v>
      </c>
      <c r="I1400" s="4">
        <f>IFERROR(__xludf.DUMMYFUNCTION("GOOGLEFINANCE(""CURRENCY:INRBRL"")*F1400"),75.1350084052)</f>
        <v>75.13500841</v>
      </c>
      <c r="J1400" s="1">
        <v>4.5</v>
      </c>
      <c r="K1400" s="1">
        <v>55.0</v>
      </c>
      <c r="L1400" s="1" t="s">
        <v>5406</v>
      </c>
      <c r="M1400" s="6" t="s">
        <v>5407</v>
      </c>
      <c r="N1400" s="7" t="str">
        <f>VLOOKUP(A1400, avaliacoes!A:G, 5, FALSE)</f>
        <v>Beautiful and functional, but could be improved (improvements written in review),Agaro kettle,Satisfied with the product,A royal black beauty.,Value for money.,Agaro kettle review,Review,Good looking  elegant, easy to use</v>
      </c>
      <c r="O1400" s="7" t="str">
        <f>VLOOKUP(A1400, avaliacoes!A:G, 6, FALSE)</f>
        <v>🔸Everything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v>
      </c>
    </row>
    <row r="1401">
      <c r="A1401" s="1" t="s">
        <v>5408</v>
      </c>
      <c r="B1401" s="1" t="s">
        <v>5409</v>
      </c>
      <c r="C1401" s="1" t="s">
        <v>5410</v>
      </c>
      <c r="D1401" s="1" t="str">
        <f t="shared" si="2"/>
        <v>Home&amp;Kitchen</v>
      </c>
      <c r="E1401" s="1" t="str">
        <f t="shared" si="3"/>
        <v>Kitchen&amp;HomeAppliances</v>
      </c>
      <c r="F1401" s="2">
        <v>1099.0</v>
      </c>
      <c r="G1401" s="2">
        <v>1499.0</v>
      </c>
      <c r="H1401" s="3">
        <f t="shared" si="4"/>
        <v>0.266844563</v>
      </c>
      <c r="I1401" s="4">
        <f>IFERROR(__xludf.DUMMYFUNCTION("GOOGLEFINANCE(""CURRENCY:INRBRL"")*F1401"),65.58647675719999)</f>
        <v>65.58647676</v>
      </c>
      <c r="J1401" s="1">
        <v>4.51</v>
      </c>
      <c r="K1401" s="1">
        <v>1065.0</v>
      </c>
      <c r="L1401" s="1" t="s">
        <v>5411</v>
      </c>
      <c r="M1401" s="6" t="s">
        <v>5412</v>
      </c>
      <c r="N1401" s="7" t="str">
        <f>VLOOKUP(A1401, avaliacoes!A:G, 5, FALSE)</f>
        <v>Absolutely loving it!,Excellent product,Very nice,Compact way to make coffee,Good one for a Black coffee lover,Excellent purchase,Great Product!,Perfect French Press! I have got two of em!</v>
      </c>
      <c r="O1401" s="7" t="str">
        <f>VLOOKUP(A1401, avaliacoes!A:G, 6, FALSE)</f>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v>
      </c>
    </row>
    <row r="1402">
      <c r="A1402" s="1" t="s">
        <v>5413</v>
      </c>
      <c r="B1402" s="1" t="s">
        <v>5414</v>
      </c>
      <c r="C1402" s="1" t="s">
        <v>4062</v>
      </c>
      <c r="D1402" s="1" t="str">
        <f t="shared" si="2"/>
        <v>Home&amp;Kitchen</v>
      </c>
      <c r="E1402" s="1" t="str">
        <f t="shared" si="3"/>
        <v>Kitchen&amp;HomeAppliances</v>
      </c>
      <c r="F1402" s="2">
        <v>1928.0</v>
      </c>
      <c r="G1402" s="2">
        <v>2589.0</v>
      </c>
      <c r="H1402" s="3">
        <f t="shared" si="4"/>
        <v>0.2553109309</v>
      </c>
      <c r="I1402" s="4">
        <f>IFERROR(__xludf.DUMMYFUNCTION("GOOGLEFINANCE(""CURRENCY:INRBRL"")*F1402"),115.0598063584)</f>
        <v>115.0598064</v>
      </c>
      <c r="J1402" s="1">
        <v>4.0</v>
      </c>
      <c r="K1402" s="1">
        <v>2377.0</v>
      </c>
      <c r="L1402" s="1" t="s">
        <v>5415</v>
      </c>
      <c r="M1402" s="6" t="s">
        <v>5416</v>
      </c>
      <c r="N1402" s="7" t="str">
        <f>VLOOKUP(A1402, avaliacoes!A:G, 5, FALSE)</f>
        <v>Simple and easy to use,Product is fulfilling the purpose for which it was purchased.,Good product, not easy to clean,Does the job very well,Very nice sandwich maker,Good quality and received on time,Good Product i Recommend,decent grill</v>
      </c>
      <c r="O1402" s="7" t="str">
        <f>VLOOKUP(A1402, avaliacoes!A:G, 6, FALSE)</f>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v>
      </c>
    </row>
    <row r="1403">
      <c r="A1403" s="1" t="s">
        <v>5417</v>
      </c>
      <c r="B1403" s="1" t="s">
        <v>5418</v>
      </c>
      <c r="C1403" s="1" t="s">
        <v>3942</v>
      </c>
      <c r="D1403" s="1" t="str">
        <f t="shared" si="2"/>
        <v>Home&amp;Kitchen</v>
      </c>
      <c r="E1403" s="1" t="str">
        <f t="shared" si="3"/>
        <v>Heating,Cooling&amp;AirQuality</v>
      </c>
      <c r="F1403" s="2">
        <v>3249.0</v>
      </c>
      <c r="G1403" s="2">
        <v>6299.0</v>
      </c>
      <c r="H1403" s="3">
        <f t="shared" si="4"/>
        <v>0.4842038419</v>
      </c>
      <c r="I1403" s="4">
        <f>IFERROR(__xludf.DUMMYFUNCTION("GOOGLEFINANCE(""CURRENCY:INRBRL"")*F1403"),193.8948707772)</f>
        <v>193.8948708</v>
      </c>
      <c r="J1403" s="1">
        <v>4.52</v>
      </c>
      <c r="K1403" s="1">
        <v>2569.0</v>
      </c>
      <c r="L1403" s="1" t="s">
        <v>5419</v>
      </c>
      <c r="M1403" s="6" t="s">
        <v>5420</v>
      </c>
      <c r="N1403" s="7" t="str">
        <f>VLOOKUP(A1403, avaliacoes!A:G, 5, FALSE)</f>
        <v>Small size is not good,It's a nice product,Gd product for this range,Value for money,Good to Buy,Nice product,Adding review after 2 months of use,Good</v>
      </c>
      <c r="O1403" s="7" t="str">
        <f>VLOOKUP(A1403, avaliacoes!A:G, 6, FALSE)</f>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v>
      </c>
    </row>
    <row r="1404">
      <c r="A1404" s="1" t="s">
        <v>5421</v>
      </c>
      <c r="B1404" s="1" t="s">
        <v>5422</v>
      </c>
      <c r="C1404" s="1" t="s">
        <v>4062</v>
      </c>
      <c r="D1404" s="1" t="str">
        <f t="shared" si="2"/>
        <v>Home&amp;Kitchen</v>
      </c>
      <c r="E1404" s="1" t="str">
        <f t="shared" si="3"/>
        <v>Kitchen&amp;HomeAppliances</v>
      </c>
      <c r="F1404" s="2">
        <v>1199.0</v>
      </c>
      <c r="G1404" s="2">
        <v>1795.0</v>
      </c>
      <c r="H1404" s="3">
        <f t="shared" si="4"/>
        <v>0.3320334262</v>
      </c>
      <c r="I1404" s="4">
        <f>IFERROR(__xludf.DUMMYFUNCTION("GOOGLEFINANCE(""CURRENCY:INRBRL"")*F1404"),71.5543090372)</f>
        <v>71.55430904</v>
      </c>
      <c r="J1404" s="1">
        <v>4.5</v>
      </c>
      <c r="K1404" s="1">
        <v>5967.0</v>
      </c>
      <c r="L1404" s="1" t="s">
        <v>5423</v>
      </c>
      <c r="M1404" s="6" t="s">
        <v>5424</v>
      </c>
      <c r="N1404" s="7" t="str">
        <f>VLOOKUP(A1404, avaliacoes!A:G, 5, FALSE)</f>
        <v>No power butten to on and off.,Nothing,Product is Ok-Ok,It's auto close Green light is not working.,Good but cord length is short. Must be atleast 4 fts,Nice to use,Good,Good product</v>
      </c>
      <c r="O1404" s="7" t="str">
        <f>VLOOKUP(A1404, avaliacoes!A:G, 6, FALSE)</f>
        <v>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v>
      </c>
    </row>
    <row r="1405">
      <c r="A1405" s="1" t="s">
        <v>5425</v>
      </c>
      <c r="B1405" s="1" t="s">
        <v>5426</v>
      </c>
      <c r="C1405" s="1" t="s">
        <v>3841</v>
      </c>
      <c r="D1405" s="1" t="str">
        <f t="shared" si="2"/>
        <v>Home&amp;Kitchen</v>
      </c>
      <c r="E1405" s="1" t="str">
        <f t="shared" si="3"/>
        <v>Kitchen&amp;HomeAppliances</v>
      </c>
      <c r="F1405" s="2">
        <v>1456.0</v>
      </c>
      <c r="G1405" s="2">
        <v>3189.0</v>
      </c>
      <c r="H1405" s="3">
        <f t="shared" si="4"/>
        <v>0.5434305425</v>
      </c>
      <c r="I1405" s="4">
        <f>IFERROR(__xludf.DUMMYFUNCTION("GOOGLEFINANCE(""CURRENCY:INRBRL"")*F1405"),86.8916379968)</f>
        <v>86.891638</v>
      </c>
      <c r="J1405" s="1">
        <v>4.49</v>
      </c>
      <c r="K1405" s="1">
        <v>1776.0</v>
      </c>
      <c r="L1405" s="1" t="s">
        <v>5427</v>
      </c>
      <c r="M1405" s="6" t="s">
        <v>5428</v>
      </c>
      <c r="N1405" s="7" t="str">
        <f>VLOOKUP(A1405, avaliacoes!A:G, 5, FALSE)</f>
        <v>Easy to Use,Good at this price. Looks premium,Worth for price,Seems to be good,Easy to clean &amp; i like its cool surface.,Good kettle at a Reasonable price,Good quality,Best Thing for Bachelora</v>
      </c>
      <c r="O1405" s="7" t="str">
        <f>VLOOKUP(A1405, avaliacoes!A:G, 6, FALSE)</f>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v>
      </c>
    </row>
    <row r="1406">
      <c r="A1406" s="1" t="s">
        <v>5429</v>
      </c>
      <c r="B1406" s="1" t="s">
        <v>5430</v>
      </c>
      <c r="C1406" s="1" t="s">
        <v>4011</v>
      </c>
      <c r="D1406" s="1" t="str">
        <f t="shared" si="2"/>
        <v>Home&amp;Kitchen</v>
      </c>
      <c r="E1406" s="1" t="str">
        <f t="shared" si="3"/>
        <v>Kitchen&amp;HomeAppliances</v>
      </c>
      <c r="F1406" s="2">
        <v>3349.0</v>
      </c>
      <c r="G1406" s="2">
        <v>4799.0</v>
      </c>
      <c r="H1406" s="3">
        <f t="shared" si="4"/>
        <v>0.3021462805</v>
      </c>
      <c r="I1406" s="4">
        <f>IFERROR(__xludf.DUMMYFUNCTION("GOOGLEFINANCE(""CURRENCY:INRBRL"")*F1406"),199.86270305719998)</f>
        <v>199.8627031</v>
      </c>
      <c r="J1406" s="1">
        <v>4.51</v>
      </c>
      <c r="K1406" s="1">
        <v>42.0</v>
      </c>
      <c r="L1406" s="1" t="s">
        <v>5431</v>
      </c>
      <c r="M1406" s="6" t="s">
        <v>5432</v>
      </c>
      <c r="N1406" s="7" t="str">
        <f>VLOOKUP(A1406, avaliacoes!A:G, 5, FALSE)</f>
        <v>Not bad,Noice,Quality not as expected,Item is good, but,Not bad,Nice product, product plastic and desine have an issued,easy to use,Superb one</v>
      </c>
      <c r="O1406" s="7" t="str">
        <f>VLOOKUP(A1406, avaliacoes!A:G, 6, FALSE)</f>
        <v>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v>
      </c>
    </row>
    <row r="1407">
      <c r="A1407" s="1" t="s">
        <v>5433</v>
      </c>
      <c r="B1407" s="1" t="s">
        <v>5434</v>
      </c>
      <c r="C1407" s="1" t="s">
        <v>4196</v>
      </c>
      <c r="D1407" s="1" t="str">
        <f t="shared" si="2"/>
        <v>Home&amp;Kitchen</v>
      </c>
      <c r="E1407" s="1" t="str">
        <f t="shared" si="3"/>
        <v>Kitchen&amp;HomeAppliances</v>
      </c>
      <c r="F1407" s="2">
        <v>4899.0</v>
      </c>
      <c r="G1407" s="2">
        <v>8999.0</v>
      </c>
      <c r="H1407" s="3">
        <f t="shared" si="4"/>
        <v>0.4556061785</v>
      </c>
      <c r="I1407" s="4">
        <f>IFERROR(__xludf.DUMMYFUNCTION("GOOGLEFINANCE(""CURRENCY:INRBRL"")*F1407"),292.3641033972)</f>
        <v>292.3641034</v>
      </c>
      <c r="J1407" s="1">
        <v>4.49</v>
      </c>
      <c r="K1407" s="1">
        <v>297.0</v>
      </c>
      <c r="L1407" s="1" t="s">
        <v>5435</v>
      </c>
      <c r="M1407" s="6" t="s">
        <v>5436</v>
      </c>
      <c r="N1407" s="7" t="str">
        <f>VLOOKUP(A1407, avaliacoes!A:G, 5, FALSE)</f>
        <v>iT'S VERY HEAVY,NICE PRESSURE &amp; WORTH SPENDING:-),Recommend product for personal use.,Attractive product.,High noise and machine heating to high,Only Bucket filter  are missing..Please  send me the bucket filter only immediately.,Good Multipurpose Product.,Good product best in 5k segment ..</v>
      </c>
      <c r="O1407" s="7" t="str">
        <f>VLOOKUP(A1407, avaliacoes!A:G, 6, FALSE)</f>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v>
      </c>
    </row>
    <row r="1408">
      <c r="A1408" s="1" t="s">
        <v>5437</v>
      </c>
      <c r="B1408" s="1" t="s">
        <v>5438</v>
      </c>
      <c r="C1408" s="1" t="s">
        <v>3937</v>
      </c>
      <c r="D1408" s="1" t="str">
        <f t="shared" si="2"/>
        <v>Home&amp;Kitchen</v>
      </c>
      <c r="E1408" s="1" t="str">
        <f t="shared" si="3"/>
        <v>Kitchen&amp;HomeAppliances</v>
      </c>
      <c r="F1408" s="2">
        <v>1199.0</v>
      </c>
      <c r="G1408" s="2">
        <v>1899.0</v>
      </c>
      <c r="H1408" s="3">
        <f t="shared" si="4"/>
        <v>0.3686150606</v>
      </c>
      <c r="I1408" s="4">
        <f>IFERROR(__xludf.DUMMYFUNCTION("GOOGLEFINANCE(""CURRENCY:INRBRL"")*F1408"),71.5543090372)</f>
        <v>71.55430904</v>
      </c>
      <c r="J1408" s="1">
        <v>4.5</v>
      </c>
      <c r="K1408" s="1">
        <v>3858.0</v>
      </c>
      <c r="L1408" s="1" t="s">
        <v>5439</v>
      </c>
      <c r="M1408" s="6" t="s">
        <v>5440</v>
      </c>
      <c r="N1408" s="7" t="str">
        <f>VLOOKUP(A1408, avaliacoes!A:G, 5, FALSE)</f>
        <v>Ok ok,Good one. Worth puechase,Average,Nice Product,Good product,Working perfectly, cord is small,Good,Has Thin plastic lid, which is not easy to clean</v>
      </c>
      <c r="O1408" s="7" t="str">
        <f>VLOOKUP(A1408, avaliacoes!A:G, 6, FALSE)</f>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v>
      </c>
    </row>
    <row r="1409">
      <c r="A1409" s="1" t="s">
        <v>5441</v>
      </c>
      <c r="B1409" s="1" t="s">
        <v>5442</v>
      </c>
      <c r="C1409" s="1" t="s">
        <v>4901</v>
      </c>
      <c r="D1409" s="1" t="str">
        <f t="shared" si="2"/>
        <v>Home&amp;Kitchen</v>
      </c>
      <c r="E1409" s="1" t="str">
        <f t="shared" si="3"/>
        <v>Heating,Cooling&amp;AirQuality</v>
      </c>
      <c r="F1409" s="2">
        <v>3289.0</v>
      </c>
      <c r="G1409" s="2">
        <v>5799.0</v>
      </c>
      <c r="H1409" s="3">
        <f t="shared" si="4"/>
        <v>0.4328332471</v>
      </c>
      <c r="I1409" s="4">
        <f>IFERROR(__xludf.DUMMYFUNCTION("GOOGLEFINANCE(""CURRENCY:INRBRL"")*F1409"),196.2820036892)</f>
        <v>196.2820037</v>
      </c>
      <c r="J1409" s="1">
        <v>4.5</v>
      </c>
      <c r="K1409" s="1">
        <v>168.0</v>
      </c>
      <c r="L1409" s="1" t="s">
        <v>5443</v>
      </c>
      <c r="M1409" s="6" t="s">
        <v>5444</v>
      </c>
      <c r="N1409" s="7" t="str">
        <f>VLOOKUP(A1409, avaliacoes!A:G, 5, FALSE)</f>
        <v>Anyone can use it except your elderly folks. Does not come with instructions.,It’s good prodyct,Overall good,Works and gets out of your way,Water leakage after a 2 week of useage,Good reviews,Good product, delivering what was expected,mist is like a cloud</v>
      </c>
      <c r="O1409" s="7" t="str">
        <f>VLOOKUP(A1409, avaliacoes!A:G, 6, FALSE)</f>
        <v>,You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v>
      </c>
    </row>
    <row r="1410">
      <c r="A1410" s="1" t="s">
        <v>5445</v>
      </c>
      <c r="B1410" s="1" t="s">
        <v>5446</v>
      </c>
      <c r="C1410" s="1" t="s">
        <v>3856</v>
      </c>
      <c r="D1410" s="1" t="str">
        <f t="shared" si="2"/>
        <v>Home&amp;Kitchen</v>
      </c>
      <c r="E1410" s="1" t="str">
        <f t="shared" si="3"/>
        <v>Kitchen&amp;HomeAppliances</v>
      </c>
      <c r="F1410" s="2">
        <v>179.0</v>
      </c>
      <c r="G1410" s="2">
        <v>799.0</v>
      </c>
      <c r="H1410" s="3">
        <f t="shared" si="4"/>
        <v>0.7759699625</v>
      </c>
      <c r="I1410" s="4">
        <f>IFERROR(__xludf.DUMMYFUNCTION("GOOGLEFINANCE(""CURRENCY:INRBRL"")*F1410"),10.682419781199998)</f>
        <v>10.68241978</v>
      </c>
      <c r="J1410" s="1">
        <v>4.51</v>
      </c>
      <c r="K1410" s="1">
        <v>101.0</v>
      </c>
      <c r="L1410" s="1" t="s">
        <v>5447</v>
      </c>
      <c r="M1410" s="6" t="s">
        <v>5448</v>
      </c>
      <c r="N1410" s="7" t="str">
        <f>VLOOKUP(A1410, avaliacoes!A:G, 5, FALSE)</f>
        <v>Not so Worth it,It is only for one use so as per me it's so costly,Not useful for pet hair,Good but one roll is available,Useful product,Vey helpful Product for my black clothes,Excellent product,Bad product. Product is of no use.</v>
      </c>
      <c r="O1410" s="7" t="str">
        <f>VLOOKUP(A1410, avaliacoes!A:G, 6, FALSE)</f>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v>
      </c>
    </row>
    <row r="1411">
      <c r="A1411" s="1" t="s">
        <v>5449</v>
      </c>
      <c r="B1411" s="1" t="s">
        <v>5450</v>
      </c>
      <c r="C1411" s="1" t="s">
        <v>5313</v>
      </c>
      <c r="D1411" s="1" t="str">
        <f t="shared" si="2"/>
        <v>Home&amp;Kitchen</v>
      </c>
      <c r="E1411" s="1" t="str">
        <f t="shared" si="3"/>
        <v>Kitchen&amp;HomeAppliances</v>
      </c>
      <c r="F1411" s="2">
        <v>149.0</v>
      </c>
      <c r="G1411" s="2">
        <v>300.0</v>
      </c>
      <c r="H1411" s="3">
        <f t="shared" si="4"/>
        <v>0.5033333333</v>
      </c>
      <c r="I1411" s="4">
        <f>IFERROR(__xludf.DUMMYFUNCTION("GOOGLEFINANCE(""CURRENCY:INRBRL"")*F1411"),8.8920700972)</f>
        <v>8.892070097</v>
      </c>
      <c r="J1411" s="1">
        <v>4.49</v>
      </c>
      <c r="K1411" s="1">
        <v>4074.0</v>
      </c>
      <c r="L1411" s="1" t="s">
        <v>5451</v>
      </c>
      <c r="M1411" s="6" t="s">
        <v>5452</v>
      </c>
      <c r="N1411" s="7" t="str">
        <f>VLOOKUP(A1411, avaliacoes!A:G, 5, FALSE)</f>
        <v>Value for money.,Good product,Good Purchase,It’s Nice,Material made of plastic,Broke in first use,Good quality,Low cost</v>
      </c>
      <c r="O1411" s="7" t="str">
        <f>VLOOKUP(A1411, avaliacoes!A:G, 6, FALSE)</f>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v>
      </c>
    </row>
    <row r="1412">
      <c r="A1412" s="1" t="s">
        <v>5453</v>
      </c>
      <c r="B1412" s="1" t="s">
        <v>5454</v>
      </c>
      <c r="C1412" s="1" t="s">
        <v>3914</v>
      </c>
      <c r="D1412" s="1" t="str">
        <f t="shared" si="2"/>
        <v>Home&amp;Kitchen</v>
      </c>
      <c r="E1412" s="1" t="str">
        <f t="shared" si="3"/>
        <v>Kitchen&amp;HomeAppliances</v>
      </c>
      <c r="F1412" s="2">
        <v>5489.0</v>
      </c>
      <c r="G1412" s="2">
        <v>7199.0</v>
      </c>
      <c r="H1412" s="3">
        <f t="shared" si="4"/>
        <v>0.2375329907</v>
      </c>
      <c r="I1412" s="4">
        <f>IFERROR(__xludf.DUMMYFUNCTION("GOOGLEFINANCE(""CURRENCY:INRBRL"")*F1412"),327.5743138492)</f>
        <v>327.5743138</v>
      </c>
      <c r="J1412" s="1">
        <v>4.51</v>
      </c>
      <c r="K1412" s="1">
        <v>1408.0</v>
      </c>
      <c r="L1412" s="1" t="s">
        <v>5455</v>
      </c>
      <c r="M1412" s="6" t="s">
        <v>5456</v>
      </c>
      <c r="N1412" s="7" t="str">
        <f>VLOOKUP(A1412, avaliacoes!A:G, 5, FALSE)</f>
        <v>Nani's choice is still valid,Good,Value for money,Amazing,It looks great and Awesome.,Best product,Awesome 👌,Good working</v>
      </c>
      <c r="O1412" s="7" t="str">
        <f>VLOOKUP(A1412, avaliacoes!A:G, 6, FALSE)</f>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v>
      </c>
    </row>
    <row r="1413">
      <c r="A1413" s="1" t="s">
        <v>5457</v>
      </c>
      <c r="B1413" s="1" t="s">
        <v>5458</v>
      </c>
      <c r="C1413" s="1" t="s">
        <v>3861</v>
      </c>
      <c r="D1413" s="1" t="str">
        <f t="shared" si="2"/>
        <v>Home&amp;Kitchen</v>
      </c>
      <c r="E1413" s="1" t="str">
        <f t="shared" si="3"/>
        <v>Kitchen&amp;HomeAppliances</v>
      </c>
      <c r="F1413" s="2">
        <v>379.0</v>
      </c>
      <c r="G1413" s="2">
        <v>389.0</v>
      </c>
      <c r="H1413" s="3">
        <f t="shared" si="4"/>
        <v>0.02570694087</v>
      </c>
      <c r="I1413" s="4">
        <f>IFERROR(__xludf.DUMMYFUNCTION("GOOGLEFINANCE(""CURRENCY:INRBRL"")*F1413"),22.6180843412)</f>
        <v>22.61808434</v>
      </c>
      <c r="J1413" s="1">
        <v>4.5</v>
      </c>
      <c r="K1413" s="1">
        <v>3739.0</v>
      </c>
      <c r="L1413" s="1" t="s">
        <v>5459</v>
      </c>
      <c r="M1413" s="6" t="s">
        <v>5460</v>
      </c>
      <c r="N1413" s="7" t="str">
        <f>VLOOKUP(A1413, avaliacoes!A:G, 5, FALSE)</f>
        <v>Good,It’s okay,Cheap quality product, not worth,Good and worth for money,Worth buy,Very nice from the seller as well as from Amazon.,superb,That's a good kitchen scalar machine must buy.</v>
      </c>
      <c r="O1413" s="7" t="str">
        <f>VLOOKUP(A1413, avaliacoes!A:G, 6, FALSE)</f>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v>
      </c>
    </row>
    <row r="1414">
      <c r="A1414" s="1" t="s">
        <v>5461</v>
      </c>
      <c r="B1414" s="1" t="s">
        <v>5462</v>
      </c>
      <c r="C1414" s="1" t="s">
        <v>4488</v>
      </c>
      <c r="D1414" s="1" t="str">
        <f t="shared" si="2"/>
        <v>Home&amp;Kitchen</v>
      </c>
      <c r="E1414" s="1" t="str">
        <f t="shared" si="3"/>
        <v>Kitchen&amp;HomeAppliances</v>
      </c>
      <c r="F1414" s="2">
        <v>8699.0</v>
      </c>
      <c r="G1414" s="2">
        <v>13049.0</v>
      </c>
      <c r="H1414" s="3">
        <f t="shared" si="4"/>
        <v>0.3333588781</v>
      </c>
      <c r="I1414" s="4">
        <f>IFERROR(__xludf.DUMMYFUNCTION("GOOGLEFINANCE(""CURRENCY:INRBRL"")*F1414"),519.1417300372)</f>
        <v>519.14173</v>
      </c>
      <c r="J1414" s="1">
        <v>4.5</v>
      </c>
      <c r="K1414" s="1">
        <v>5891.0</v>
      </c>
      <c r="L1414" s="1" t="s">
        <v>5463</v>
      </c>
      <c r="M1414" s="6" t="s">
        <v>5464</v>
      </c>
      <c r="N1414" s="7" t="str">
        <f>VLOOKUP(A1414, avaliacoes!A:G, 5, FALSE)</f>
        <v>Easy installation,Product is good,Easy installation process,Good,Its going to be 6 months now, working great 👍,Nice product,nice,V guard water purifier</v>
      </c>
      <c r="O1414" s="7" t="str">
        <f>VLOOKUP(A1414, avaliacoes!A:G, 6, FALSE)</f>
        <v>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v>
      </c>
    </row>
    <row r="1415">
      <c r="A1415" s="1" t="s">
        <v>5465</v>
      </c>
      <c r="B1415" s="1" t="s">
        <v>5466</v>
      </c>
      <c r="C1415" s="1" t="s">
        <v>3914</v>
      </c>
      <c r="D1415" s="1" t="str">
        <f t="shared" si="2"/>
        <v>Home&amp;Kitchen</v>
      </c>
      <c r="E1415" s="1" t="str">
        <f t="shared" si="3"/>
        <v>Kitchen&amp;HomeAppliances</v>
      </c>
      <c r="F1415" s="2">
        <v>3041.67</v>
      </c>
      <c r="G1415" s="2">
        <v>5999.0</v>
      </c>
      <c r="H1415" s="3">
        <f t="shared" si="4"/>
        <v>0.4929704951</v>
      </c>
      <c r="I1415" s="4">
        <f>IFERROR(__xludf.DUMMYFUNCTION("GOOGLEFINANCE(""CURRENCY:INRBRL"")*F1415"),181.52176411107598)</f>
        <v>181.5217641</v>
      </c>
      <c r="J1415" s="1">
        <v>4.0</v>
      </c>
      <c r="K1415" s="1">
        <v>777.0</v>
      </c>
      <c r="L1415" s="1" t="s">
        <v>5467</v>
      </c>
      <c r="M1415" s="6" t="s">
        <v>5468</v>
      </c>
      <c r="N1415" s="7" t="str">
        <f>VLOOKUP(A1415, avaliacoes!A:G, 5, FALSE)</f>
        <v>Good product,Best product,not that much good,Best product,A good mixer grinder,Looks good,It’s a good product…not bad at all,Go to it</v>
      </c>
      <c r="O1415" s="7" t="str">
        <f>VLOOKUP(A1415, avaliacoes!A:G, 6, FALSE)</f>
        <v>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v>
      </c>
    </row>
    <row r="1416">
      <c r="A1416" s="1" t="s">
        <v>5469</v>
      </c>
      <c r="B1416" s="1" t="s">
        <v>5470</v>
      </c>
      <c r="C1416" s="1" t="s">
        <v>3904</v>
      </c>
      <c r="D1416" s="1" t="str">
        <f t="shared" si="2"/>
        <v>Home&amp;Kitchen</v>
      </c>
      <c r="E1416" s="1" t="str">
        <f t="shared" si="3"/>
        <v>Kitchen&amp;HomeAppliances</v>
      </c>
      <c r="F1416" s="2">
        <v>1745.0</v>
      </c>
      <c r="G1416" s="2">
        <v>2399.0</v>
      </c>
      <c r="H1416" s="3">
        <f t="shared" si="4"/>
        <v>0.272613589</v>
      </c>
      <c r="I1416" s="4">
        <f>IFERROR(__xludf.DUMMYFUNCTION("GOOGLEFINANCE(""CURRENCY:INRBRL"")*F1416"),104.138673286)</f>
        <v>104.1386733</v>
      </c>
      <c r="J1416" s="1">
        <v>4.5</v>
      </c>
      <c r="K1416" s="1">
        <v>1416.0</v>
      </c>
      <c r="L1416" s="1" t="s">
        <v>5471</v>
      </c>
      <c r="M1416" s="6" t="s">
        <v>5472</v>
      </c>
      <c r="N1416" s="7" t="str">
        <f>VLOOKUP(A1416, avaliacoes!A:G, 5, FALSE)</f>
        <v>Rusty Steel beater,Product delivered in good condition but a little late than expected delivery date ..,Good product,It's good if used properly.,Nice....,Worth it Buy,gud one,KENT 16051 Hand Blender 300 W</v>
      </c>
      <c r="O1416" s="7" t="str">
        <f>VLOOKUP(A1416, avaliacoes!A:G, 6, FALSE)</f>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v>
      </c>
    </row>
    <row r="1417">
      <c r="A1417" s="1" t="s">
        <v>5473</v>
      </c>
      <c r="B1417" s="1" t="s">
        <v>5474</v>
      </c>
      <c r="C1417" s="1" t="s">
        <v>3887</v>
      </c>
      <c r="D1417" s="1" t="str">
        <f t="shared" si="2"/>
        <v>Home&amp;Kitchen</v>
      </c>
      <c r="E1417" s="1" t="str">
        <f t="shared" si="3"/>
        <v>Kitchen&amp;HomeAppliances</v>
      </c>
      <c r="F1417" s="2">
        <v>3179.0</v>
      </c>
      <c r="G1417" s="2">
        <v>5295.0</v>
      </c>
      <c r="H1417" s="3">
        <f t="shared" si="4"/>
        <v>0.3996222852</v>
      </c>
      <c r="I1417" s="4">
        <f>IFERROR(__xludf.DUMMYFUNCTION("GOOGLEFINANCE(""CURRENCY:INRBRL"")*F1417"),189.7173881812)</f>
        <v>189.7173882</v>
      </c>
      <c r="J1417" s="1">
        <v>4.5</v>
      </c>
      <c r="K1417" s="1">
        <v>6919.0</v>
      </c>
      <c r="L1417" s="1" t="s">
        <v>5475</v>
      </c>
      <c r="M1417" s="6" t="s">
        <v>5476</v>
      </c>
      <c r="N1417" s="7" t="str">
        <f>VLOOKUP(A1417, avaliacoes!A:G, 5, FALSE)</f>
        <v>Bad servisec,a bit costly,Favourite,Thankyou amazon for brand product which I received in good condition,Good product,Good,Prestage induction,Till now going good</v>
      </c>
      <c r="O1417" s="7" t="str">
        <f>VLOOKUP(A1417, avaliacoes!A:G, 6, FALSE)</f>
        <v>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v>
      </c>
    </row>
    <row r="1418">
      <c r="A1418" s="1" t="s">
        <v>5477</v>
      </c>
      <c r="B1418" s="1" t="s">
        <v>5478</v>
      </c>
      <c r="C1418" s="1" t="s">
        <v>4488</v>
      </c>
      <c r="D1418" s="1" t="str">
        <f t="shared" si="2"/>
        <v>Home&amp;Kitchen</v>
      </c>
      <c r="E1418" s="1" t="str">
        <f t="shared" si="3"/>
        <v>Kitchen&amp;HomeAppliances</v>
      </c>
      <c r="F1418" s="2">
        <v>4999.0</v>
      </c>
      <c r="G1418" s="2">
        <v>24999.0</v>
      </c>
      <c r="H1418" s="3">
        <f t="shared" si="4"/>
        <v>0.8000320013</v>
      </c>
      <c r="I1418" s="4">
        <f>IFERROR(__xludf.DUMMYFUNCTION("GOOGLEFINANCE(""CURRENCY:INRBRL"")*F1418"),298.33193567719997)</f>
        <v>298.3319357</v>
      </c>
      <c r="J1418" s="1">
        <v>4.51</v>
      </c>
      <c r="K1418" s="1">
        <v>287.0</v>
      </c>
      <c r="L1418" s="1" t="s">
        <v>5479</v>
      </c>
      <c r="M1418" s="6" t="s">
        <v>5480</v>
      </c>
      <c r="N1418" s="7" t="str">
        <f>VLOOKUP(A1418, avaliacoes!A:G, 5, FALSE)</f>
        <v>Good,Value for money,Good,Under 500 tds, it gets the job done.,Installation was delayed,Nice product,Worst product,NIce</v>
      </c>
      <c r="O1418" s="7" t="str">
        <f>VLOOKUP(A1418, avaliacoes!A:G, 6, FALSE)</f>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v>
      </c>
    </row>
    <row r="1419">
      <c r="A1419" s="1" t="s">
        <v>5481</v>
      </c>
      <c r="B1419" s="1" t="s">
        <v>5482</v>
      </c>
      <c r="C1419" s="1" t="s">
        <v>3989</v>
      </c>
      <c r="D1419" s="1" t="str">
        <f t="shared" si="2"/>
        <v>Home&amp;Kitchen</v>
      </c>
      <c r="E1419" s="1" t="str">
        <f t="shared" si="3"/>
        <v>HomeStorage&amp;Organization</v>
      </c>
      <c r="F1419" s="2">
        <v>390.0</v>
      </c>
      <c r="G1419" s="2">
        <v>799.0</v>
      </c>
      <c r="H1419" s="3">
        <f t="shared" si="4"/>
        <v>0.5118898623</v>
      </c>
      <c r="I1419" s="4">
        <f>IFERROR(__xludf.DUMMYFUNCTION("GOOGLEFINANCE(""CURRENCY:INRBRL"")*F1419"),23.274545892)</f>
        <v>23.27454589</v>
      </c>
      <c r="J1419" s="1">
        <v>4.51</v>
      </c>
      <c r="K1419" s="1">
        <v>287.0</v>
      </c>
      <c r="L1419" s="1" t="s">
        <v>5483</v>
      </c>
      <c r="M1419" s="6" t="s">
        <v>5484</v>
      </c>
      <c r="N1419" s="7" t="str">
        <f>VLOOKUP(A1419, avaliacoes!A:G, 5, FALSE)</f>
        <v>Nice and easy to use ,holds good no of clothes.,Average product according to the price..little expensive,Great for laundry storage,Good product.,Not much of a great product.,Very poor quality,Appears as a decent product,Value for money</v>
      </c>
      <c r="O1419" s="7" t="str">
        <f>VLOOKUP(A1419, avaliacoes!A:G, 6, FALSE)</f>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v>
      </c>
    </row>
    <row r="1420">
      <c r="A1420" s="1" t="s">
        <v>5485</v>
      </c>
      <c r="B1420" s="1" t="s">
        <v>5486</v>
      </c>
      <c r="C1420" s="1" t="s">
        <v>5487</v>
      </c>
      <c r="D1420" s="1" t="str">
        <f t="shared" si="2"/>
        <v>Home&amp;Kitchen</v>
      </c>
      <c r="E1420" s="1" t="str">
        <f t="shared" si="3"/>
        <v>Kitchen&amp;HomeAppliances</v>
      </c>
      <c r="F1420" s="2">
        <v>1999.0</v>
      </c>
      <c r="G1420" s="2">
        <v>2999.0</v>
      </c>
      <c r="H1420" s="3">
        <f t="shared" si="4"/>
        <v>0.3334444815</v>
      </c>
      <c r="I1420" s="4">
        <f>IFERROR(__xludf.DUMMYFUNCTION("GOOGLEFINANCE(""CURRENCY:INRBRL"")*F1420"),119.2969672772)</f>
        <v>119.2969673</v>
      </c>
      <c r="J1420" s="1">
        <v>4.5</v>
      </c>
      <c r="K1420" s="1">
        <v>388.0</v>
      </c>
      <c r="L1420" s="1" t="s">
        <v>5488</v>
      </c>
      <c r="M1420" s="6" t="s">
        <v>5489</v>
      </c>
      <c r="N1420" s="7" t="str">
        <f>VLOOKUP(A1420, avaliacoes!A:G, 5, FALSE)</f>
        <v>Good.,Good product,Worth to have roti maker,Value for money,It is easy to use... time saving,Good value for money,Good,When you have Libra Chapati Maker, gathering guests is no more tension.</v>
      </c>
      <c r="O1420" s="7" t="str">
        <f>VLOOKUP(A1420, avaliacoes!A:G, 6, FALSE)</f>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v>
      </c>
    </row>
    <row r="1421">
      <c r="A1421" s="1" t="s">
        <v>5490</v>
      </c>
      <c r="B1421" s="1" t="s">
        <v>5491</v>
      </c>
      <c r="C1421" s="1" t="s">
        <v>4049</v>
      </c>
      <c r="D1421" s="1" t="str">
        <f t="shared" si="2"/>
        <v>Home&amp;Kitchen</v>
      </c>
      <c r="E1421" s="1" t="str">
        <f t="shared" si="3"/>
        <v>Kitchen&amp;HomeAppliances</v>
      </c>
      <c r="F1421" s="2">
        <v>1624.0</v>
      </c>
      <c r="G1421" s="2">
        <v>2495.0</v>
      </c>
      <c r="H1421" s="3">
        <f t="shared" si="4"/>
        <v>0.3490981964</v>
      </c>
      <c r="I1421" s="4">
        <f>IFERROR(__xludf.DUMMYFUNCTION("GOOGLEFINANCE(""CURRENCY:INRBRL"")*F1421"),96.9175962272)</f>
        <v>96.91759623</v>
      </c>
      <c r="J1421" s="1">
        <v>4.49</v>
      </c>
      <c r="K1421" s="1">
        <v>827.0</v>
      </c>
      <c r="L1421" s="1" t="s">
        <v>5492</v>
      </c>
      <c r="M1421" s="6" t="s">
        <v>5493</v>
      </c>
      <c r="N1421" s="7" t="str">
        <f>VLOOKUP(A1421, avaliacoes!A:G, 5, FALSE)</f>
        <v>Nice product very easy clean,Don't buy it,nice,Multipurpose | little hard to clean,Absolutely perfect product,Must have product at home,Not good for any other use than boiler,Defective Model received - No refund, Only replace</v>
      </c>
      <c r="O1421" s="7" t="str">
        <f>VLOOKUP(A1421, avaliacoes!A:G, 6, FALSE)</f>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v>
      </c>
    </row>
    <row r="1422">
      <c r="A1422" s="1" t="s">
        <v>5494</v>
      </c>
      <c r="B1422" s="1" t="s">
        <v>5495</v>
      </c>
      <c r="C1422" s="1" t="s">
        <v>5313</v>
      </c>
      <c r="D1422" s="1" t="str">
        <f t="shared" si="2"/>
        <v>Home&amp;Kitchen</v>
      </c>
      <c r="E1422" s="1" t="str">
        <f t="shared" si="3"/>
        <v>Kitchen&amp;HomeAppliances</v>
      </c>
      <c r="F1422" s="2">
        <v>184.0</v>
      </c>
      <c r="G1422" s="2">
        <v>450.0</v>
      </c>
      <c r="H1422" s="3">
        <f t="shared" si="4"/>
        <v>0.5911111111</v>
      </c>
      <c r="I1422" s="4">
        <f>IFERROR(__xludf.DUMMYFUNCTION("GOOGLEFINANCE(""CURRENCY:INRBRL"")*F1422"),10.9808113952)</f>
        <v>10.9808114</v>
      </c>
      <c r="J1422" s="1">
        <v>4.5</v>
      </c>
      <c r="K1422" s="1">
        <v>4971.0</v>
      </c>
      <c r="L1422" s="1" t="s">
        <v>5496</v>
      </c>
      <c r="M1422" s="6" t="s">
        <v>5497</v>
      </c>
      <c r="N1422" s="7" t="str">
        <f>VLOOKUP(A1422, avaliacoes!A:G, 5, FALSE)</f>
        <v>Good enough,Nice Choice,Best price and best quality. Just go for it.,Value for money,Steel is good.,Good,Worthy product,Good</v>
      </c>
      <c r="O1422" s="7" t="str">
        <f>VLOOKUP(A1422, avaliacoes!A:G, 6, FALSE)</f>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v>
      </c>
    </row>
    <row r="1423">
      <c r="A1423" s="1" t="s">
        <v>5498</v>
      </c>
      <c r="B1423" s="1" t="s">
        <v>5499</v>
      </c>
      <c r="C1423" s="1" t="s">
        <v>3856</v>
      </c>
      <c r="D1423" s="1" t="str">
        <f t="shared" si="2"/>
        <v>Home&amp;Kitchen</v>
      </c>
      <c r="E1423" s="1" t="str">
        <f t="shared" si="3"/>
        <v>Kitchen&amp;HomeAppliances</v>
      </c>
      <c r="F1423" s="2">
        <v>445.0</v>
      </c>
      <c r="G1423" s="2">
        <v>999.0</v>
      </c>
      <c r="H1423" s="3">
        <f t="shared" si="4"/>
        <v>0.5545545546</v>
      </c>
      <c r="I1423" s="4">
        <f>IFERROR(__xludf.DUMMYFUNCTION("GOOGLEFINANCE(""CURRENCY:INRBRL"")*F1423"),26.556853645999997)</f>
        <v>26.55685365</v>
      </c>
      <c r="J1423" s="1">
        <v>4.5</v>
      </c>
      <c r="K1423" s="1">
        <v>229.0</v>
      </c>
      <c r="L1423" s="1" t="s">
        <v>5500</v>
      </c>
      <c r="M1423" s="6" t="s">
        <v>5501</v>
      </c>
      <c r="N1423" s="7" t="str">
        <f>VLOOKUP(A1423, avaliacoes!A:G, 5, FALSE)</f>
        <v>Lint remover,So nice but takes longer then expected,Perfect,Works as promised,Very useful product,easy to use,Amazing product,Value for money</v>
      </c>
      <c r="O1423" s="7" t="str">
        <f>VLOOKUP(A1423, avaliacoes!A:G, 6, FALSE)</f>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v>
      </c>
    </row>
    <row r="1424">
      <c r="A1424" s="1" t="s">
        <v>5502</v>
      </c>
      <c r="B1424" s="1" t="s">
        <v>5503</v>
      </c>
      <c r="C1424" s="1" t="s">
        <v>5504</v>
      </c>
      <c r="D1424" s="1" t="str">
        <f t="shared" si="2"/>
        <v>Home&amp;Kitchen</v>
      </c>
      <c r="E1424" s="1" t="str">
        <f t="shared" si="3"/>
        <v>Heating,Cooling&amp;AirQuality</v>
      </c>
      <c r="F1424" s="2">
        <v>699.0</v>
      </c>
      <c r="G1424" s="2">
        <v>1689.0</v>
      </c>
      <c r="H1424" s="3">
        <f t="shared" si="4"/>
        <v>0.5861456483</v>
      </c>
      <c r="I1424" s="4">
        <f>IFERROR(__xludf.DUMMYFUNCTION("GOOGLEFINANCE(""CURRENCY:INRBRL"")*F1424"),41.7151476372)</f>
        <v>41.71514764</v>
      </c>
      <c r="J1424" s="1">
        <v>4.49</v>
      </c>
      <c r="K1424" s="1">
        <v>3524.0</v>
      </c>
      <c r="L1424" s="1" t="s">
        <v>5505</v>
      </c>
      <c r="M1424" s="6" t="s">
        <v>5506</v>
      </c>
      <c r="N1424" s="7" t="str">
        <f>VLOOKUP(A1424, avaliacoes!A:G, 5, FALSE)</f>
        <v>Nice,Good but screws are poor quality,Strong brackets,As required,Promt delivery,tlob ralugnA,Good,Quality of material is good but painting quality need to be improved in future product</v>
      </c>
      <c r="O1424" s="7" t="str">
        <f>VLOOKUP(A1424, avaliacoes!A:G, 6, FALSE)</f>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v>
      </c>
    </row>
    <row r="1425">
      <c r="A1425" s="1" t="s">
        <v>5507</v>
      </c>
      <c r="B1425" s="1" t="s">
        <v>5508</v>
      </c>
      <c r="C1425" s="1" t="s">
        <v>3887</v>
      </c>
      <c r="D1425" s="1" t="str">
        <f t="shared" si="2"/>
        <v>Home&amp;Kitchen</v>
      </c>
      <c r="E1425" s="1" t="str">
        <f t="shared" si="3"/>
        <v>Kitchen&amp;HomeAppliances</v>
      </c>
      <c r="F1425" s="2">
        <v>1601.0</v>
      </c>
      <c r="G1425" s="2">
        <v>3889.0</v>
      </c>
      <c r="H1425" s="3">
        <f t="shared" si="4"/>
        <v>0.5883260478</v>
      </c>
      <c r="I1425" s="4">
        <f>IFERROR(__xludf.DUMMYFUNCTION("GOOGLEFINANCE(""CURRENCY:INRBRL"")*F1425"),95.54499480279999)</f>
        <v>95.5449948</v>
      </c>
      <c r="J1425" s="1">
        <v>4.5</v>
      </c>
      <c r="K1425" s="1">
        <v>156.0</v>
      </c>
      <c r="L1425" s="1" t="s">
        <v>5509</v>
      </c>
      <c r="M1425" s="6" t="s">
        <v>5510</v>
      </c>
      <c r="N1425" s="7" t="str">
        <f>VLOOKUP(A1425, avaliacoes!A:G, 5, FALSE)</f>
        <v>It is nice ..and user-friendly,Really great product,Nice and easy to use,Good for light usage,Overall a valuable product in this range.,Good,Nice product,Nice product</v>
      </c>
      <c r="O1425" s="7" t="str">
        <f>VLOOKUP(A1425, avaliacoes!A:G, 6, FALSE)</f>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v>
      </c>
    </row>
    <row r="1426">
      <c r="A1426" s="1" t="s">
        <v>5511</v>
      </c>
      <c r="B1426" s="1" t="s">
        <v>5512</v>
      </c>
      <c r="C1426" s="1" t="s">
        <v>4299</v>
      </c>
      <c r="D1426" s="1" t="str">
        <f t="shared" si="2"/>
        <v>Home&amp;Kitchen</v>
      </c>
      <c r="E1426" s="1" t="str">
        <f t="shared" si="3"/>
        <v>Kitchen&amp;HomeAppliances</v>
      </c>
      <c r="F1426" s="2">
        <v>231.0</v>
      </c>
      <c r="G1426" s="2">
        <v>260.0</v>
      </c>
      <c r="H1426" s="3">
        <f t="shared" si="4"/>
        <v>0.1115384615</v>
      </c>
      <c r="I1426" s="4">
        <f>IFERROR(__xludf.DUMMYFUNCTION("GOOGLEFINANCE(""CURRENCY:INRBRL"")*F1426"),13.7856925668)</f>
        <v>13.78569257</v>
      </c>
      <c r="J1426" s="1">
        <v>4.49</v>
      </c>
      <c r="K1426" s="1">
        <v>490.0</v>
      </c>
      <c r="L1426" s="1" t="s">
        <v>5513</v>
      </c>
      <c r="M1426" s="6" t="s">
        <v>5514</v>
      </c>
      <c r="N1426" s="7" t="str">
        <f>VLOOKUP(A1426, avaliacoes!A:G, 5, FALSE)</f>
        <v>Good product,Delivery at door step,Price is greater than printed price.,Original spare part,Original product,Sediment filter,Good,Authentic product</v>
      </c>
      <c r="O1426" s="7" t="str">
        <f>VLOOKUP(A1426, avaliacoes!A:G, 6, FALSE)</f>
        <v>Value for money.,Good product,Printed price is ₹ 260 but I have purchased at ₹ 325,Good one it's a genuine part,,Good and genuine product go for it,Good product,Authentic company product , cheaper price</v>
      </c>
    </row>
    <row r="1427">
      <c r="A1427" s="1" t="s">
        <v>5515</v>
      </c>
      <c r="B1427" s="1" t="s">
        <v>5516</v>
      </c>
      <c r="C1427" s="1" t="s">
        <v>3856</v>
      </c>
      <c r="D1427" s="1" t="str">
        <f t="shared" si="2"/>
        <v>Home&amp;Kitchen</v>
      </c>
      <c r="E1427" s="1" t="str">
        <f t="shared" si="3"/>
        <v>Kitchen&amp;HomeAppliances</v>
      </c>
      <c r="F1427" s="2">
        <v>369.0</v>
      </c>
      <c r="G1427" s="2">
        <v>599.0</v>
      </c>
      <c r="H1427" s="3">
        <f t="shared" si="4"/>
        <v>0.3839732888</v>
      </c>
      <c r="I1427" s="4">
        <f>IFERROR(__xludf.DUMMYFUNCTION("GOOGLEFINANCE(""CURRENCY:INRBRL"")*F1427"),22.0213011132)</f>
        <v>22.02130111</v>
      </c>
      <c r="J1427" s="1">
        <v>4.52</v>
      </c>
      <c r="K1427" s="1">
        <v>82.0</v>
      </c>
      <c r="L1427" s="1" t="s">
        <v>5517</v>
      </c>
      <c r="M1427" s="6" t="s">
        <v>5518</v>
      </c>
      <c r="N1427" s="7" t="str">
        <f>VLOOKUP(A1427, avaliacoes!A:G, 5, FALSE)</f>
        <v>Great Product!!,Good product,Adhesion,Amazing product, value for money,Works just the way it is advertised,Good One !,Easy to use,Poor quality</v>
      </c>
      <c r="O1427" s="7" t="str">
        <f>VLOOKUP(A1427, avaliacoes!A:G, 6, FALSE)</f>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v>
      </c>
    </row>
    <row r="1428">
      <c r="A1428" s="1" t="s">
        <v>5519</v>
      </c>
      <c r="B1428" s="1" t="s">
        <v>5520</v>
      </c>
      <c r="C1428" s="1" t="s">
        <v>3841</v>
      </c>
      <c r="D1428" s="1" t="str">
        <f t="shared" si="2"/>
        <v>Home&amp;Kitchen</v>
      </c>
      <c r="E1428" s="1" t="str">
        <f t="shared" si="3"/>
        <v>Kitchen&amp;HomeAppliances</v>
      </c>
      <c r="F1428" s="2">
        <v>809.0</v>
      </c>
      <c r="G1428" s="2">
        <v>1949.0</v>
      </c>
      <c r="H1428" s="3">
        <f t="shared" si="4"/>
        <v>0.5849153412</v>
      </c>
      <c r="I1428" s="4">
        <f>IFERROR(__xludf.DUMMYFUNCTION("GOOGLEFINANCE(""CURRENCY:INRBRL"")*F1428"),48.27976314519999)</f>
        <v>48.27976315</v>
      </c>
      <c r="J1428" s="1">
        <v>4.52</v>
      </c>
      <c r="K1428" s="1">
        <v>710.0</v>
      </c>
      <c r="L1428" s="1" t="s">
        <v>5521</v>
      </c>
      <c r="M1428" s="6" t="s">
        <v>5522</v>
      </c>
      <c r="N1428" s="7" t="str">
        <f>VLOOKUP(A1428, avaliacoes!A:G, 5, FALSE)</f>
        <v>Good product,The product is amazing,Super product 👍,Tuta dhakkn,Good product at reasonable price,Time saving,Best product,Product look goods and easy to handle.</v>
      </c>
      <c r="O1428" s="7" t="str">
        <f>VLOOKUP(A1428, avaliacoes!A:G, 6, FALSE)</f>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v>
      </c>
    </row>
    <row r="1429">
      <c r="A1429" s="1" t="s">
        <v>5523</v>
      </c>
      <c r="B1429" s="1" t="s">
        <v>5524</v>
      </c>
      <c r="C1429" s="1" t="s">
        <v>3914</v>
      </c>
      <c r="D1429" s="1" t="str">
        <f t="shared" si="2"/>
        <v>Home&amp;Kitchen</v>
      </c>
      <c r="E1429" s="1" t="str">
        <f t="shared" si="3"/>
        <v>Kitchen&amp;HomeAppliances</v>
      </c>
      <c r="F1429" s="2">
        <v>1199.0</v>
      </c>
      <c r="G1429" s="2">
        <v>2989.0</v>
      </c>
      <c r="H1429" s="3">
        <f t="shared" si="4"/>
        <v>0.5988624958</v>
      </c>
      <c r="I1429" s="4">
        <f>IFERROR(__xludf.DUMMYFUNCTION("GOOGLEFINANCE(""CURRENCY:INRBRL"")*F1429"),71.5543090372)</f>
        <v>71.55430904</v>
      </c>
      <c r="J1429" s="1">
        <v>4.51</v>
      </c>
      <c r="K1429" s="1">
        <v>133.0</v>
      </c>
      <c r="L1429" s="1" t="s">
        <v>5525</v>
      </c>
      <c r="M1429" s="6" t="s">
        <v>5526</v>
      </c>
      <c r="N1429" s="7" t="str">
        <f>VLOOKUP(A1429, avaliacoes!A:G, 5, FALSE)</f>
        <v>Good👍,A nice product in budget price 👌,Not good,A good product .,Good Product,Good,Jar was leaking even after replacing the product,Good</v>
      </c>
      <c r="O1429" s="7" t="str">
        <f>VLOOKUP(A1429, avaliacoes!A:G, 6, FALSE)</f>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v>
      </c>
    </row>
    <row r="1430">
      <c r="A1430" s="1" t="s">
        <v>5527</v>
      </c>
      <c r="B1430" s="1" t="s">
        <v>5528</v>
      </c>
      <c r="C1430" s="1" t="s">
        <v>3914</v>
      </c>
      <c r="D1430" s="1" t="str">
        <f t="shared" si="2"/>
        <v>Home&amp;Kitchen</v>
      </c>
      <c r="E1430" s="1" t="str">
        <f t="shared" si="3"/>
        <v>Kitchen&amp;HomeAppliances</v>
      </c>
      <c r="F1430" s="2">
        <v>6119.0</v>
      </c>
      <c r="G1430" s="2">
        <v>8073.0</v>
      </c>
      <c r="H1430" s="3">
        <f t="shared" si="4"/>
        <v>0.2420413725</v>
      </c>
      <c r="I1430" s="4">
        <f>IFERROR(__xludf.DUMMYFUNCTION("GOOGLEFINANCE(""CURRENCY:INRBRL"")*F1430"),365.1716572132)</f>
        <v>365.1716572</v>
      </c>
      <c r="J1430" s="1">
        <v>4.51</v>
      </c>
      <c r="K1430" s="1">
        <v>2751.0</v>
      </c>
      <c r="L1430" s="1" t="s">
        <v>5529</v>
      </c>
      <c r="M1430" s="6" t="s">
        <v>5530</v>
      </c>
      <c r="N1430" s="7" t="str">
        <f>VLOOKUP(A1430, avaliacoes!A:G, 5, FALSE)</f>
        <v>Good product,Quality is great but chuteney jar is not working well,Good,Superb,Very good item,Super purchase,Superb 👍,Sujata hi lena.</v>
      </c>
      <c r="O1430" s="7" t="str">
        <f>VLOOKUP(A1430, avaliacoes!A:G, 6, FALSE)</f>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v>
      </c>
    </row>
    <row r="1431">
      <c r="A1431" s="1" t="s">
        <v>5531</v>
      </c>
      <c r="B1431" s="1" t="s">
        <v>5532</v>
      </c>
      <c r="C1431" s="1" t="s">
        <v>3994</v>
      </c>
      <c r="D1431" s="1" t="str">
        <f t="shared" si="2"/>
        <v>Home&amp;Kitchen</v>
      </c>
      <c r="E1431" s="1" t="str">
        <f t="shared" si="3"/>
        <v>Kitchen&amp;HomeAppliances</v>
      </c>
      <c r="F1431" s="2">
        <v>1799.0</v>
      </c>
      <c r="G1431" s="2">
        <v>2599.0</v>
      </c>
      <c r="H1431" s="3">
        <f t="shared" si="4"/>
        <v>0.3078106964</v>
      </c>
      <c r="I1431" s="4">
        <f>IFERROR(__xludf.DUMMYFUNCTION("GOOGLEFINANCE(""CURRENCY:INRBRL"")*F1431"),107.36130271719999)</f>
        <v>107.3613027</v>
      </c>
      <c r="J1431" s="1">
        <v>4.51</v>
      </c>
      <c r="K1431" s="1">
        <v>771.0</v>
      </c>
      <c r="L1431" s="1" t="s">
        <v>5533</v>
      </c>
      <c r="M1431" s="6" t="s">
        <v>5534</v>
      </c>
      <c r="N1431" s="7" t="str">
        <f>VLOOKUP(A1431, avaliacoes!A:G, 5, FALSE)</f>
        <v>I got a used item,Nice,The product is good but water dripping outside of the iron box,Ok product and easy to use,Suitable only for light use.,nice,Just OK. Less heating,Socket is loose.</v>
      </c>
      <c r="O1431" s="7" t="str">
        <f>VLOOKUP(A1431, avaliacoes!A:G, 6, FALSE)</f>
        <v>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v>
      </c>
    </row>
    <row r="1432">
      <c r="A1432" s="1" t="s">
        <v>5535</v>
      </c>
      <c r="B1432" s="1" t="s">
        <v>5536</v>
      </c>
      <c r="C1432" s="1" t="s">
        <v>5031</v>
      </c>
      <c r="D1432" s="1" t="str">
        <f t="shared" si="2"/>
        <v>Home&amp;Kitchen</v>
      </c>
      <c r="E1432" s="1" t="str">
        <f t="shared" si="3"/>
        <v>Kitchen&amp;HomeAppliances</v>
      </c>
      <c r="F1432" s="2">
        <v>18999.0</v>
      </c>
      <c r="G1432" s="2">
        <v>29999.0</v>
      </c>
      <c r="H1432" s="3">
        <f t="shared" si="4"/>
        <v>0.3666788893</v>
      </c>
      <c r="I1432" s="4">
        <f>IFERROR(__xludf.DUMMYFUNCTION("GOOGLEFINANCE(""CURRENCY:INRBRL"")*F1432"),1133.8284548771999)</f>
        <v>1133.828455</v>
      </c>
      <c r="J1432" s="1">
        <v>4.49</v>
      </c>
      <c r="K1432" s="1">
        <v>2536.0</v>
      </c>
      <c r="L1432" s="1" t="s">
        <v>5537</v>
      </c>
      <c r="M1432" s="6" t="s">
        <v>5538</v>
      </c>
      <c r="N1432" s="7" t="str">
        <f>VLOOKUP(A1432, avaliacoes!A:G, 5, FALSE)</f>
        <v>Works as expected but some things can improve,I am using this more than 1 year,Overall its a good product, very useful.Some minor drawbacks.,Great for vacuum, bad for mopping,Good product.,Product service issues,Good product,A helping hand for working women</v>
      </c>
      <c r="O1432" s="7" t="str">
        <f>VLOOKUP(A1432, avaliacoes!A:G, 6, FALSE)</f>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v>
      </c>
    </row>
    <row r="1433">
      <c r="A1433" s="1" t="s">
        <v>5539</v>
      </c>
      <c r="B1433" s="1" t="s">
        <v>5540</v>
      </c>
      <c r="C1433" s="1" t="s">
        <v>4281</v>
      </c>
      <c r="D1433" s="1" t="str">
        <f t="shared" si="2"/>
        <v>Home&amp;Kitchen</v>
      </c>
      <c r="E1433" s="1" t="str">
        <f t="shared" si="3"/>
        <v>Heating,Cooling&amp;AirQuality</v>
      </c>
      <c r="F1433" s="2">
        <v>1999.0</v>
      </c>
      <c r="G1433" s="2">
        <v>2359.0</v>
      </c>
      <c r="H1433" s="3">
        <f t="shared" si="4"/>
        <v>0.1526070369</v>
      </c>
      <c r="I1433" s="4">
        <f>IFERROR(__xludf.DUMMYFUNCTION("GOOGLEFINANCE(""CURRENCY:INRBRL"")*F1433"),119.2969672772)</f>
        <v>119.2969673</v>
      </c>
      <c r="J1433" s="1">
        <v>4.5</v>
      </c>
      <c r="K1433" s="1">
        <v>7801.0</v>
      </c>
      <c r="L1433" s="1" t="s">
        <v>5541</v>
      </c>
      <c r="M1433" s="6" t="s">
        <v>5542</v>
      </c>
      <c r="N1433" s="7" t="str">
        <f>VLOOKUP(A1433, avaliacoes!A:G, 5, FALSE)</f>
        <v>Nice,Perfect. Reliable. Standard size. Good suction for 10*10 bathroom,Good but got costly at 1600,Good exhaust for bathroom,Good product,Request to Return/Exchange,Easy to use,No bad</v>
      </c>
      <c r="O1433" s="7" t="str">
        <f>VLOOKUP(A1433, avaliacoes!A:G, 6, FALSE)</f>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v>
      </c>
    </row>
    <row r="1434">
      <c r="A1434" s="1" t="s">
        <v>5543</v>
      </c>
      <c r="B1434" s="1" t="s">
        <v>5544</v>
      </c>
      <c r="C1434" s="1" t="s">
        <v>5545</v>
      </c>
      <c r="D1434" s="1" t="str">
        <f t="shared" si="2"/>
        <v>Home&amp;Kitchen</v>
      </c>
      <c r="E1434" s="1" t="str">
        <f t="shared" si="3"/>
        <v>Kitchen&amp;HomeAppliances</v>
      </c>
      <c r="F1434" s="2">
        <v>5999.0</v>
      </c>
      <c r="G1434" s="2">
        <v>11495.0</v>
      </c>
      <c r="H1434" s="3">
        <f t="shared" si="4"/>
        <v>0.4781209221</v>
      </c>
      <c r="I1434" s="4">
        <f>IFERROR(__xludf.DUMMYFUNCTION("GOOGLEFINANCE(""CURRENCY:INRBRL"")*F1434"),358.01025847719995)</f>
        <v>358.0102585</v>
      </c>
      <c r="J1434" s="1">
        <v>4.5</v>
      </c>
      <c r="K1434" s="1">
        <v>534.0</v>
      </c>
      <c r="L1434" s="1" t="s">
        <v>5546</v>
      </c>
      <c r="M1434" s="6" t="s">
        <v>5547</v>
      </c>
      <c r="N1434" s="7" t="str">
        <f>VLOOKUP(A1434, avaliacoes!A:G, 5, FALSE)</f>
        <v>Happy that I chose this,Good product,Easy usage,Go for it!,After a lot of research I found this one a very gud nd useful.,Higher sound level,Good to use. Using for the past 6 months. I run a home bakery. Quality is good.,Excellent</v>
      </c>
      <c r="O1434" s="7" t="str">
        <f>VLOOKUP(A1434, avaliacoes!A:G, 6, FALSE)</f>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v>
      </c>
    </row>
    <row r="1435">
      <c r="A1435" s="1" t="s">
        <v>5548</v>
      </c>
      <c r="B1435" s="1" t="s">
        <v>5549</v>
      </c>
      <c r="C1435" s="1" t="s">
        <v>4158</v>
      </c>
      <c r="D1435" s="1" t="str">
        <f t="shared" si="2"/>
        <v>Home&amp;Kitchen</v>
      </c>
      <c r="E1435" s="1" t="str">
        <f t="shared" si="3"/>
        <v>Heating,Cooling&amp;AirQuality</v>
      </c>
      <c r="F1435" s="2">
        <v>2599.0</v>
      </c>
      <c r="G1435" s="2">
        <v>4779.0</v>
      </c>
      <c r="H1435" s="3">
        <f t="shared" si="4"/>
        <v>0.4561623771</v>
      </c>
      <c r="I1435" s="4">
        <f>IFERROR(__xludf.DUMMYFUNCTION("GOOGLEFINANCE(""CURRENCY:INRBRL"")*F1435"),155.1039609572)</f>
        <v>155.103961</v>
      </c>
      <c r="J1435" s="1">
        <v>4.52</v>
      </c>
      <c r="K1435" s="1">
        <v>898.0</v>
      </c>
      <c r="L1435" s="1" t="s">
        <v>5550</v>
      </c>
      <c r="M1435" s="6" t="s">
        <v>5551</v>
      </c>
      <c r="N1435" s="7" t="str">
        <f>VLOOKUP(A1435, avaliacoes!A:G, 5, FALSE)</f>
        <v>Good quality and build,Noice to high,👌👌,Looking good,No anti dast,It is an excellent/quiet/efficient fan and the burgundy color is very good!,When it slow running It's noise out,Elegant and good quality product</v>
      </c>
      <c r="O1435" s="7" t="str">
        <f>VLOOKUP(A1435, avaliacoes!A:G, 6, FALSE)</f>
        <v>Good quality fan. Finish and colour was good. They even gave a safety metal rope for added safety.,Wind size improve,,Good fan from bugget,No Ani dast,,I am not satisfied this product,https://m.media-amazon.com/images/I/51-wl+rlQPL._SY88.jpg</v>
      </c>
    </row>
    <row r="1436">
      <c r="A1436" s="1" t="s">
        <v>5552</v>
      </c>
      <c r="B1436" s="1" t="s">
        <v>5553</v>
      </c>
      <c r="C1436" s="1" t="s">
        <v>5259</v>
      </c>
      <c r="D1436" s="1" t="str">
        <f t="shared" si="2"/>
        <v>Home&amp;Kitchen</v>
      </c>
      <c r="E1436" s="1" t="str">
        <f t="shared" si="3"/>
        <v>Kitchen&amp;HomeAppliances</v>
      </c>
      <c r="F1436" s="2">
        <v>1199.0</v>
      </c>
      <c r="G1436" s="2">
        <v>2399.0</v>
      </c>
      <c r="H1436" s="3">
        <f t="shared" si="4"/>
        <v>0.5002084202</v>
      </c>
      <c r="I1436" s="4">
        <f>IFERROR(__xludf.DUMMYFUNCTION("GOOGLEFINANCE(""CURRENCY:INRBRL"")*F1436"),71.5543090372)</f>
        <v>71.55430904</v>
      </c>
      <c r="J1436" s="1">
        <v>4.52</v>
      </c>
      <c r="K1436" s="1">
        <v>1202.0</v>
      </c>
      <c r="L1436" s="1" t="s">
        <v>5554</v>
      </c>
      <c r="M1436" s="6" t="s">
        <v>5555</v>
      </c>
      <c r="N1436" s="7" t="str">
        <f>VLOOKUP(A1436, avaliacoes!A:G, 5, FALSE)</f>
        <v>First time product user,Too short to use,Good product,Easy to use,Cost effective,Nice!!,Not great,Perfect Waffles #Waffled👍🏻</v>
      </c>
      <c r="O1436" s="7" t="str">
        <f>VLOOKUP(A1436, avaliacoes!A:G, 6, FALSE)</f>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v>
      </c>
    </row>
    <row r="1437">
      <c r="A1437" s="1" t="s">
        <v>5556</v>
      </c>
      <c r="B1437" s="1" t="s">
        <v>5557</v>
      </c>
      <c r="C1437" s="1" t="s">
        <v>3989</v>
      </c>
      <c r="D1437" s="1" t="str">
        <f t="shared" si="2"/>
        <v>Home&amp;Kitchen</v>
      </c>
      <c r="E1437" s="1" t="str">
        <f t="shared" si="3"/>
        <v>HomeStorage&amp;Organization</v>
      </c>
      <c r="F1437" s="2">
        <v>219.0</v>
      </c>
      <c r="G1437" s="2">
        <v>249.0</v>
      </c>
      <c r="H1437" s="3">
        <f t="shared" si="4"/>
        <v>0.1204819277</v>
      </c>
      <c r="I1437" s="4">
        <f>IFERROR(__xludf.DUMMYFUNCTION("GOOGLEFINANCE(""CURRENCY:INRBRL"")*F1437"),13.069552693199999)</f>
        <v>13.06955269</v>
      </c>
      <c r="J1437" s="1">
        <v>4.0</v>
      </c>
      <c r="K1437" s="1">
        <v>1108.0</v>
      </c>
      <c r="L1437" s="1" t="s">
        <v>5558</v>
      </c>
      <c r="M1437" s="6" t="s">
        <v>5559</v>
      </c>
      <c r="N1437" s="7" t="str">
        <f>VLOOKUP(A1437, avaliacoes!A:G, 5, FALSE)</f>
        <v>Worth Buying,Utility product,Good one,Average,Super,It’s ok,Good quality and worth the money,Not so durable and sturdy</v>
      </c>
      <c r="O1437" s="7" t="str">
        <f>VLOOKUP(A1437, avaliacoes!A:G, 6, FALSE)</f>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v>
      </c>
    </row>
    <row r="1438">
      <c r="A1438" s="1" t="s">
        <v>5560</v>
      </c>
      <c r="B1438" s="1" t="s">
        <v>5561</v>
      </c>
      <c r="C1438" s="1" t="s">
        <v>3851</v>
      </c>
      <c r="D1438" s="1" t="str">
        <f t="shared" si="2"/>
        <v>Home&amp;Kitchen</v>
      </c>
      <c r="E1438" s="1" t="str">
        <f t="shared" si="3"/>
        <v>Heating,Cooling&amp;AirQuality</v>
      </c>
      <c r="F1438" s="2">
        <v>799.0</v>
      </c>
      <c r="G1438" s="2">
        <v>1199.0</v>
      </c>
      <c r="H1438" s="3">
        <f t="shared" si="4"/>
        <v>0.3336113428</v>
      </c>
      <c r="I1438" s="4">
        <f>IFERROR(__xludf.DUMMYFUNCTION("GOOGLEFINANCE(""CURRENCY:INRBRL"")*F1438"),47.682979917199994)</f>
        <v>47.68297992</v>
      </c>
      <c r="J1438" s="1">
        <v>4.5</v>
      </c>
      <c r="K1438" s="1">
        <v>17.0</v>
      </c>
      <c r="L1438" s="1" t="s">
        <v>4095</v>
      </c>
      <c r="M1438" s="6" t="s">
        <v>5562</v>
      </c>
      <c r="N1438" s="7" t="str">
        <f>VLOOKUP(A1438, avaliacoes!A:G, 5, FALSE)</f>
        <v>Nice product,Best product for use in winter season,Amazing product,This devie is portable that majes its design fantastic and easy to use!,Handy heater,Awesome product,Fantastic one,Portable and easy to use.</v>
      </c>
      <c r="O1438" s="7" t="str">
        <f>VLOOKUP(A1438, avaliacoes!A:G, 6, FALSE)</f>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v>
      </c>
    </row>
    <row r="1439">
      <c r="A1439" s="1" t="s">
        <v>5563</v>
      </c>
      <c r="B1439" s="1" t="s">
        <v>5564</v>
      </c>
      <c r="C1439" s="1" t="s">
        <v>4427</v>
      </c>
      <c r="D1439" s="1" t="str">
        <f t="shared" si="2"/>
        <v>Home&amp;Kitchen</v>
      </c>
      <c r="E1439" s="1" t="str">
        <f t="shared" si="3"/>
        <v>Kitchen&amp;HomeAppliances</v>
      </c>
      <c r="F1439" s="2">
        <v>6199.0</v>
      </c>
      <c r="G1439" s="2">
        <v>10999.0</v>
      </c>
      <c r="H1439" s="3">
        <f t="shared" si="4"/>
        <v>0.4364033094</v>
      </c>
      <c r="I1439" s="4">
        <f>IFERROR(__xludf.DUMMYFUNCTION("GOOGLEFINANCE(""CURRENCY:INRBRL"")*F1439"),369.9459230372)</f>
        <v>369.945923</v>
      </c>
      <c r="J1439" s="1">
        <v>4.5</v>
      </c>
      <c r="K1439" s="1">
        <v>10429.0</v>
      </c>
      <c r="L1439" s="1" t="s">
        <v>5565</v>
      </c>
      <c r="M1439" s="6" t="s">
        <v>5566</v>
      </c>
      <c r="N1439" s="7" t="str">
        <f>VLOOKUP(A1439, avaliacoes!A:G, 5, FALSE)</f>
        <v>Product is good but huge noise,Good vaccum but too loud and noisy,The product was good,Good one,Super,Suction is awesome,Damage product received,A decent budget product for a clean house.</v>
      </c>
      <c r="O1439" s="7" t="str">
        <f>VLOOKUP(A1439, avaliacoes!A:G, 6, FALSE)</f>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v>
      </c>
    </row>
    <row r="1440">
      <c r="A1440" s="1" t="s">
        <v>5567</v>
      </c>
      <c r="B1440" s="1" t="s">
        <v>5568</v>
      </c>
      <c r="C1440" s="1" t="s">
        <v>3984</v>
      </c>
      <c r="D1440" s="1" t="str">
        <f t="shared" si="2"/>
        <v>Home&amp;Kitchen</v>
      </c>
      <c r="E1440" s="1" t="str">
        <f t="shared" si="3"/>
        <v>Kitchen&amp;HomeAppliances</v>
      </c>
      <c r="F1440" s="2">
        <v>6789.0</v>
      </c>
      <c r="G1440" s="2">
        <v>10995.0</v>
      </c>
      <c r="H1440" s="3">
        <f t="shared" si="4"/>
        <v>0.3825375171</v>
      </c>
      <c r="I1440" s="4">
        <f>IFERROR(__xludf.DUMMYFUNCTION("GOOGLEFINANCE(""CURRENCY:INRBRL"")*F1440"),405.1561334892)</f>
        <v>405.1561335</v>
      </c>
      <c r="J1440" s="1">
        <v>4.51</v>
      </c>
      <c r="K1440" s="1">
        <v>3192.0</v>
      </c>
      <c r="L1440" s="1" t="s">
        <v>5569</v>
      </c>
      <c r="M1440" s="6" t="s">
        <v>5570</v>
      </c>
      <c r="N1440" s="7" t="str">
        <f>VLOOKUP(A1440, avaliacoes!A:G, 5, FALSE)</f>
        <v>Nice product,Absolutely wonderful! Efficient and healthy,This is pretty good air fryer,Very good product,Very good quality product,Innovative design and good product,Best deal in this price,Cheap and best</v>
      </c>
      <c r="O1440" s="7" t="str">
        <f>VLOOKUP(A1440, avaliacoes!A:G, 6, FALSE)</f>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v>
      </c>
    </row>
    <row r="1441">
      <c r="A1441" s="1" t="s">
        <v>5571</v>
      </c>
      <c r="B1441" s="1" t="s">
        <v>5572</v>
      </c>
      <c r="C1441" s="1" t="s">
        <v>5573</v>
      </c>
      <c r="D1441" s="1" t="str">
        <f t="shared" si="2"/>
        <v>Home&amp;Kitchen</v>
      </c>
      <c r="E1441" s="1" t="str">
        <f t="shared" si="3"/>
        <v>Heating,Cooling&amp;AirQuality</v>
      </c>
      <c r="F1441" s="2">
        <v>1982.84</v>
      </c>
      <c r="G1441" s="2">
        <v>3299.0</v>
      </c>
      <c r="H1441" s="3">
        <f t="shared" si="4"/>
        <v>0.3989572598</v>
      </c>
      <c r="I1441" s="4">
        <f>IFERROR(__xludf.DUMMYFUNCTION("GOOGLEFINANCE(""CURRENCY:INRBRL"")*F1441"),118.33256558075199)</f>
        <v>118.3325656</v>
      </c>
      <c r="J1441" s="1">
        <v>4.49</v>
      </c>
      <c r="K1441" s="1">
        <v>5873.0</v>
      </c>
      <c r="L1441" s="1" t="s">
        <v>5574</v>
      </c>
      <c r="M1441" s="6" t="s">
        <v>5575</v>
      </c>
      <c r="N1441" s="7" t="str">
        <f>VLOOKUP(A1441, avaliacoes!A:G, 5, FALSE)</f>
        <v>Good quality fan,Good one...,Fraud,No remote control,Value for money,Easy to assemble,no remote control but I think worth for money(bcz low budget pedestal fan,Good,Nice fan</v>
      </c>
      <c r="O1441" s="7" t="str">
        <f>VLOOKUP(A1441, avaliacoes!A:G, 6, FALSE)</f>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v>
      </c>
    </row>
    <row r="1442">
      <c r="A1442" s="1" t="s">
        <v>5576</v>
      </c>
      <c r="B1442" s="1" t="s">
        <v>5577</v>
      </c>
      <c r="C1442" s="1" t="s">
        <v>4299</v>
      </c>
      <c r="D1442" s="1" t="str">
        <f t="shared" si="2"/>
        <v>Home&amp;Kitchen</v>
      </c>
      <c r="E1442" s="1" t="str">
        <f t="shared" si="3"/>
        <v>Kitchen&amp;HomeAppliances</v>
      </c>
      <c r="F1442" s="2">
        <v>199.0</v>
      </c>
      <c r="G1442" s="2">
        <v>400.0</v>
      </c>
      <c r="H1442" s="3">
        <f t="shared" si="4"/>
        <v>0.5025</v>
      </c>
      <c r="I1442" s="4">
        <f>IFERROR(__xludf.DUMMYFUNCTION("GOOGLEFINANCE(""CURRENCY:INRBRL"")*F1442"),11.8759862372)</f>
        <v>11.87598624</v>
      </c>
      <c r="J1442" s="1">
        <v>4.49</v>
      </c>
      <c r="K1442" s="1">
        <v>1379.0</v>
      </c>
      <c r="L1442" s="1" t="s">
        <v>5578</v>
      </c>
      <c r="M1442" s="6" t="s">
        <v>5579</v>
      </c>
      <c r="N1442" s="7" t="str">
        <f>VLOOKUP(A1442, avaliacoes!A:G, 5, FALSE)</f>
        <v>Good,Value of money,Good Product,Good,Product Provider is super responsive, as received my order within 2 days,Good product. Very useful. Highly recommended.,Honesty and transperancy of the seller was perfect,Poor</v>
      </c>
      <c r="O1442" s="7" t="str">
        <f>VLOOKUP(A1442, avaliacoes!A:G, 6, FALSE)</f>
        <v>Good. Apt to IFB washing machine,Useful for ifb washing Machines,Product is good and works fine for a month.,Good,Product is good and the provider also responses very fast . I got the order within 2 days,The product is so good for use.,One of the best. Extremely needful product,Expensive</v>
      </c>
    </row>
    <row r="1443">
      <c r="A1443" s="1" t="s">
        <v>5580</v>
      </c>
      <c r="B1443" s="1" t="s">
        <v>5581</v>
      </c>
      <c r="C1443" s="1" t="s">
        <v>3841</v>
      </c>
      <c r="D1443" s="1" t="str">
        <f t="shared" si="2"/>
        <v>Home&amp;Kitchen</v>
      </c>
      <c r="E1443" s="1" t="str">
        <f t="shared" si="3"/>
        <v>Kitchen&amp;HomeAppliances</v>
      </c>
      <c r="F1443" s="2">
        <v>1179.0</v>
      </c>
      <c r="G1443" s="2">
        <v>1439.0</v>
      </c>
      <c r="H1443" s="3">
        <f t="shared" si="4"/>
        <v>0.1806810285</v>
      </c>
      <c r="I1443" s="4">
        <f>IFERROR(__xludf.DUMMYFUNCTION("GOOGLEFINANCE(""CURRENCY:INRBRL"")*F1443"),70.3607425812)</f>
        <v>70.36074258</v>
      </c>
      <c r="J1443" s="1">
        <v>4.5</v>
      </c>
      <c r="K1443" s="1">
        <v>1527.0</v>
      </c>
      <c r="L1443" s="1" t="s">
        <v>5582</v>
      </c>
      <c r="M1443" s="6" t="s">
        <v>5583</v>
      </c>
      <c r="N1443" s="7" t="str">
        <f>VLOOKUP(A1443, avaliacoes!A:G, 5, FALSE)</f>
        <v>Excellent product,Great Quality,Good,V good product,Overall a good product,Money waste,Good kettle, but NOT for boiling milk,Gud</v>
      </c>
      <c r="O1443" s="7" t="str">
        <f>VLOOKUP(A1443, avaliacoes!A:G, 6, FALSE)</f>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v>
      </c>
    </row>
    <row r="1444">
      <c r="A1444" s="1" t="s">
        <v>5584</v>
      </c>
      <c r="B1444" s="1" t="s">
        <v>5585</v>
      </c>
      <c r="C1444" s="1" t="s">
        <v>4158</v>
      </c>
      <c r="D1444" s="1" t="str">
        <f t="shared" si="2"/>
        <v>Home&amp;Kitchen</v>
      </c>
      <c r="E1444" s="1" t="str">
        <f t="shared" si="3"/>
        <v>Heating,Cooling&amp;AirQuality</v>
      </c>
      <c r="F1444" s="2">
        <v>2199.0</v>
      </c>
      <c r="G1444" s="2">
        <v>3045.0</v>
      </c>
      <c r="H1444" s="3">
        <f t="shared" si="4"/>
        <v>0.2778325123</v>
      </c>
      <c r="I1444" s="4">
        <f>IFERROR(__xludf.DUMMYFUNCTION("GOOGLEFINANCE(""CURRENCY:INRBRL"")*F1444"),131.2326318372)</f>
        <v>131.2326318</v>
      </c>
      <c r="J1444" s="1">
        <v>4.5</v>
      </c>
      <c r="K1444" s="1">
        <v>2686.0</v>
      </c>
      <c r="L1444" s="1" t="s">
        <v>5586</v>
      </c>
      <c r="M1444" s="6" t="s">
        <v>5587</v>
      </c>
      <c r="N1444" s="7" t="str">
        <f>VLOOKUP(A1444, avaliacoes!A:G, 5, FALSE)</f>
        <v>Very good product..quality is good,A good product with superb buid quality,Not happy,Good,Good,Noisy but good,Remote control spoils the fan operation,Good performance</v>
      </c>
      <c r="O1444" s="7" t="str">
        <f>VLOOKUP(A1444, avaliacoes!A:G, 6, FALSE)</f>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v>
      </c>
    </row>
    <row r="1445">
      <c r="A1445" s="1" t="s">
        <v>5588</v>
      </c>
      <c r="B1445" s="1" t="s">
        <v>5589</v>
      </c>
      <c r="C1445" s="1" t="s">
        <v>4290</v>
      </c>
      <c r="D1445" s="1" t="str">
        <f t="shared" si="2"/>
        <v>Home&amp;Kitchen</v>
      </c>
      <c r="E1445" s="1" t="str">
        <f t="shared" si="3"/>
        <v>Kitchen&amp;HomeAppliances</v>
      </c>
      <c r="F1445" s="2">
        <v>2999.0</v>
      </c>
      <c r="G1445" s="2">
        <v>3595.0</v>
      </c>
      <c r="H1445" s="3">
        <f t="shared" si="4"/>
        <v>0.1657858136</v>
      </c>
      <c r="I1445" s="4">
        <f>IFERROR(__xludf.DUMMYFUNCTION("GOOGLEFINANCE(""CURRENCY:INRBRL"")*F1445"),178.9752900772)</f>
        <v>178.9752901</v>
      </c>
      <c r="J1445" s="1">
        <v>4.0</v>
      </c>
      <c r="K1445" s="1">
        <v>178.0</v>
      </c>
      <c r="L1445" s="1" t="s">
        <v>5590</v>
      </c>
      <c r="M1445" s="6" t="s">
        <v>5591</v>
      </c>
      <c r="N1445" s="7" t="str">
        <f>VLOOKUP(A1445, avaliacoes!A:G, 5, FALSE)</f>
        <v>Spring alignment issue or overall alignment,Love it…,Only for black coffee not with mil,Great coffee maker.,Good product,Great coffee maker,Best brews coffee,Nice coffee maker</v>
      </c>
      <c r="O1445" s="7" t="str">
        <f>VLOOKUP(A1445, avaliacoes!A:G, 6, FALSE)</f>
        <v>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v>
      </c>
    </row>
    <row r="1446">
      <c r="A1446" s="1" t="s">
        <v>5592</v>
      </c>
      <c r="B1446" s="1" t="s">
        <v>5593</v>
      </c>
      <c r="C1446" s="1" t="s">
        <v>5594</v>
      </c>
      <c r="D1446" s="1" t="str">
        <f t="shared" si="2"/>
        <v>Home&amp;Kitchen</v>
      </c>
      <c r="E1446" s="1" t="str">
        <f t="shared" si="3"/>
        <v>Kitchen&amp;HomeAppliances</v>
      </c>
      <c r="F1446" s="2">
        <v>253.0</v>
      </c>
      <c r="G1446" s="2">
        <v>500.0</v>
      </c>
      <c r="H1446" s="3">
        <f t="shared" si="4"/>
        <v>0.494</v>
      </c>
      <c r="I1446" s="4">
        <f>IFERROR(__xludf.DUMMYFUNCTION("GOOGLEFINANCE(""CURRENCY:INRBRL"")*F1446"),15.098615668399999)</f>
        <v>15.09861567</v>
      </c>
      <c r="J1446" s="1">
        <v>4.5</v>
      </c>
      <c r="K1446" s="1">
        <v>2664.0</v>
      </c>
      <c r="L1446" s="1" t="s">
        <v>5595</v>
      </c>
      <c r="M1446" s="6" t="s">
        <v>5596</v>
      </c>
      <c r="N1446" s="7" t="str">
        <f>VLOOKUP(A1446, avaliacoes!A:G, 5, FALSE)</f>
        <v>Bigger size,Superb.,Vacuum Bag,Price is reasonable and not available locally,Works perfect,Genuine Eureka Forbes,nice,Very good</v>
      </c>
      <c r="O1446" s="7" t="str">
        <f>VLOOKUP(A1446, avaliacoes!A:G, 6, FALSE)</f>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v>
      </c>
    </row>
    <row r="1447">
      <c r="A1447" s="1" t="s">
        <v>5597</v>
      </c>
      <c r="B1447" s="1" t="s">
        <v>5598</v>
      </c>
      <c r="C1447" s="1" t="s">
        <v>4901</v>
      </c>
      <c r="D1447" s="1" t="str">
        <f t="shared" si="2"/>
        <v>Home&amp;Kitchen</v>
      </c>
      <c r="E1447" s="1" t="str">
        <f t="shared" si="3"/>
        <v>Heating,Cooling&amp;AirQuality</v>
      </c>
      <c r="F1447" s="2">
        <v>499.0</v>
      </c>
      <c r="G1447" s="2">
        <v>799.0</v>
      </c>
      <c r="H1447" s="3">
        <f t="shared" si="4"/>
        <v>0.3754693367</v>
      </c>
      <c r="I1447" s="4">
        <f>IFERROR(__xludf.DUMMYFUNCTION("GOOGLEFINANCE(""CURRENCY:INRBRL"")*F1447"),29.7794830772)</f>
        <v>29.77948308</v>
      </c>
      <c r="J1447" s="1">
        <v>4.51</v>
      </c>
      <c r="K1447" s="1">
        <v>212.0</v>
      </c>
      <c r="L1447" s="1" t="s">
        <v>5599</v>
      </c>
      <c r="M1447" s="6" t="s">
        <v>5600</v>
      </c>
      <c r="N1447" s="7" t="str">
        <f>VLOOKUP(A1447, avaliacoes!A:G, 5, FALSE)</f>
        <v>I would not really recommend it,Good,Over all good, not suitable for living room,NOT USEFUL,Great product! Works perfectly fine,Smells good,Ok,Worth it</v>
      </c>
      <c r="O1447" s="7" t="str">
        <f>VLOOKUP(A1447, avaliacoes!A:G, 6, FALSE)</f>
        <v>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v>
      </c>
    </row>
    <row r="1448">
      <c r="A1448" s="1" t="s">
        <v>5601</v>
      </c>
      <c r="B1448" s="1" t="s">
        <v>5602</v>
      </c>
      <c r="C1448" s="1" t="s">
        <v>3846</v>
      </c>
      <c r="D1448" s="1" t="str">
        <f t="shared" si="2"/>
        <v>Home&amp;Kitchen</v>
      </c>
      <c r="E1448" s="1" t="str">
        <f t="shared" si="3"/>
        <v>Heating,Cooling&amp;AirQuality</v>
      </c>
      <c r="F1448" s="2">
        <v>1149.0</v>
      </c>
      <c r="G1448" s="2">
        <v>1899.0</v>
      </c>
      <c r="H1448" s="3">
        <f t="shared" si="4"/>
        <v>0.3949447077</v>
      </c>
      <c r="I1448" s="4">
        <f>IFERROR(__xludf.DUMMYFUNCTION("GOOGLEFINANCE(""CURRENCY:INRBRL"")*F1448"),68.5703928972)</f>
        <v>68.5703929</v>
      </c>
      <c r="J1448" s="1">
        <v>4.5</v>
      </c>
      <c r="K1448" s="1">
        <v>24.0</v>
      </c>
      <c r="L1448" s="1" t="s">
        <v>5603</v>
      </c>
      <c r="M1448" s="6" t="s">
        <v>5604</v>
      </c>
      <c r="N1448" s="7" t="str">
        <f>VLOOKUP(A1448, avaliacoes!A:G, 5, FALSE)</f>
        <v>Good,Good Design,NICE PRODUCT,Not sturdy,Good product,Best one out there!,Best in the market,Poor quality</v>
      </c>
      <c r="O1448" s="7" t="str">
        <f>VLOOKUP(A1448, avaliacoes!A:G, 6, FALSE)</f>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v>
      </c>
    </row>
    <row r="1449">
      <c r="A1449" s="1" t="s">
        <v>5605</v>
      </c>
      <c r="B1449" s="1" t="s">
        <v>5606</v>
      </c>
      <c r="C1449" s="1" t="s">
        <v>3909</v>
      </c>
      <c r="D1449" s="1" t="str">
        <f t="shared" si="2"/>
        <v>Home&amp;Kitchen</v>
      </c>
      <c r="E1449" s="1" t="str">
        <f t="shared" si="3"/>
        <v>Kitchen&amp;HomeAppliances</v>
      </c>
      <c r="F1449" s="2">
        <v>457.0</v>
      </c>
      <c r="G1449" s="2">
        <v>799.0</v>
      </c>
      <c r="H1449" s="3">
        <f t="shared" si="4"/>
        <v>0.4280350438</v>
      </c>
      <c r="I1449" s="4">
        <f>IFERROR(__xludf.DUMMYFUNCTION("GOOGLEFINANCE(""CURRENCY:INRBRL"")*F1449"),27.272993519599996)</f>
        <v>27.27299352</v>
      </c>
      <c r="J1449" s="1">
        <v>4.5</v>
      </c>
      <c r="K1449" s="1">
        <v>1868.0</v>
      </c>
      <c r="L1449" s="1" t="s">
        <v>5607</v>
      </c>
      <c r="M1449" s="6" t="s">
        <v>5608</v>
      </c>
      <c r="N1449" s="7" t="str">
        <f>VLOOKUP(A1449, avaliacoes!A:G, 5, FALSE)</f>
        <v>All fine but the cord is too short,Good quality,Great quality go and buy...,Stand nahi hota hai gir jata hai,Good iron at this price,Awesome,There was one scratch on the surface which was hide under the sticker,Superb quality</v>
      </c>
      <c r="O1449" s="7" t="str">
        <f>VLOOKUP(A1449, avaliacoes!A:G, 6, FALSE)</f>
        <v>Cord is too short,Good quality in this price range,Like the product great quality and easy to use,Ok hai,Good,Light weight working good,Good product value for money,Mind-blowing performance superb worth for money</v>
      </c>
    </row>
    <row r="1450">
      <c r="A1450" s="1" t="s">
        <v>5609</v>
      </c>
      <c r="B1450" s="1" t="s">
        <v>5610</v>
      </c>
      <c r="C1450" s="1" t="s">
        <v>4884</v>
      </c>
      <c r="D1450" s="1" t="str">
        <f t="shared" si="2"/>
        <v>Home&amp;Kitchen</v>
      </c>
      <c r="E1450" s="1" t="str">
        <f t="shared" si="3"/>
        <v>Kitchen&amp;HomeAppliances</v>
      </c>
      <c r="F1450" s="2">
        <v>229.0</v>
      </c>
      <c r="G1450" s="2">
        <v>399.0</v>
      </c>
      <c r="H1450" s="3">
        <f t="shared" si="4"/>
        <v>0.4260651629</v>
      </c>
      <c r="I1450" s="4">
        <f>IFERROR(__xludf.DUMMYFUNCTION("GOOGLEFINANCE(""CURRENCY:INRBRL"")*F1450"),13.666335921199998)</f>
        <v>13.66633592</v>
      </c>
      <c r="J1450" s="1">
        <v>4.51</v>
      </c>
      <c r="K1450" s="1">
        <v>451.0</v>
      </c>
      <c r="L1450" s="1" t="s">
        <v>5611</v>
      </c>
      <c r="M1450" s="6" t="s">
        <v>5612</v>
      </c>
      <c r="N1450" s="7" t="str">
        <f>VLOOKUP(A1450, avaliacoes!A:G, 5, FALSE)</f>
        <v>Rechargable batteries do not fit correctly,Okay product,Great purchase.,Average,Fantastic,Just buy it...,Product is good for this price,Happy That I didn't have to go to Hyderabad for IKEA.</v>
      </c>
      <c r="O1450" s="7" t="str">
        <f>VLOOKUP(A1450, avaliacoes!A:G, 6, FALSE)</f>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v>
      </c>
    </row>
    <row r="1451">
      <c r="A1451" s="1" t="s">
        <v>5613</v>
      </c>
      <c r="B1451" s="1" t="s">
        <v>5614</v>
      </c>
      <c r="C1451" s="1" t="s">
        <v>4299</v>
      </c>
      <c r="D1451" s="1" t="str">
        <f t="shared" si="2"/>
        <v>Home&amp;Kitchen</v>
      </c>
      <c r="E1451" s="1" t="str">
        <f t="shared" si="3"/>
        <v>Kitchen&amp;HomeAppliances</v>
      </c>
      <c r="F1451" s="2">
        <v>199.0</v>
      </c>
      <c r="G1451" s="2">
        <v>699.0</v>
      </c>
      <c r="H1451" s="3">
        <f t="shared" si="4"/>
        <v>0.7153075823</v>
      </c>
      <c r="I1451" s="4">
        <f>IFERROR(__xludf.DUMMYFUNCTION("GOOGLEFINANCE(""CURRENCY:INRBRL"")*F1451"),11.8759862372)</f>
        <v>11.87598624</v>
      </c>
      <c r="J1451" s="1">
        <v>4.52</v>
      </c>
      <c r="K1451" s="1">
        <v>159.0</v>
      </c>
      <c r="L1451" s="1" t="s">
        <v>5615</v>
      </c>
      <c r="M1451" s="6" t="s">
        <v>5616</v>
      </c>
      <c r="N1451" s="7" t="str">
        <f>VLOOKUP(A1451, avaliacoes!A:G, 5, FALSE)</f>
        <v>Stop working after few days,Ok. Changing every 4 months toomuch,Tap filter,Quality,Doesn't purify water,Very good product,REALLY GOOD!,Bad</v>
      </c>
      <c r="O1451" s="7" t="str">
        <f>VLOOKUP(A1451, avaliacoes!A:G, 6, FALSE)</f>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v>
      </c>
    </row>
    <row r="1452">
      <c r="A1452" s="1" t="s">
        <v>5617</v>
      </c>
      <c r="B1452" s="1" t="s">
        <v>5618</v>
      </c>
      <c r="C1452" s="1" t="s">
        <v>5259</v>
      </c>
      <c r="D1452" s="1" t="str">
        <f t="shared" si="2"/>
        <v>Home&amp;Kitchen</v>
      </c>
      <c r="E1452" s="1" t="str">
        <f t="shared" si="3"/>
        <v>Kitchen&amp;HomeAppliances</v>
      </c>
      <c r="F1452" s="2">
        <v>899.0</v>
      </c>
      <c r="G1452" s="2">
        <v>1999.0</v>
      </c>
      <c r="H1452" s="3">
        <f t="shared" si="4"/>
        <v>0.5502751376</v>
      </c>
      <c r="I1452" s="4">
        <f>IFERROR(__xludf.DUMMYFUNCTION("GOOGLEFINANCE(""CURRENCY:INRBRL"")*F1452"),53.6508121972)</f>
        <v>53.6508122</v>
      </c>
      <c r="J1452" s="1">
        <v>4.5</v>
      </c>
      <c r="K1452" s="1">
        <v>39.0</v>
      </c>
      <c r="L1452" s="1" t="s">
        <v>5619</v>
      </c>
      <c r="M1452" s="6" t="s">
        <v>5620</v>
      </c>
      <c r="N1452" s="7" t="str">
        <f>VLOOKUP(A1452, avaliacoes!A:G, 5, FALSE)</f>
        <v>Easy To Carry,Nice product,Handy and easy to use,Best,Very easy to make waffle. Best product from Amazon,easy to make,Disappointed,Very gud n very easy make waffers I love it this produt</v>
      </c>
      <c r="O1452" s="7" t="str">
        <f>VLOOKUP(A1452, avaliacoes!A:G, 6, FALSE)</f>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v>
      </c>
    </row>
    <row r="1453">
      <c r="A1453" s="1" t="s">
        <v>5621</v>
      </c>
      <c r="B1453" s="1" t="s">
        <v>5622</v>
      </c>
      <c r="C1453" s="1" t="s">
        <v>4596</v>
      </c>
      <c r="D1453" s="1" t="str">
        <f t="shared" si="2"/>
        <v>Home&amp;Kitchen</v>
      </c>
      <c r="E1453" s="1" t="str">
        <f t="shared" si="3"/>
        <v>Kitchen&amp;HomeAppliances</v>
      </c>
      <c r="F1453" s="2">
        <v>1499.0</v>
      </c>
      <c r="G1453" s="2">
        <v>2199.0</v>
      </c>
      <c r="H1453" s="3">
        <f t="shared" si="4"/>
        <v>0.3183265121</v>
      </c>
      <c r="I1453" s="4">
        <f>IFERROR(__xludf.DUMMYFUNCTION("GOOGLEFINANCE(""CURRENCY:INRBRL"")*F1453"),89.45780587719999)</f>
        <v>89.45780588</v>
      </c>
      <c r="J1453" s="1">
        <v>4.5</v>
      </c>
      <c r="K1453" s="1">
        <v>6531.0</v>
      </c>
      <c r="L1453" s="1" t="s">
        <v>5623</v>
      </c>
      <c r="M1453" s="6" t="s">
        <v>5624</v>
      </c>
      <c r="N1453" s="7" t="str">
        <f>VLOOKUP(A1453, avaliacoes!A:G, 5, FALSE)</f>
        <v>If you’re a home baker, just go for it without doubt,Excellent👍,Nice product,Useful,Bhari,Too good,Good for cake,Useful</v>
      </c>
      <c r="O1453" s="7" t="str">
        <f>VLOOKUP(A1453, avaliacoes!A:G, 6, FALSE)</f>
        <v>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v>
      </c>
    </row>
    <row r="1454">
      <c r="A1454" s="1" t="s">
        <v>5625</v>
      </c>
      <c r="B1454" s="1" t="s">
        <v>5626</v>
      </c>
      <c r="C1454" s="1" t="s">
        <v>3904</v>
      </c>
      <c r="D1454" s="1" t="str">
        <f t="shared" si="2"/>
        <v>Home&amp;Kitchen</v>
      </c>
      <c r="E1454" s="1" t="str">
        <f t="shared" si="3"/>
        <v>Kitchen&amp;HomeAppliances</v>
      </c>
      <c r="F1454" s="2">
        <v>426.0</v>
      </c>
      <c r="G1454" s="2">
        <v>999.0</v>
      </c>
      <c r="H1454" s="3">
        <f t="shared" si="4"/>
        <v>0.5735735736</v>
      </c>
      <c r="I1454" s="4">
        <f>IFERROR(__xludf.DUMMYFUNCTION("GOOGLEFINANCE(""CURRENCY:INRBRL"")*F1454"),25.422965512799998)</f>
        <v>25.42296551</v>
      </c>
      <c r="J1454" s="1">
        <v>4.49</v>
      </c>
      <c r="K1454" s="1">
        <v>222.0</v>
      </c>
      <c r="L1454" s="1" t="s">
        <v>5627</v>
      </c>
      <c r="M1454" s="6" t="s">
        <v>5628</v>
      </c>
      <c r="N1454" s="7" t="str">
        <f>VLOOKUP(A1454, avaliacoes!A:G, 5, FALSE)</f>
        <v>Good product,Very nice product,The product Is good according to its rate,The product is nice in its working. The only issue is handling product.,Just 30 Seconds and frothy coffee ready.,Nice product,Ok product,The product is by far good</v>
      </c>
      <c r="O1454" s="7" t="str">
        <f>VLOOKUP(A1454, avaliacoes!A:G, 6, FALSE)</f>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v>
      </c>
    </row>
    <row r="1455">
      <c r="A1455" s="1" t="s">
        <v>5629</v>
      </c>
      <c r="B1455" s="1" t="s">
        <v>5630</v>
      </c>
      <c r="C1455" s="1" t="s">
        <v>3851</v>
      </c>
      <c r="D1455" s="1" t="str">
        <f t="shared" si="2"/>
        <v>Home&amp;Kitchen</v>
      </c>
      <c r="E1455" s="1" t="str">
        <f t="shared" si="3"/>
        <v>Heating,Cooling&amp;AirQuality</v>
      </c>
      <c r="F1455" s="2">
        <v>2319.0</v>
      </c>
      <c r="G1455" s="2">
        <v>3289.0</v>
      </c>
      <c r="H1455" s="3">
        <f t="shared" si="4"/>
        <v>0.2949224688</v>
      </c>
      <c r="I1455" s="4">
        <f>IFERROR(__xludf.DUMMYFUNCTION("GOOGLEFINANCE(""CURRENCY:INRBRL"")*F1455"),138.39403057319998)</f>
        <v>138.3940306</v>
      </c>
      <c r="J1455" s="1">
        <v>4.51</v>
      </c>
      <c r="K1455" s="1">
        <v>195.0</v>
      </c>
      <c r="L1455" s="1" t="s">
        <v>5631</v>
      </c>
      <c r="M1455" s="6" t="s">
        <v>5632</v>
      </c>
      <c r="N1455" s="7" t="str">
        <f>VLOOKUP(A1455, avaliacoes!A:G, 5, FALSE)</f>
        <v>Excellent,Bad Bad product. Please don't buy.,Usefully good Product,Value for money,hot air flow range not so much,Heat up immediately not working properly,Good quality,Good Product</v>
      </c>
      <c r="O1455" s="7" t="str">
        <f>VLOOKUP(A1455, avaliacoes!A:G, 6, FALSE)</f>
        <v>Very good product,Bad Bad product. Please don't buy.,My Requirements fulfilled &amp; Very Nice Products,,hot air flow range not so much,,Good quality,It's doing the great job.</v>
      </c>
    </row>
    <row r="1456">
      <c r="A1456" s="1" t="s">
        <v>5633</v>
      </c>
      <c r="B1456" s="1" t="s">
        <v>5634</v>
      </c>
      <c r="C1456" s="1" t="s">
        <v>4558</v>
      </c>
      <c r="D1456" s="1" t="str">
        <f t="shared" si="2"/>
        <v>Home&amp;Kitchen</v>
      </c>
      <c r="E1456" s="1" t="str">
        <f t="shared" si="3"/>
        <v>Kitchen&amp;HomeAppliances</v>
      </c>
      <c r="F1456" s="2">
        <v>1563.0</v>
      </c>
      <c r="G1456" s="2">
        <v>3098.0</v>
      </c>
      <c r="H1456" s="3">
        <f t="shared" si="4"/>
        <v>0.4954809555</v>
      </c>
      <c r="I1456" s="4">
        <f>IFERROR(__xludf.DUMMYFUNCTION("GOOGLEFINANCE(""CURRENCY:INRBRL"")*F1456"),93.2772185364)</f>
        <v>93.27721854</v>
      </c>
      <c r="J1456" s="1">
        <v>4.5</v>
      </c>
      <c r="K1456" s="1">
        <v>2283.0</v>
      </c>
      <c r="L1456" s="1" t="s">
        <v>5635</v>
      </c>
      <c r="M1456" s="6" t="s">
        <v>5636</v>
      </c>
      <c r="N1456" s="7" t="str">
        <f>VLOOKUP(A1456, avaliacoes!A:G, 5, FALSE)</f>
        <v>Okay,Use full only kid's clothes,Good for beginners or minor repairs,Accessories,Not good for beginners,Good product,Good for small work at home,Good product</v>
      </c>
      <c r="O1456" s="7" t="str">
        <f>VLOOKUP(A1456, avaliacoes!A:G, 6, FALSE)</f>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v>
      </c>
    </row>
    <row r="1457">
      <c r="A1457" s="1" t="s">
        <v>5637</v>
      </c>
      <c r="B1457" s="1" t="s">
        <v>5638</v>
      </c>
      <c r="C1457" s="1" t="s">
        <v>3846</v>
      </c>
      <c r="D1457" s="1" t="str">
        <f t="shared" si="2"/>
        <v>Home&amp;Kitchen</v>
      </c>
      <c r="E1457" s="1" t="str">
        <f t="shared" si="3"/>
        <v>Heating,Cooling&amp;AirQuality</v>
      </c>
      <c r="F1457" s="2">
        <v>3487.77</v>
      </c>
      <c r="G1457" s="2">
        <v>4989.0</v>
      </c>
      <c r="H1457" s="3">
        <f t="shared" si="4"/>
        <v>0.3009079976</v>
      </c>
      <c r="I1457" s="4">
        <f>IFERROR(__xludf.DUMMYFUNCTION("GOOGLEFINANCE(""CURRENCY:INRBRL"")*F1457"),208.144263912156)</f>
        <v>208.1442639</v>
      </c>
      <c r="J1457" s="1">
        <v>4.49</v>
      </c>
      <c r="K1457" s="1">
        <v>1127.0</v>
      </c>
      <c r="L1457" s="1" t="s">
        <v>5639</v>
      </c>
      <c r="M1457" s="6" t="s">
        <v>5640</v>
      </c>
      <c r="N1457" s="7" t="str">
        <f>VLOOKUP(A1457, avaliacoes!A:G, 5, FALSE)</f>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v>
      </c>
      <c r="O1457" s="7" t="str">
        <f>VLOOKUP(A1457, avaliacoes!A:G, 6, FALSE)</f>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v>
      </c>
    </row>
    <row r="1458">
      <c r="A1458" s="1" t="s">
        <v>5641</v>
      </c>
      <c r="B1458" s="1" t="s">
        <v>5642</v>
      </c>
      <c r="C1458" s="1" t="s">
        <v>4115</v>
      </c>
      <c r="D1458" s="1" t="str">
        <f t="shared" si="2"/>
        <v>Home&amp;Kitchen</v>
      </c>
      <c r="E1458" s="1" t="str">
        <f t="shared" si="3"/>
        <v>Kitchen&amp;HomeAppliances</v>
      </c>
      <c r="F1458" s="2">
        <v>498.0</v>
      </c>
      <c r="G1458" s="2">
        <v>1199.0</v>
      </c>
      <c r="H1458" s="3">
        <f t="shared" si="4"/>
        <v>0.5846538782</v>
      </c>
      <c r="I1458" s="4">
        <f>IFERROR(__xludf.DUMMYFUNCTION("GOOGLEFINANCE(""CURRENCY:INRBRL"")*F1458"),29.7198047544)</f>
        <v>29.71980475</v>
      </c>
      <c r="J1458" s="1">
        <v>4.5</v>
      </c>
      <c r="K1458" s="1">
        <v>113.0</v>
      </c>
      <c r="L1458" s="1" t="s">
        <v>5643</v>
      </c>
      <c r="M1458" s="6" t="s">
        <v>5644</v>
      </c>
      <c r="N1458" s="7" t="str">
        <f>VLOOKUP(A1458, avaliacoes!A:G, 5, FALSE)</f>
        <v>Cutter speed and power is very low,Nt happy wit d prdct,Not as expected,Not even worth a star,Very poor product,Not good</v>
      </c>
      <c r="O1458" s="7" t="str">
        <f>VLOOKUP(A1458, avaliacoes!A:G, 6, FALSE)</f>
        <v>,It's nt wrkng evn aftr 4 hours of charging,The motor,  blade are poor,Doesn't perform. The machine gets jammed every time.,Poor quality...never buy such product ...,Pls not sell this time</v>
      </c>
    </row>
    <row r="1459">
      <c r="A1459" s="1" t="s">
        <v>5645</v>
      </c>
      <c r="B1459" s="1" t="s">
        <v>5646</v>
      </c>
      <c r="C1459" s="1" t="s">
        <v>3841</v>
      </c>
      <c r="D1459" s="1" t="str">
        <f t="shared" si="2"/>
        <v>Home&amp;Kitchen</v>
      </c>
      <c r="E1459" s="1" t="str">
        <f t="shared" si="3"/>
        <v>Kitchen&amp;HomeAppliances</v>
      </c>
      <c r="F1459" s="2">
        <v>2695.0</v>
      </c>
      <c r="G1459" s="2">
        <v>2695.0</v>
      </c>
      <c r="H1459" s="3">
        <f t="shared" si="4"/>
        <v>0</v>
      </c>
      <c r="I1459" s="4">
        <f>IFERROR(__xludf.DUMMYFUNCTION("GOOGLEFINANCE(""CURRENCY:INRBRL"")*F1459"),160.833079946)</f>
        <v>160.8330799</v>
      </c>
      <c r="J1459" s="1">
        <v>4.5</v>
      </c>
      <c r="K1459" s="1">
        <v>2518.0</v>
      </c>
      <c r="L1459" s="1" t="s">
        <v>5647</v>
      </c>
      <c r="M1459" s="6" t="s">
        <v>5648</v>
      </c>
      <c r="N1459" s="7" t="str">
        <f>VLOOKUP(A1459, avaliacoes!A:G, 5, FALSE)</f>
        <v>3,Sturdy and Works Flawlessly,Excellent 👍,Really Good Product,Cord is very small,Plug size is bigger now, comes with 15A! Please change the plug size to 5Amps,Broken material given,Good product</v>
      </c>
      <c r="O1459" s="7" t="str">
        <f>VLOOKUP(A1459, avaliacoes!A:G, 6, FALSE)</f>
        <v>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v>
      </c>
    </row>
    <row r="1460">
      <c r="A1460" s="1" t="s">
        <v>5649</v>
      </c>
      <c r="B1460" s="1" t="s">
        <v>5650</v>
      </c>
      <c r="C1460" s="1" t="s">
        <v>3846</v>
      </c>
      <c r="D1460" s="1" t="str">
        <f t="shared" si="2"/>
        <v>Home&amp;Kitchen</v>
      </c>
      <c r="E1460" s="1" t="str">
        <f t="shared" si="3"/>
        <v>Heating,Cooling&amp;AirQuality</v>
      </c>
      <c r="F1460" s="2">
        <v>949.0</v>
      </c>
      <c r="G1460" s="2">
        <v>2299.0</v>
      </c>
      <c r="H1460" s="3">
        <f t="shared" si="4"/>
        <v>0.5872118312</v>
      </c>
      <c r="I1460" s="4">
        <f>IFERROR(__xludf.DUMMYFUNCTION("GOOGLEFINANCE(""CURRENCY:INRBRL"")*F1460"),56.634728337199995)</f>
        <v>56.63472834</v>
      </c>
      <c r="J1460" s="1">
        <v>4.51</v>
      </c>
      <c r="K1460" s="1">
        <v>550.0</v>
      </c>
      <c r="L1460" s="1" t="s">
        <v>5651</v>
      </c>
      <c r="M1460" s="6" t="s">
        <v>5652</v>
      </c>
      <c r="N1460" s="7" t="str">
        <f>VLOOKUP(A1460, avaliacoes!A:G, 5, FALSE)</f>
        <v>Product functioning ok but price is quite high,Compact and effective,Nice product,AdiLakshmi,Best product,LIBRA 2000 Watt Portable Room Heater with adjustable thermostat,receive faulty product,Very good heater.</v>
      </c>
      <c r="O1460" s="7" t="str">
        <f>VLOOKUP(A1460, avaliacoes!A:G, 6, FALSE)</f>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v>
      </c>
    </row>
    <row r="1461">
      <c r="A1461" s="1" t="s">
        <v>5653</v>
      </c>
      <c r="B1461" s="1" t="s">
        <v>5654</v>
      </c>
      <c r="C1461" s="1" t="s">
        <v>3856</v>
      </c>
      <c r="D1461" s="1" t="str">
        <f t="shared" si="2"/>
        <v>Home&amp;Kitchen</v>
      </c>
      <c r="E1461" s="1" t="str">
        <f t="shared" si="3"/>
        <v>Kitchen&amp;HomeAppliances</v>
      </c>
      <c r="F1461" s="2">
        <v>199.0</v>
      </c>
      <c r="G1461" s="2">
        <v>999.0</v>
      </c>
      <c r="H1461" s="3">
        <f t="shared" si="4"/>
        <v>0.8008008008</v>
      </c>
      <c r="I1461" s="4">
        <f>IFERROR(__xludf.DUMMYFUNCTION("GOOGLEFINANCE(""CURRENCY:INRBRL"")*F1461"),11.8759862372)</f>
        <v>11.87598624</v>
      </c>
      <c r="J1461" s="1">
        <v>4.49</v>
      </c>
      <c r="K1461" s="1">
        <v>2.0</v>
      </c>
      <c r="L1461" s="1" t="s">
        <v>5655</v>
      </c>
      <c r="M1461" s="6" t="s">
        <v>5656</v>
      </c>
      <c r="N1461" s="7" t="str">
        <f>VLOOKUP(A1461, avaliacoes!A:G, 5, FALSE)</f>
        <v>Useless</v>
      </c>
      <c r="O1461" s="7" t="str">
        <f>VLOOKUP(A1461, avaliacoes!A:G, 6, FALSE)</f>
        <v>Does not work as advertised at all. The pieces came out all nice and clean ... No hair stuck to them. All positive ratings are obviously bought.</v>
      </c>
    </row>
    <row r="1462">
      <c r="A1462" s="1" t="s">
        <v>5657</v>
      </c>
      <c r="B1462" s="1" t="s">
        <v>5658</v>
      </c>
      <c r="C1462" s="1" t="s">
        <v>4299</v>
      </c>
      <c r="D1462" s="1" t="str">
        <f t="shared" si="2"/>
        <v>Home&amp;Kitchen</v>
      </c>
      <c r="E1462" s="1" t="str">
        <f t="shared" si="3"/>
        <v>Kitchen&amp;HomeAppliances</v>
      </c>
      <c r="F1462" s="2">
        <v>379.0</v>
      </c>
      <c r="G1462" s="2">
        <v>919.0</v>
      </c>
      <c r="H1462" s="3">
        <f t="shared" si="4"/>
        <v>0.5875952122</v>
      </c>
      <c r="I1462" s="4">
        <f>IFERROR(__xludf.DUMMYFUNCTION("GOOGLEFINANCE(""CURRENCY:INRBRL"")*F1462"),22.6180843412)</f>
        <v>22.61808434</v>
      </c>
      <c r="J1462" s="1">
        <v>4.0</v>
      </c>
      <c r="K1462" s="1">
        <v>109.0</v>
      </c>
      <c r="L1462" s="1" t="s">
        <v>5659</v>
      </c>
      <c r="M1462" s="6" t="s">
        <v>5660</v>
      </c>
      <c r="N1462" s="7" t="str">
        <f>VLOOKUP(A1462, avaliacoes!A:G, 5, FALSE)</f>
        <v>Received the product without spanner,Excellent product,Satisfactory,Good product,great product,performance yet to be checked?,Value for money,Good product</v>
      </c>
      <c r="O1462" s="7" t="str">
        <f>VLOOKUP(A1462, avaliacoes!A:G, 6, FALSE)</f>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v>
      </c>
    </row>
    <row r="1463">
      <c r="A1463" s="1" t="s">
        <v>5661</v>
      </c>
      <c r="B1463" s="1" t="s">
        <v>5662</v>
      </c>
      <c r="C1463" s="1" t="s">
        <v>4325</v>
      </c>
      <c r="D1463" s="1" t="str">
        <f t="shared" si="2"/>
        <v>Home&amp;Kitchen</v>
      </c>
      <c r="E1463" s="1" t="str">
        <f t="shared" si="3"/>
        <v>Kitchen&amp;HomeAppliances</v>
      </c>
      <c r="F1463" s="2">
        <v>2279.0</v>
      </c>
      <c r="G1463" s="2">
        <v>3045.0</v>
      </c>
      <c r="H1463" s="3">
        <f t="shared" si="4"/>
        <v>0.2515599343</v>
      </c>
      <c r="I1463" s="4">
        <f>IFERROR(__xludf.DUMMYFUNCTION("GOOGLEFINANCE(""CURRENCY:INRBRL"")*F1463"),136.0068976612)</f>
        <v>136.0068977</v>
      </c>
      <c r="J1463" s="1">
        <v>4.49</v>
      </c>
      <c r="K1463" s="1">
        <v>4118.0</v>
      </c>
      <c r="L1463" s="1" t="s">
        <v>5663</v>
      </c>
      <c r="M1463" s="6" t="s">
        <v>5664</v>
      </c>
      <c r="N1463" s="7" t="str">
        <f>VLOOKUP(A1463, avaliacoes!A:G, 5, FALSE)</f>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v>
      </c>
      <c r="O1463" s="7" t="str">
        <f>VLOOKUP(A1463, avaliacoes!A:G, 6, FALSE)</f>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v>
      </c>
    </row>
    <row r="1464">
      <c r="A1464" s="1" t="s">
        <v>5665</v>
      </c>
      <c r="B1464" s="1" t="s">
        <v>5666</v>
      </c>
      <c r="C1464" s="1" t="s">
        <v>4235</v>
      </c>
      <c r="D1464" s="1" t="str">
        <f t="shared" si="2"/>
        <v>Home&amp;Kitchen</v>
      </c>
      <c r="E1464" s="1" t="str">
        <f t="shared" si="3"/>
        <v>Heating,Cooling&amp;AirQuality</v>
      </c>
      <c r="F1464" s="2">
        <v>2219.0</v>
      </c>
      <c r="G1464" s="2">
        <v>3079.0</v>
      </c>
      <c r="H1464" s="3">
        <f t="shared" si="4"/>
        <v>0.2793114648</v>
      </c>
      <c r="I1464" s="4">
        <f>IFERROR(__xludf.DUMMYFUNCTION("GOOGLEFINANCE(""CURRENCY:INRBRL"")*F1464"),132.4261982932)</f>
        <v>132.4261983</v>
      </c>
      <c r="J1464" s="1">
        <v>4.51</v>
      </c>
      <c r="K1464" s="1">
        <v>468.0</v>
      </c>
      <c r="L1464" s="1" t="s">
        <v>5667</v>
      </c>
      <c r="M1464" s="6" t="s">
        <v>5668</v>
      </c>
      <c r="N1464" s="7" t="str">
        <f>VLOOKUP(A1464, avaliacoes!A:G, 5, FALSE)</f>
        <v>very good,Work but front melt after 2 month,Good one,It is durable,Review.,DEFECTIVE PRODUCT,Nice product,Nice product</v>
      </c>
      <c r="O1464" s="7" t="str">
        <f>VLOOKUP(A1464, avaliacoes!A:G, 6, FALSE)</f>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v>
      </c>
    </row>
    <row r="1465">
      <c r="A1465" s="1" t="s">
        <v>5669</v>
      </c>
      <c r="B1465" s="1" t="s">
        <v>5670</v>
      </c>
      <c r="C1465" s="1" t="s">
        <v>4281</v>
      </c>
      <c r="D1465" s="1" t="str">
        <f t="shared" si="2"/>
        <v>Home&amp;Kitchen</v>
      </c>
      <c r="E1465" s="1" t="str">
        <f t="shared" si="3"/>
        <v>Heating,Cooling&amp;AirQuality</v>
      </c>
      <c r="F1465" s="2">
        <v>1399.0</v>
      </c>
      <c r="G1465" s="2">
        <v>1889.0</v>
      </c>
      <c r="H1465" s="3">
        <f t="shared" si="4"/>
        <v>0.2593965061</v>
      </c>
      <c r="I1465" s="4">
        <f>IFERROR(__xludf.DUMMYFUNCTION("GOOGLEFINANCE(""CURRENCY:INRBRL"")*F1465"),83.48997359719999)</f>
        <v>83.4899736</v>
      </c>
      <c r="J1465" s="1">
        <v>4.0</v>
      </c>
      <c r="K1465" s="1">
        <v>8031.0</v>
      </c>
      <c r="L1465" s="1" t="s">
        <v>5671</v>
      </c>
      <c r="M1465" s="6" t="s">
        <v>5672</v>
      </c>
      <c r="N1465" s="7" t="str">
        <f>VLOOKUP(A1465, avaliacoes!A:G, 5, FALSE)</f>
        <v>Fan Speed is slow,Good quality,Good product,good,Old is gold.,Good product,Nice product,Super 💕</v>
      </c>
      <c r="O1465" s="7" t="str">
        <f>VLOOKUP(A1465, avaliacoes!A:G, 6, FALSE)</f>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v>
      </c>
    </row>
    <row r="1466">
      <c r="A1466" s="1" t="s">
        <v>5673</v>
      </c>
      <c r="B1466" s="1" t="s">
        <v>5674</v>
      </c>
      <c r="C1466" s="1" t="s">
        <v>4062</v>
      </c>
      <c r="D1466" s="1" t="str">
        <f t="shared" si="2"/>
        <v>Home&amp;Kitchen</v>
      </c>
      <c r="E1466" s="1" t="str">
        <f t="shared" si="3"/>
        <v>Kitchen&amp;HomeAppliances</v>
      </c>
      <c r="F1466" s="2">
        <v>2863.0</v>
      </c>
      <c r="G1466" s="2">
        <v>3689.0</v>
      </c>
      <c r="H1466" s="3">
        <f t="shared" si="4"/>
        <v>0.2239089184</v>
      </c>
      <c r="I1466" s="4">
        <f>IFERROR(__xludf.DUMMYFUNCTION("GOOGLEFINANCE(""CURRENCY:INRBRL"")*F1466"),170.8590381764)</f>
        <v>170.8590382</v>
      </c>
      <c r="J1466" s="1">
        <v>4.5</v>
      </c>
      <c r="K1466" s="1">
        <v>6987.0</v>
      </c>
      <c r="L1466" s="1" t="s">
        <v>5675</v>
      </c>
      <c r="M1466" s="6" t="s">
        <v>5676</v>
      </c>
      <c r="N1466" s="7" t="str">
        <f>VLOOKUP(A1466, avaliacoes!A:G, 5, FALSE)</f>
        <v>Works perfect,Ok good product,Nice Product. Recommend it. But cleaning its exterior is cumbersome.,Excellent product✌,A good product for household use,मुझे बिल्कुल भी मजा नहीं आया और वापस कर दिया।,Best product,Good</v>
      </c>
      <c r="O1466" s="7" t="str">
        <f>VLOOKUP(A1466, avaliacoes!A:G, 6, FALSE)</f>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v>
      </c>
    </row>
    <row r="1467">
      <c r="F1467" s="9"/>
      <c r="G1467" s="9"/>
      <c r="H1467" s="10"/>
      <c r="I1467" s="11"/>
      <c r="J1467" s="12"/>
      <c r="K1467" s="13"/>
    </row>
    <row r="1468">
      <c r="F1468" s="9"/>
      <c r="G1468" s="9"/>
      <c r="H1468" s="10"/>
      <c r="I1468" s="11"/>
      <c r="J1468" s="12"/>
      <c r="K1468" s="13"/>
    </row>
  </sheetData>
  <autoFilter ref="$J$1:$J$1468"/>
  <conditionalFormatting sqref="J1:J1468">
    <cfRule type="colorScale" priority="1">
      <colorScale>
        <cfvo type="formula" val="0"/>
        <cfvo type="formula" val="3"/>
        <cfvo type="formula" val="5"/>
        <color rgb="FFFFFFFF"/>
        <color rgb="FFD9EAD3"/>
        <color rgb="FF93C47D"/>
      </colorScale>
    </cfRule>
  </conditionalFormatting>
  <conditionalFormatting sqref="H1:H1468">
    <cfRule type="colorScale" priority="2">
      <colorScale>
        <cfvo type="percent" val="0"/>
        <cfvo type="percent" val="50"/>
        <cfvo type="percent" val="100"/>
        <color rgb="FFFFFFFF"/>
        <color rgb="FFF4CCCC"/>
        <color rgb="FFE06666"/>
      </colorScale>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M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M728"/>
    <hyperlink r:id="rId728" ref="M729"/>
    <hyperlink r:id="rId729" ref="M730"/>
    <hyperlink r:id="rId730" ref="M731"/>
    <hyperlink r:id="rId731" ref="M732"/>
    <hyperlink r:id="rId732" ref="M733"/>
    <hyperlink r:id="rId733" ref="M734"/>
    <hyperlink r:id="rId734" ref="M735"/>
    <hyperlink r:id="rId735" ref="M736"/>
    <hyperlink r:id="rId736" ref="M737"/>
    <hyperlink r:id="rId737" ref="M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 r:id="rId748" ref="M749"/>
    <hyperlink r:id="rId749" ref="M750"/>
    <hyperlink r:id="rId750" ref="M751"/>
    <hyperlink r:id="rId751" ref="M752"/>
    <hyperlink r:id="rId752" ref="M753"/>
    <hyperlink r:id="rId753" ref="M754"/>
    <hyperlink r:id="rId754" ref="M755"/>
    <hyperlink r:id="rId755" ref="M756"/>
    <hyperlink r:id="rId756" ref="M757"/>
    <hyperlink r:id="rId757" ref="M758"/>
    <hyperlink r:id="rId758" ref="M759"/>
    <hyperlink r:id="rId759" ref="M760"/>
    <hyperlink r:id="rId760" ref="M761"/>
    <hyperlink r:id="rId761" ref="M762"/>
    <hyperlink r:id="rId762" ref="M763"/>
    <hyperlink r:id="rId763" ref="M764"/>
    <hyperlink r:id="rId764" ref="M765"/>
    <hyperlink r:id="rId765" ref="M766"/>
    <hyperlink r:id="rId766" ref="M767"/>
    <hyperlink r:id="rId767" ref="M768"/>
    <hyperlink r:id="rId768" ref="M769"/>
    <hyperlink r:id="rId769" ref="M770"/>
    <hyperlink r:id="rId770" ref="M771"/>
    <hyperlink r:id="rId771" ref="M772"/>
    <hyperlink r:id="rId772" ref="M773"/>
    <hyperlink r:id="rId773" ref="M774"/>
    <hyperlink r:id="rId774" ref="M775"/>
    <hyperlink r:id="rId775" ref="M776"/>
    <hyperlink r:id="rId776" ref="M777"/>
    <hyperlink r:id="rId777" ref="M778"/>
    <hyperlink r:id="rId778" ref="M779"/>
    <hyperlink r:id="rId779" ref="M780"/>
    <hyperlink r:id="rId780" ref="M781"/>
    <hyperlink r:id="rId781" ref="M782"/>
    <hyperlink r:id="rId782" ref="M783"/>
    <hyperlink r:id="rId783" ref="M784"/>
    <hyperlink r:id="rId784" ref="M785"/>
    <hyperlink r:id="rId785" ref="M786"/>
    <hyperlink r:id="rId786" ref="M787"/>
    <hyperlink r:id="rId787" ref="M788"/>
    <hyperlink r:id="rId788" ref="M789"/>
    <hyperlink r:id="rId789" ref="M790"/>
    <hyperlink r:id="rId790" ref="M791"/>
    <hyperlink r:id="rId791" ref="M792"/>
    <hyperlink r:id="rId792" ref="M793"/>
    <hyperlink r:id="rId793" ref="M794"/>
    <hyperlink r:id="rId794" ref="M795"/>
    <hyperlink r:id="rId795" ref="M796"/>
    <hyperlink r:id="rId796" ref="M797"/>
    <hyperlink r:id="rId797" ref="M798"/>
    <hyperlink r:id="rId798" ref="M799"/>
    <hyperlink r:id="rId799" ref="M800"/>
    <hyperlink r:id="rId800" ref="M801"/>
    <hyperlink r:id="rId801" ref="M802"/>
    <hyperlink r:id="rId802" ref="M803"/>
    <hyperlink r:id="rId803" ref="M804"/>
    <hyperlink r:id="rId804" ref="M805"/>
    <hyperlink r:id="rId805" ref="M806"/>
    <hyperlink r:id="rId806" ref="M807"/>
    <hyperlink r:id="rId807" ref="M808"/>
    <hyperlink r:id="rId808" ref="M809"/>
    <hyperlink r:id="rId809" ref="M810"/>
    <hyperlink r:id="rId810" ref="M811"/>
    <hyperlink r:id="rId811" ref="M812"/>
    <hyperlink r:id="rId812" ref="M813"/>
    <hyperlink r:id="rId813" ref="M814"/>
    <hyperlink r:id="rId814" ref="M815"/>
    <hyperlink r:id="rId815" ref="M816"/>
    <hyperlink r:id="rId816" ref="M817"/>
    <hyperlink r:id="rId817" ref="M818"/>
    <hyperlink r:id="rId818" ref="M819"/>
    <hyperlink r:id="rId819" ref="M820"/>
    <hyperlink r:id="rId820" ref="M821"/>
    <hyperlink r:id="rId821" ref="M822"/>
    <hyperlink r:id="rId822" ref="M823"/>
    <hyperlink r:id="rId823" ref="M824"/>
    <hyperlink r:id="rId824" ref="M825"/>
    <hyperlink r:id="rId825" ref="M826"/>
    <hyperlink r:id="rId826" ref="M827"/>
    <hyperlink r:id="rId827" ref="M828"/>
    <hyperlink r:id="rId828" ref="M829"/>
    <hyperlink r:id="rId829" ref="M830"/>
    <hyperlink r:id="rId830" ref="M831"/>
    <hyperlink r:id="rId831" ref="M832"/>
    <hyperlink r:id="rId832" ref="M833"/>
    <hyperlink r:id="rId833" ref="M834"/>
    <hyperlink r:id="rId834" ref="M835"/>
    <hyperlink r:id="rId835" ref="M836"/>
    <hyperlink r:id="rId836" ref="M837"/>
    <hyperlink r:id="rId837" ref="M838"/>
    <hyperlink r:id="rId838" ref="M839"/>
    <hyperlink r:id="rId839" ref="M840"/>
    <hyperlink r:id="rId840" ref="M841"/>
    <hyperlink r:id="rId841" ref="M842"/>
    <hyperlink r:id="rId842" ref="M843"/>
    <hyperlink r:id="rId843" ref="M844"/>
    <hyperlink r:id="rId844" ref="M845"/>
    <hyperlink r:id="rId845" ref="M846"/>
    <hyperlink r:id="rId846" ref="M847"/>
    <hyperlink r:id="rId847" ref="M848"/>
    <hyperlink r:id="rId848" ref="M849"/>
    <hyperlink r:id="rId849" ref="M850"/>
    <hyperlink r:id="rId850" ref="M851"/>
    <hyperlink r:id="rId851" ref="M852"/>
    <hyperlink r:id="rId852" ref="M853"/>
    <hyperlink r:id="rId853" ref="M854"/>
    <hyperlink r:id="rId854" ref="M855"/>
    <hyperlink r:id="rId855" ref="M856"/>
    <hyperlink r:id="rId856" ref="M857"/>
    <hyperlink r:id="rId857" ref="M858"/>
    <hyperlink r:id="rId858" ref="M859"/>
    <hyperlink r:id="rId859" ref="M860"/>
    <hyperlink r:id="rId860" ref="M861"/>
    <hyperlink r:id="rId861" ref="M862"/>
    <hyperlink r:id="rId862" ref="M863"/>
    <hyperlink r:id="rId863" ref="M864"/>
    <hyperlink r:id="rId864" ref="M865"/>
    <hyperlink r:id="rId865" ref="M866"/>
    <hyperlink r:id="rId866" ref="M867"/>
    <hyperlink r:id="rId867" ref="M868"/>
    <hyperlink r:id="rId868" ref="M869"/>
    <hyperlink r:id="rId869" ref="M870"/>
    <hyperlink r:id="rId870" ref="M871"/>
    <hyperlink r:id="rId871" ref="M872"/>
    <hyperlink r:id="rId872" ref="M873"/>
    <hyperlink r:id="rId873" ref="M874"/>
    <hyperlink r:id="rId874" ref="M875"/>
    <hyperlink r:id="rId875" ref="M876"/>
    <hyperlink r:id="rId876" ref="M877"/>
    <hyperlink r:id="rId877" ref="M878"/>
    <hyperlink r:id="rId878" ref="M879"/>
    <hyperlink r:id="rId879" ref="M880"/>
    <hyperlink r:id="rId880" ref="M881"/>
    <hyperlink r:id="rId881" ref="M882"/>
    <hyperlink r:id="rId882" ref="M883"/>
    <hyperlink r:id="rId883" ref="M884"/>
    <hyperlink r:id="rId884" ref="M885"/>
    <hyperlink r:id="rId885" ref="M886"/>
    <hyperlink r:id="rId886" ref="M887"/>
    <hyperlink r:id="rId887" ref="M888"/>
    <hyperlink r:id="rId888" ref="M889"/>
    <hyperlink r:id="rId889" ref="M890"/>
    <hyperlink r:id="rId890" ref="M891"/>
    <hyperlink r:id="rId891" ref="M892"/>
    <hyperlink r:id="rId892" ref="M893"/>
    <hyperlink r:id="rId893" ref="M894"/>
    <hyperlink r:id="rId894" ref="M895"/>
    <hyperlink r:id="rId895" ref="M896"/>
    <hyperlink r:id="rId896" ref="M897"/>
    <hyperlink r:id="rId897" ref="M898"/>
    <hyperlink r:id="rId898" ref="M899"/>
    <hyperlink r:id="rId899" ref="M900"/>
    <hyperlink r:id="rId900" ref="M901"/>
    <hyperlink r:id="rId901" ref="M902"/>
    <hyperlink r:id="rId902" ref="M903"/>
    <hyperlink r:id="rId903" ref="M904"/>
    <hyperlink r:id="rId904" ref="M905"/>
    <hyperlink r:id="rId905" ref="M906"/>
    <hyperlink r:id="rId906" ref="M907"/>
    <hyperlink r:id="rId907" ref="M908"/>
    <hyperlink r:id="rId908" ref="M909"/>
    <hyperlink r:id="rId909" ref="M910"/>
    <hyperlink r:id="rId910" ref="M911"/>
    <hyperlink r:id="rId911" ref="M912"/>
    <hyperlink r:id="rId912" ref="M913"/>
    <hyperlink r:id="rId913" ref="M914"/>
    <hyperlink r:id="rId914" ref="M915"/>
    <hyperlink r:id="rId915" ref="M916"/>
    <hyperlink r:id="rId916" ref="M917"/>
    <hyperlink r:id="rId917" ref="M918"/>
    <hyperlink r:id="rId918" ref="M919"/>
    <hyperlink r:id="rId919" ref="M920"/>
    <hyperlink r:id="rId920" ref="M921"/>
    <hyperlink r:id="rId921" ref="M922"/>
    <hyperlink r:id="rId922" ref="M923"/>
    <hyperlink r:id="rId923" ref="M924"/>
    <hyperlink r:id="rId924" ref="M925"/>
    <hyperlink r:id="rId925" ref="M926"/>
    <hyperlink r:id="rId926" ref="M927"/>
    <hyperlink r:id="rId927" ref="M928"/>
    <hyperlink r:id="rId928" ref="M929"/>
    <hyperlink r:id="rId929" ref="M930"/>
    <hyperlink r:id="rId930" ref="M931"/>
    <hyperlink r:id="rId931" ref="M932"/>
    <hyperlink r:id="rId932" ref="M933"/>
    <hyperlink r:id="rId933" ref="M934"/>
    <hyperlink r:id="rId934" ref="M935"/>
    <hyperlink r:id="rId935" ref="M936"/>
    <hyperlink r:id="rId936" ref="M937"/>
    <hyperlink r:id="rId937" ref="M938"/>
    <hyperlink r:id="rId938" ref="M939"/>
    <hyperlink r:id="rId939" ref="M940"/>
    <hyperlink r:id="rId940" ref="M941"/>
    <hyperlink r:id="rId941" ref="M942"/>
    <hyperlink r:id="rId942" ref="M943"/>
    <hyperlink r:id="rId943" ref="M944"/>
    <hyperlink r:id="rId944" ref="M945"/>
    <hyperlink r:id="rId945" ref="M946"/>
    <hyperlink r:id="rId946" ref="M947"/>
    <hyperlink r:id="rId947" ref="M948"/>
    <hyperlink r:id="rId948" ref="M949"/>
    <hyperlink r:id="rId949" ref="M950"/>
    <hyperlink r:id="rId950" ref="M951"/>
    <hyperlink r:id="rId951" ref="M952"/>
    <hyperlink r:id="rId952" ref="M953"/>
    <hyperlink r:id="rId953" ref="M954"/>
    <hyperlink r:id="rId954" ref="M955"/>
    <hyperlink r:id="rId955" ref="M956"/>
    <hyperlink r:id="rId956" ref="M957"/>
    <hyperlink r:id="rId957" ref="M958"/>
    <hyperlink r:id="rId958" ref="M959"/>
    <hyperlink r:id="rId959" ref="M960"/>
    <hyperlink r:id="rId960" ref="M961"/>
    <hyperlink r:id="rId961" ref="M962"/>
    <hyperlink r:id="rId962" ref="M963"/>
    <hyperlink r:id="rId963" ref="M964"/>
    <hyperlink r:id="rId964" ref="M965"/>
    <hyperlink r:id="rId965" ref="M966"/>
    <hyperlink r:id="rId966" ref="M967"/>
    <hyperlink r:id="rId967" ref="M968"/>
    <hyperlink r:id="rId968" ref="M969"/>
    <hyperlink r:id="rId969" ref="M970"/>
    <hyperlink r:id="rId970" ref="M971"/>
    <hyperlink r:id="rId971" ref="M972"/>
    <hyperlink r:id="rId972" ref="M973"/>
    <hyperlink r:id="rId973" ref="M974"/>
    <hyperlink r:id="rId974" ref="M975"/>
    <hyperlink r:id="rId975" ref="M976"/>
    <hyperlink r:id="rId976" ref="M977"/>
    <hyperlink r:id="rId977" ref="M978"/>
    <hyperlink r:id="rId978" ref="M979"/>
    <hyperlink r:id="rId979" ref="M980"/>
    <hyperlink r:id="rId980" ref="M981"/>
    <hyperlink r:id="rId981" ref="M982"/>
    <hyperlink r:id="rId982" ref="M983"/>
    <hyperlink r:id="rId983" ref="M984"/>
    <hyperlink r:id="rId984" ref="M985"/>
    <hyperlink r:id="rId985" ref="M986"/>
    <hyperlink r:id="rId986" ref="M987"/>
    <hyperlink r:id="rId987" ref="M988"/>
    <hyperlink r:id="rId988" ref="M989"/>
    <hyperlink r:id="rId989" ref="M990"/>
    <hyperlink r:id="rId990" ref="M991"/>
    <hyperlink r:id="rId991" ref="M992"/>
    <hyperlink r:id="rId992" ref="M993"/>
    <hyperlink r:id="rId993" ref="M994"/>
    <hyperlink r:id="rId994" ref="M995"/>
    <hyperlink r:id="rId995" ref="M996"/>
    <hyperlink r:id="rId996" ref="M997"/>
    <hyperlink r:id="rId997" ref="M998"/>
    <hyperlink r:id="rId998" ref="M999"/>
    <hyperlink r:id="rId999" ref="M1000"/>
    <hyperlink r:id="rId1000" ref="M1001"/>
    <hyperlink r:id="rId1001" ref="M1002"/>
    <hyperlink r:id="rId1002" ref="M1003"/>
    <hyperlink r:id="rId1003" ref="M1004"/>
    <hyperlink r:id="rId1004" ref="M1005"/>
    <hyperlink r:id="rId1005" ref="M1006"/>
    <hyperlink r:id="rId1006" ref="M1007"/>
    <hyperlink r:id="rId1007" ref="M1008"/>
    <hyperlink r:id="rId1008" ref="M1009"/>
    <hyperlink r:id="rId1009" ref="M1010"/>
    <hyperlink r:id="rId1010" ref="M1011"/>
    <hyperlink r:id="rId1011" ref="M1012"/>
    <hyperlink r:id="rId1012" ref="M1013"/>
    <hyperlink r:id="rId1013" ref="M1014"/>
    <hyperlink r:id="rId1014" ref="M1015"/>
    <hyperlink r:id="rId1015" ref="M1016"/>
    <hyperlink r:id="rId1016" ref="M1017"/>
    <hyperlink r:id="rId1017" ref="M1018"/>
    <hyperlink r:id="rId1018" ref="M1019"/>
    <hyperlink r:id="rId1019" ref="M1020"/>
    <hyperlink r:id="rId1020" ref="M1021"/>
    <hyperlink r:id="rId1021" ref="M1022"/>
    <hyperlink r:id="rId1022" ref="M1023"/>
    <hyperlink r:id="rId1023" ref="M1024"/>
    <hyperlink r:id="rId1024" ref="M1025"/>
    <hyperlink r:id="rId1025" ref="M1026"/>
    <hyperlink r:id="rId1026" ref="M1027"/>
    <hyperlink r:id="rId1027" ref="M1028"/>
    <hyperlink r:id="rId1028" ref="M1029"/>
    <hyperlink r:id="rId1029" ref="M1030"/>
    <hyperlink r:id="rId1030" ref="M1031"/>
    <hyperlink r:id="rId1031" ref="M1032"/>
    <hyperlink r:id="rId1032" ref="M1033"/>
    <hyperlink r:id="rId1033" ref="M1034"/>
    <hyperlink r:id="rId1034" ref="M1035"/>
    <hyperlink r:id="rId1035" ref="M1036"/>
    <hyperlink r:id="rId1036" ref="M1037"/>
    <hyperlink r:id="rId1037" ref="M1038"/>
    <hyperlink r:id="rId1038" ref="M1039"/>
    <hyperlink r:id="rId1039" ref="M1040"/>
    <hyperlink r:id="rId1040" ref="M1041"/>
    <hyperlink r:id="rId1041" ref="M1042"/>
    <hyperlink r:id="rId1042" ref="M1043"/>
    <hyperlink r:id="rId1043" ref="M1044"/>
    <hyperlink r:id="rId1044" ref="M1045"/>
    <hyperlink r:id="rId1045" ref="M1046"/>
    <hyperlink r:id="rId1046" ref="M1047"/>
    <hyperlink r:id="rId1047" ref="M1048"/>
    <hyperlink r:id="rId1048" ref="M1049"/>
    <hyperlink r:id="rId1049" ref="M1050"/>
    <hyperlink r:id="rId1050" ref="M1051"/>
    <hyperlink r:id="rId1051" ref="M1052"/>
    <hyperlink r:id="rId1052" ref="M1053"/>
    <hyperlink r:id="rId1053" ref="M1054"/>
    <hyperlink r:id="rId1054" ref="M1055"/>
    <hyperlink r:id="rId1055" ref="M1056"/>
    <hyperlink r:id="rId1056" ref="M1057"/>
    <hyperlink r:id="rId1057" ref="M1058"/>
    <hyperlink r:id="rId1058" ref="M1059"/>
    <hyperlink r:id="rId1059" ref="M1060"/>
    <hyperlink r:id="rId1060" ref="M1061"/>
    <hyperlink r:id="rId1061" ref="M1062"/>
    <hyperlink r:id="rId1062" ref="M1063"/>
    <hyperlink r:id="rId1063" ref="M1064"/>
    <hyperlink r:id="rId1064" ref="M1065"/>
    <hyperlink r:id="rId1065" ref="M1066"/>
    <hyperlink r:id="rId1066" ref="M1067"/>
    <hyperlink r:id="rId1067" ref="M1068"/>
    <hyperlink r:id="rId1068" ref="M1069"/>
    <hyperlink r:id="rId1069" ref="M1070"/>
    <hyperlink r:id="rId1070" ref="M1071"/>
    <hyperlink r:id="rId1071" ref="M1072"/>
    <hyperlink r:id="rId1072" ref="M1073"/>
    <hyperlink r:id="rId1073" ref="M1074"/>
    <hyperlink r:id="rId1074" ref="M1075"/>
    <hyperlink r:id="rId1075" ref="M1076"/>
    <hyperlink r:id="rId1076" ref="M1077"/>
    <hyperlink r:id="rId1077" ref="M1078"/>
    <hyperlink r:id="rId1078" ref="M1079"/>
    <hyperlink r:id="rId1079" ref="M1080"/>
    <hyperlink r:id="rId1080" ref="M1081"/>
    <hyperlink r:id="rId1081" ref="M1082"/>
    <hyperlink r:id="rId1082" ref="M1083"/>
    <hyperlink r:id="rId1083" ref="M1084"/>
    <hyperlink r:id="rId1084" ref="M1085"/>
    <hyperlink r:id="rId1085" ref="M1086"/>
    <hyperlink r:id="rId1086" ref="M1087"/>
    <hyperlink r:id="rId1087" ref="M1088"/>
    <hyperlink r:id="rId1088" ref="M1089"/>
    <hyperlink r:id="rId1089" ref="M1090"/>
    <hyperlink r:id="rId1090" ref="M1091"/>
    <hyperlink r:id="rId1091" ref="M1092"/>
    <hyperlink r:id="rId1092" ref="M1093"/>
    <hyperlink r:id="rId1093" ref="M1094"/>
    <hyperlink r:id="rId1094" ref="M1095"/>
    <hyperlink r:id="rId1095" ref="M1096"/>
    <hyperlink r:id="rId1096" ref="M1097"/>
    <hyperlink r:id="rId1097" ref="M1098"/>
    <hyperlink r:id="rId1098" ref="M1099"/>
    <hyperlink r:id="rId1099" ref="M1100"/>
    <hyperlink r:id="rId1100" ref="M1101"/>
    <hyperlink r:id="rId1101" ref="M1102"/>
    <hyperlink r:id="rId1102" ref="M1103"/>
    <hyperlink r:id="rId1103" ref="M1104"/>
    <hyperlink r:id="rId1104" ref="M1105"/>
    <hyperlink r:id="rId1105" ref="M1106"/>
    <hyperlink r:id="rId1106" ref="M1107"/>
    <hyperlink r:id="rId1107" ref="M1108"/>
    <hyperlink r:id="rId1108" ref="M1109"/>
    <hyperlink r:id="rId1109" ref="M1110"/>
    <hyperlink r:id="rId1110" ref="M1111"/>
    <hyperlink r:id="rId1111" ref="M1112"/>
    <hyperlink r:id="rId1112" ref="M1113"/>
    <hyperlink r:id="rId1113" ref="M1114"/>
    <hyperlink r:id="rId1114" ref="M1115"/>
    <hyperlink r:id="rId1115" ref="M1116"/>
    <hyperlink r:id="rId1116" ref="M1117"/>
    <hyperlink r:id="rId1117" ref="M1118"/>
    <hyperlink r:id="rId1118" ref="M1119"/>
    <hyperlink r:id="rId1119" ref="M1120"/>
    <hyperlink r:id="rId1120" ref="M1121"/>
    <hyperlink r:id="rId1121" ref="M1122"/>
    <hyperlink r:id="rId1122" ref="M1123"/>
    <hyperlink r:id="rId1123" ref="M1124"/>
    <hyperlink r:id="rId1124" ref="M1125"/>
    <hyperlink r:id="rId1125" ref="M1126"/>
    <hyperlink r:id="rId1126" ref="M1127"/>
    <hyperlink r:id="rId1127" ref="M1128"/>
    <hyperlink r:id="rId1128" ref="M1129"/>
    <hyperlink r:id="rId1129" ref="M1130"/>
    <hyperlink r:id="rId1130" ref="M1131"/>
    <hyperlink r:id="rId1131" ref="M1132"/>
    <hyperlink r:id="rId1132" ref="M1133"/>
    <hyperlink r:id="rId1133" ref="M1134"/>
    <hyperlink r:id="rId1134" ref="M1135"/>
    <hyperlink r:id="rId1135" ref="M1136"/>
    <hyperlink r:id="rId1136" ref="M1137"/>
    <hyperlink r:id="rId1137" ref="M1138"/>
    <hyperlink r:id="rId1138" ref="M1139"/>
    <hyperlink r:id="rId1139" ref="M1140"/>
    <hyperlink r:id="rId1140" ref="M1141"/>
    <hyperlink r:id="rId1141" ref="M1142"/>
    <hyperlink r:id="rId1142" ref="M1143"/>
    <hyperlink r:id="rId1143" ref="M1144"/>
    <hyperlink r:id="rId1144" ref="M1145"/>
    <hyperlink r:id="rId1145" ref="M1146"/>
    <hyperlink r:id="rId1146" ref="M1147"/>
    <hyperlink r:id="rId1147" ref="M1148"/>
    <hyperlink r:id="rId1148" ref="M1149"/>
    <hyperlink r:id="rId1149" ref="M1150"/>
    <hyperlink r:id="rId1150" ref="M1151"/>
    <hyperlink r:id="rId1151" ref="M1152"/>
    <hyperlink r:id="rId1152" ref="M1153"/>
    <hyperlink r:id="rId1153" ref="M1154"/>
    <hyperlink r:id="rId1154" ref="M1155"/>
    <hyperlink r:id="rId1155" ref="M1156"/>
    <hyperlink r:id="rId1156" ref="M1157"/>
    <hyperlink r:id="rId1157" ref="M1158"/>
    <hyperlink r:id="rId1158" ref="M1159"/>
    <hyperlink r:id="rId1159" ref="M1160"/>
    <hyperlink r:id="rId1160" ref="M1161"/>
    <hyperlink r:id="rId1161" ref="M1162"/>
    <hyperlink r:id="rId1162" ref="M1163"/>
    <hyperlink r:id="rId1163" ref="M1164"/>
    <hyperlink r:id="rId1164" ref="M1165"/>
    <hyperlink r:id="rId1165" ref="M1166"/>
    <hyperlink r:id="rId1166" ref="M1167"/>
    <hyperlink r:id="rId1167" ref="M1168"/>
    <hyperlink r:id="rId1168" ref="M1169"/>
    <hyperlink r:id="rId1169" ref="M1170"/>
    <hyperlink r:id="rId1170" ref="M1171"/>
    <hyperlink r:id="rId1171" ref="M1172"/>
    <hyperlink r:id="rId1172" ref="M1173"/>
    <hyperlink r:id="rId1173" ref="M1174"/>
    <hyperlink r:id="rId1174" ref="M1175"/>
    <hyperlink r:id="rId1175" ref="M1176"/>
    <hyperlink r:id="rId1176" ref="M1177"/>
    <hyperlink r:id="rId1177" ref="M1178"/>
    <hyperlink r:id="rId1178" ref="M1179"/>
    <hyperlink r:id="rId1179" ref="M1180"/>
    <hyperlink r:id="rId1180" ref="M1181"/>
    <hyperlink r:id="rId1181" ref="M1182"/>
    <hyperlink r:id="rId1182" ref="M1183"/>
    <hyperlink r:id="rId1183" ref="M1184"/>
    <hyperlink r:id="rId1184" ref="M1185"/>
    <hyperlink r:id="rId1185" ref="M1186"/>
    <hyperlink r:id="rId1186" ref="M1187"/>
    <hyperlink r:id="rId1187" ref="M1188"/>
    <hyperlink r:id="rId1188" ref="M1189"/>
    <hyperlink r:id="rId1189" ref="M1190"/>
    <hyperlink r:id="rId1190" ref="M1191"/>
    <hyperlink r:id="rId1191" ref="M1192"/>
    <hyperlink r:id="rId1192" ref="M1193"/>
    <hyperlink r:id="rId1193" ref="M1194"/>
    <hyperlink r:id="rId1194" ref="M1195"/>
    <hyperlink r:id="rId1195" ref="M1196"/>
    <hyperlink r:id="rId1196" ref="M1197"/>
    <hyperlink r:id="rId1197" ref="M1198"/>
    <hyperlink r:id="rId1198" ref="M1199"/>
    <hyperlink r:id="rId1199" ref="M1200"/>
    <hyperlink r:id="rId1200" ref="M1201"/>
    <hyperlink r:id="rId1201" ref="M1202"/>
    <hyperlink r:id="rId1202" ref="M1203"/>
    <hyperlink r:id="rId1203" ref="M1204"/>
    <hyperlink r:id="rId1204" ref="M1205"/>
    <hyperlink r:id="rId1205" ref="M1206"/>
    <hyperlink r:id="rId1206" ref="M1207"/>
    <hyperlink r:id="rId1207" ref="M1208"/>
    <hyperlink r:id="rId1208" ref="M1209"/>
    <hyperlink r:id="rId1209" ref="M1210"/>
    <hyperlink r:id="rId1210" ref="M1211"/>
    <hyperlink r:id="rId1211" ref="M1212"/>
    <hyperlink r:id="rId1212" ref="M1213"/>
    <hyperlink r:id="rId1213" ref="M1214"/>
    <hyperlink r:id="rId1214" ref="M1215"/>
    <hyperlink r:id="rId1215" ref="M1216"/>
    <hyperlink r:id="rId1216" ref="M1217"/>
    <hyperlink r:id="rId1217" ref="M1218"/>
    <hyperlink r:id="rId1218" ref="M1219"/>
    <hyperlink r:id="rId1219" ref="M1220"/>
    <hyperlink r:id="rId1220" ref="M1221"/>
    <hyperlink r:id="rId1221" ref="M1222"/>
    <hyperlink r:id="rId1222" ref="M1223"/>
    <hyperlink r:id="rId1223" ref="M1224"/>
    <hyperlink r:id="rId1224" ref="M1225"/>
    <hyperlink r:id="rId1225" ref="M1226"/>
    <hyperlink r:id="rId1226" ref="M1227"/>
    <hyperlink r:id="rId1227" ref="M1228"/>
    <hyperlink r:id="rId1228" ref="M1229"/>
    <hyperlink r:id="rId1229" ref="M1230"/>
    <hyperlink r:id="rId1230" ref="M1231"/>
    <hyperlink r:id="rId1231" ref="M1232"/>
    <hyperlink r:id="rId1232" ref="M1233"/>
    <hyperlink r:id="rId1233" ref="M1234"/>
    <hyperlink r:id="rId1234" ref="M1235"/>
    <hyperlink r:id="rId1235" ref="M1236"/>
    <hyperlink r:id="rId1236" ref="M1237"/>
    <hyperlink r:id="rId1237" ref="M1238"/>
    <hyperlink r:id="rId1238" ref="M1239"/>
    <hyperlink r:id="rId1239" ref="M1240"/>
    <hyperlink r:id="rId1240" ref="M1241"/>
    <hyperlink r:id="rId1241" ref="M1242"/>
    <hyperlink r:id="rId1242" ref="M1243"/>
    <hyperlink r:id="rId1243" ref="M1244"/>
    <hyperlink r:id="rId1244" ref="M1245"/>
    <hyperlink r:id="rId1245" ref="M1246"/>
    <hyperlink r:id="rId1246" ref="M1247"/>
    <hyperlink r:id="rId1247" ref="M1248"/>
    <hyperlink r:id="rId1248" ref="M1249"/>
    <hyperlink r:id="rId1249" ref="M1250"/>
    <hyperlink r:id="rId1250" ref="M1251"/>
    <hyperlink r:id="rId1251" ref="M1252"/>
    <hyperlink r:id="rId1252" ref="M1253"/>
    <hyperlink r:id="rId1253" ref="M1254"/>
    <hyperlink r:id="rId1254" ref="M1255"/>
    <hyperlink r:id="rId1255" ref="M1256"/>
    <hyperlink r:id="rId1256" ref="M1257"/>
    <hyperlink r:id="rId1257" ref="M1258"/>
    <hyperlink r:id="rId1258" ref="M1259"/>
    <hyperlink r:id="rId1259" ref="M1260"/>
    <hyperlink r:id="rId1260" ref="M1261"/>
    <hyperlink r:id="rId1261" ref="M1262"/>
    <hyperlink r:id="rId1262" ref="M1263"/>
    <hyperlink r:id="rId1263" ref="M1264"/>
    <hyperlink r:id="rId1264" ref="M1265"/>
    <hyperlink r:id="rId1265" ref="M1266"/>
    <hyperlink r:id="rId1266" ref="M1267"/>
    <hyperlink r:id="rId1267" ref="M1268"/>
    <hyperlink r:id="rId1268" ref="M1269"/>
    <hyperlink r:id="rId1269" ref="M1270"/>
    <hyperlink r:id="rId1270" ref="M1271"/>
    <hyperlink r:id="rId1271" ref="M1272"/>
    <hyperlink r:id="rId1272" ref="M1273"/>
    <hyperlink r:id="rId1273" ref="M1274"/>
    <hyperlink r:id="rId1274" ref="M1275"/>
    <hyperlink r:id="rId1275" ref="M1276"/>
    <hyperlink r:id="rId1276" ref="M1277"/>
    <hyperlink r:id="rId1277" ref="M1278"/>
    <hyperlink r:id="rId1278" ref="M1279"/>
    <hyperlink r:id="rId1279" ref="M1280"/>
    <hyperlink r:id="rId1280" ref="M1281"/>
    <hyperlink r:id="rId1281" ref="M1282"/>
    <hyperlink r:id="rId1282" ref="M1283"/>
    <hyperlink r:id="rId1283" ref="M1284"/>
    <hyperlink r:id="rId1284" ref="M1285"/>
    <hyperlink r:id="rId1285" ref="M1286"/>
    <hyperlink r:id="rId1286" ref="M1287"/>
    <hyperlink r:id="rId1287" ref="M1288"/>
    <hyperlink r:id="rId1288" ref="M1289"/>
    <hyperlink r:id="rId1289" ref="M1290"/>
    <hyperlink r:id="rId1290" ref="M1291"/>
    <hyperlink r:id="rId1291" ref="M1292"/>
    <hyperlink r:id="rId1292" ref="M1293"/>
    <hyperlink r:id="rId1293" ref="M1294"/>
    <hyperlink r:id="rId1294" ref="M1295"/>
    <hyperlink r:id="rId1295" ref="M1296"/>
    <hyperlink r:id="rId1296" ref="M1297"/>
    <hyperlink r:id="rId1297" ref="M1298"/>
    <hyperlink r:id="rId1298" ref="M1299"/>
    <hyperlink r:id="rId1299" ref="M1300"/>
    <hyperlink r:id="rId1300" ref="M1301"/>
    <hyperlink r:id="rId1301" ref="M1302"/>
    <hyperlink r:id="rId1302" ref="M1303"/>
    <hyperlink r:id="rId1303" ref="M1304"/>
    <hyperlink r:id="rId1304" ref="M1305"/>
    <hyperlink r:id="rId1305" ref="M1306"/>
    <hyperlink r:id="rId1306" ref="M1307"/>
    <hyperlink r:id="rId1307" ref="M1308"/>
    <hyperlink r:id="rId1308" ref="M1309"/>
    <hyperlink r:id="rId1309" ref="M1310"/>
    <hyperlink r:id="rId1310" ref="M1311"/>
    <hyperlink r:id="rId1311" ref="M1312"/>
    <hyperlink r:id="rId1312" ref="M1313"/>
    <hyperlink r:id="rId1313" ref="M1314"/>
    <hyperlink r:id="rId1314" ref="M1315"/>
    <hyperlink r:id="rId1315" ref="M1316"/>
    <hyperlink r:id="rId1316" ref="M1317"/>
    <hyperlink r:id="rId1317" ref="M1318"/>
    <hyperlink r:id="rId1318" ref="M1319"/>
    <hyperlink r:id="rId1319" ref="M1320"/>
    <hyperlink r:id="rId1320" ref="M1321"/>
    <hyperlink r:id="rId1321" ref="M1322"/>
    <hyperlink r:id="rId1322" ref="M1323"/>
    <hyperlink r:id="rId1323" ref="M1324"/>
    <hyperlink r:id="rId1324" ref="M1325"/>
    <hyperlink r:id="rId1325" ref="M1326"/>
    <hyperlink r:id="rId1326" ref="M1327"/>
    <hyperlink r:id="rId1327" ref="M1328"/>
    <hyperlink r:id="rId1328" ref="M1329"/>
    <hyperlink r:id="rId1329" ref="M1330"/>
    <hyperlink r:id="rId1330" ref="M1331"/>
    <hyperlink r:id="rId1331" ref="M1332"/>
    <hyperlink r:id="rId1332" ref="M1333"/>
    <hyperlink r:id="rId1333" ref="M1334"/>
    <hyperlink r:id="rId1334" ref="M1335"/>
    <hyperlink r:id="rId1335" ref="M1336"/>
    <hyperlink r:id="rId1336" ref="M1337"/>
    <hyperlink r:id="rId1337" ref="M1338"/>
    <hyperlink r:id="rId1338" ref="M1339"/>
    <hyperlink r:id="rId1339" ref="M1340"/>
    <hyperlink r:id="rId1340" ref="M1341"/>
    <hyperlink r:id="rId1341" ref="M1342"/>
    <hyperlink r:id="rId1342" ref="M1343"/>
    <hyperlink r:id="rId1343" ref="M1344"/>
    <hyperlink r:id="rId1344" ref="M1345"/>
    <hyperlink r:id="rId1345" ref="M1346"/>
    <hyperlink r:id="rId1346" ref="M1347"/>
    <hyperlink r:id="rId1347" ref="M1348"/>
    <hyperlink r:id="rId1348" ref="M1349"/>
    <hyperlink r:id="rId1349" ref="M1350"/>
    <hyperlink r:id="rId1350" ref="M1351"/>
    <hyperlink r:id="rId1351" ref="M1352"/>
    <hyperlink r:id="rId1352" ref="M1353"/>
    <hyperlink r:id="rId1353" ref="M1354"/>
    <hyperlink r:id="rId1354" ref="M1355"/>
    <hyperlink r:id="rId1355" ref="M1356"/>
    <hyperlink r:id="rId1356" ref="M1357"/>
    <hyperlink r:id="rId1357" ref="M1358"/>
    <hyperlink r:id="rId1358" ref="M1359"/>
    <hyperlink r:id="rId1359" ref="M1360"/>
    <hyperlink r:id="rId1360" ref="M1361"/>
    <hyperlink r:id="rId1361" ref="M1362"/>
    <hyperlink r:id="rId1362" ref="M1363"/>
    <hyperlink r:id="rId1363" ref="M1364"/>
    <hyperlink r:id="rId1364" ref="M1365"/>
    <hyperlink r:id="rId1365" ref="M1366"/>
    <hyperlink r:id="rId1366" ref="M1367"/>
    <hyperlink r:id="rId1367" ref="M1368"/>
    <hyperlink r:id="rId1368" ref="M1369"/>
    <hyperlink r:id="rId1369" ref="M1370"/>
    <hyperlink r:id="rId1370" ref="M1371"/>
    <hyperlink r:id="rId1371" ref="M1372"/>
    <hyperlink r:id="rId1372" ref="M1373"/>
    <hyperlink r:id="rId1373" ref="M1374"/>
    <hyperlink r:id="rId1374" ref="M1375"/>
    <hyperlink r:id="rId1375" ref="M1376"/>
    <hyperlink r:id="rId1376" ref="M1377"/>
    <hyperlink r:id="rId1377" ref="M1378"/>
    <hyperlink r:id="rId1378" ref="M1379"/>
    <hyperlink r:id="rId1379" ref="M1380"/>
    <hyperlink r:id="rId1380" ref="M1381"/>
    <hyperlink r:id="rId1381" ref="M1382"/>
    <hyperlink r:id="rId1382" ref="M1383"/>
    <hyperlink r:id="rId1383" ref="M1384"/>
    <hyperlink r:id="rId1384" ref="M1385"/>
    <hyperlink r:id="rId1385" ref="M1386"/>
    <hyperlink r:id="rId1386" ref="M1387"/>
    <hyperlink r:id="rId1387" ref="M1388"/>
    <hyperlink r:id="rId1388" ref="M1389"/>
    <hyperlink r:id="rId1389" ref="M1390"/>
    <hyperlink r:id="rId1390" ref="M1391"/>
    <hyperlink r:id="rId1391" ref="M1392"/>
    <hyperlink r:id="rId1392" ref="M1393"/>
    <hyperlink r:id="rId1393" ref="M1394"/>
    <hyperlink r:id="rId1394" ref="M1395"/>
    <hyperlink r:id="rId1395" ref="M1396"/>
    <hyperlink r:id="rId1396" ref="M1397"/>
    <hyperlink r:id="rId1397" ref="M1398"/>
    <hyperlink r:id="rId1398" ref="M1399"/>
    <hyperlink r:id="rId1399" ref="M1400"/>
    <hyperlink r:id="rId1400" ref="M1401"/>
    <hyperlink r:id="rId1401" ref="M1402"/>
    <hyperlink r:id="rId1402" ref="M1403"/>
    <hyperlink r:id="rId1403" ref="M1404"/>
    <hyperlink r:id="rId1404" ref="M1405"/>
    <hyperlink r:id="rId1405" ref="M1406"/>
    <hyperlink r:id="rId1406" ref="M1407"/>
    <hyperlink r:id="rId1407" ref="M1408"/>
    <hyperlink r:id="rId1408" ref="M1409"/>
    <hyperlink r:id="rId1409" ref="M1410"/>
    <hyperlink r:id="rId1410" ref="M1411"/>
    <hyperlink r:id="rId1411" ref="M1412"/>
    <hyperlink r:id="rId1412" ref="M1413"/>
    <hyperlink r:id="rId1413" ref="M1414"/>
    <hyperlink r:id="rId1414" ref="M1415"/>
    <hyperlink r:id="rId1415" ref="M1416"/>
    <hyperlink r:id="rId1416" ref="M1417"/>
    <hyperlink r:id="rId1417" ref="M1418"/>
    <hyperlink r:id="rId1418" ref="M1419"/>
    <hyperlink r:id="rId1419" ref="M1420"/>
    <hyperlink r:id="rId1420" ref="M1421"/>
    <hyperlink r:id="rId1421" ref="M1422"/>
    <hyperlink r:id="rId1422" ref="M1423"/>
    <hyperlink r:id="rId1423" ref="M1424"/>
    <hyperlink r:id="rId1424" ref="M1425"/>
    <hyperlink r:id="rId1425" ref="M1426"/>
    <hyperlink r:id="rId1426" ref="M1427"/>
    <hyperlink r:id="rId1427" ref="M1428"/>
    <hyperlink r:id="rId1428" ref="M1429"/>
    <hyperlink r:id="rId1429" ref="M1430"/>
    <hyperlink r:id="rId1430" ref="M1431"/>
    <hyperlink r:id="rId1431" ref="M1432"/>
    <hyperlink r:id="rId1432" ref="M1433"/>
    <hyperlink r:id="rId1433" ref="M1434"/>
    <hyperlink r:id="rId1434" ref="M1435"/>
    <hyperlink r:id="rId1435" ref="M1436"/>
    <hyperlink r:id="rId1436" ref="M1437"/>
    <hyperlink r:id="rId1437" ref="M1438"/>
    <hyperlink r:id="rId1438" ref="M1439"/>
    <hyperlink r:id="rId1439" ref="M1440"/>
    <hyperlink r:id="rId1440" ref="M1441"/>
    <hyperlink r:id="rId1441" ref="M1442"/>
    <hyperlink r:id="rId1442" ref="M1443"/>
    <hyperlink r:id="rId1443" ref="M1444"/>
    <hyperlink r:id="rId1444" ref="M1445"/>
    <hyperlink r:id="rId1445" ref="M1446"/>
    <hyperlink r:id="rId1446" ref="M1447"/>
    <hyperlink r:id="rId1447" ref="M1448"/>
    <hyperlink r:id="rId1448" ref="M1449"/>
    <hyperlink r:id="rId1449" ref="M1450"/>
    <hyperlink r:id="rId1450" ref="M1451"/>
    <hyperlink r:id="rId1451" ref="M1452"/>
    <hyperlink r:id="rId1452" ref="M1453"/>
    <hyperlink r:id="rId1453" ref="M1454"/>
    <hyperlink r:id="rId1454" ref="M1455"/>
    <hyperlink r:id="rId1455" ref="M1456"/>
    <hyperlink r:id="rId1456" ref="M1457"/>
    <hyperlink r:id="rId1457" ref="M1458"/>
    <hyperlink r:id="rId1458" ref="M1459"/>
    <hyperlink r:id="rId1459" ref="M1460"/>
    <hyperlink r:id="rId1460" ref="M1461"/>
    <hyperlink r:id="rId1461" ref="M1462"/>
    <hyperlink r:id="rId1462" ref="M1463"/>
    <hyperlink r:id="rId1463" ref="M1464"/>
    <hyperlink r:id="rId1464" ref="M1465"/>
    <hyperlink r:id="rId1465" ref="M1466"/>
  </hyperlinks>
  <drawing r:id="rId14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0</v>
      </c>
      <c r="B1" s="13" t="s">
        <v>5677</v>
      </c>
      <c r="C1" s="13" t="s">
        <v>5678</v>
      </c>
      <c r="D1" s="13" t="s">
        <v>5679</v>
      </c>
      <c r="E1" s="13" t="s">
        <v>5680</v>
      </c>
      <c r="F1" s="13" t="s">
        <v>5681</v>
      </c>
      <c r="G1" s="13" t="s">
        <v>5682</v>
      </c>
      <c r="H1" s="1"/>
    </row>
    <row r="2">
      <c r="A2" s="13" t="s">
        <v>19</v>
      </c>
      <c r="B2" s="13" t="s">
        <v>5683</v>
      </c>
      <c r="C2" s="13" t="s">
        <v>5684</v>
      </c>
      <c r="D2" s="13" t="s">
        <v>5685</v>
      </c>
      <c r="E2" s="13" t="s">
        <v>5686</v>
      </c>
      <c r="F2" s="13" t="s">
        <v>5687</v>
      </c>
      <c r="G2" s="14" t="s">
        <v>5688</v>
      </c>
    </row>
    <row r="3">
      <c r="A3" s="13" t="s">
        <v>24</v>
      </c>
      <c r="B3" s="13" t="s">
        <v>5689</v>
      </c>
      <c r="C3" s="13" t="s">
        <v>5690</v>
      </c>
      <c r="D3" s="13" t="s">
        <v>5691</v>
      </c>
      <c r="E3" s="13" t="s">
        <v>5692</v>
      </c>
      <c r="F3" s="13" t="s">
        <v>5693</v>
      </c>
      <c r="G3" s="14" t="s">
        <v>5694</v>
      </c>
    </row>
    <row r="4">
      <c r="A4" s="13" t="s">
        <v>28</v>
      </c>
      <c r="B4" s="13" t="s">
        <v>5695</v>
      </c>
      <c r="C4" s="13" t="s">
        <v>5696</v>
      </c>
      <c r="D4" s="13" t="s">
        <v>5697</v>
      </c>
      <c r="E4" s="13" t="s">
        <v>5698</v>
      </c>
      <c r="F4" s="13" t="s">
        <v>5699</v>
      </c>
      <c r="G4" s="14" t="s">
        <v>5700</v>
      </c>
    </row>
    <row r="5">
      <c r="A5" s="13" t="s">
        <v>32</v>
      </c>
      <c r="B5" s="13" t="s">
        <v>5701</v>
      </c>
      <c r="C5" s="13" t="s">
        <v>5702</v>
      </c>
      <c r="D5" s="13" t="s">
        <v>5703</v>
      </c>
      <c r="E5" s="13" t="s">
        <v>5704</v>
      </c>
      <c r="F5" s="13" t="s">
        <v>5705</v>
      </c>
      <c r="G5" s="14" t="s">
        <v>5706</v>
      </c>
    </row>
    <row r="6">
      <c r="A6" s="13" t="s">
        <v>36</v>
      </c>
      <c r="B6" s="13" t="s">
        <v>5707</v>
      </c>
      <c r="C6" s="13" t="s">
        <v>5708</v>
      </c>
      <c r="D6" s="13" t="s">
        <v>5709</v>
      </c>
      <c r="E6" s="13" t="s">
        <v>5710</v>
      </c>
      <c r="F6" s="13" t="s">
        <v>5711</v>
      </c>
      <c r="G6" s="14" t="s">
        <v>5712</v>
      </c>
    </row>
    <row r="7">
      <c r="A7" s="13" t="s">
        <v>40</v>
      </c>
      <c r="B7" s="13" t="s">
        <v>5713</v>
      </c>
      <c r="C7" s="13" t="s">
        <v>5714</v>
      </c>
      <c r="D7" s="13" t="s">
        <v>5715</v>
      </c>
      <c r="E7" s="13" t="s">
        <v>5716</v>
      </c>
      <c r="F7" s="13" t="s">
        <v>5717</v>
      </c>
      <c r="G7" s="14" t="s">
        <v>5718</v>
      </c>
    </row>
    <row r="8">
      <c r="A8" s="13" t="s">
        <v>44</v>
      </c>
      <c r="B8" s="13" t="s">
        <v>5719</v>
      </c>
      <c r="C8" s="13" t="s">
        <v>5720</v>
      </c>
      <c r="D8" s="13" t="s">
        <v>5721</v>
      </c>
      <c r="E8" s="13" t="s">
        <v>5722</v>
      </c>
      <c r="F8" s="13" t="s">
        <v>5723</v>
      </c>
      <c r="G8" s="14" t="s">
        <v>5724</v>
      </c>
    </row>
    <row r="9">
      <c r="A9" s="13" t="s">
        <v>48</v>
      </c>
      <c r="B9" s="13" t="s">
        <v>5725</v>
      </c>
      <c r="C9" s="13" t="s">
        <v>5726</v>
      </c>
      <c r="D9" s="13" t="s">
        <v>5727</v>
      </c>
      <c r="E9" s="13" t="s">
        <v>5728</v>
      </c>
      <c r="F9" s="13" t="s">
        <v>5729</v>
      </c>
      <c r="G9" s="14" t="s">
        <v>5730</v>
      </c>
    </row>
    <row r="10">
      <c r="A10" s="13" t="s">
        <v>52</v>
      </c>
      <c r="B10" s="13" t="s">
        <v>5731</v>
      </c>
      <c r="C10" s="13" t="s">
        <v>5732</v>
      </c>
      <c r="D10" s="13" t="s">
        <v>5733</v>
      </c>
      <c r="E10" s="13" t="s">
        <v>5734</v>
      </c>
      <c r="F10" s="13" t="s">
        <v>5735</v>
      </c>
      <c r="G10" s="14" t="s">
        <v>5736</v>
      </c>
    </row>
    <row r="11">
      <c r="A11" s="13" t="s">
        <v>57</v>
      </c>
      <c r="B11" s="13" t="s">
        <v>5689</v>
      </c>
      <c r="C11" s="13" t="s">
        <v>5690</v>
      </c>
      <c r="D11" s="13" t="s">
        <v>5691</v>
      </c>
      <c r="E11" s="13" t="s">
        <v>5692</v>
      </c>
      <c r="F11" s="13" t="s">
        <v>5693</v>
      </c>
      <c r="G11" s="14" t="s">
        <v>5737</v>
      </c>
    </row>
    <row r="12">
      <c r="A12" s="13" t="s">
        <v>61</v>
      </c>
      <c r="B12" s="13" t="s">
        <v>5738</v>
      </c>
      <c r="C12" s="13" t="s">
        <v>5739</v>
      </c>
      <c r="D12" s="13" t="s">
        <v>5740</v>
      </c>
      <c r="E12" s="13" t="s">
        <v>5741</v>
      </c>
      <c r="F12" s="13" t="s">
        <v>5742</v>
      </c>
      <c r="G12" s="14" t="s">
        <v>5743</v>
      </c>
    </row>
    <row r="13">
      <c r="A13" s="13" t="s">
        <v>65</v>
      </c>
      <c r="B13" s="13" t="s">
        <v>5701</v>
      </c>
      <c r="C13" s="13" t="s">
        <v>5702</v>
      </c>
      <c r="D13" s="13" t="s">
        <v>5703</v>
      </c>
      <c r="E13" s="13" t="s">
        <v>5704</v>
      </c>
      <c r="F13" s="13" t="s">
        <v>5705</v>
      </c>
      <c r="G13" s="14" t="s">
        <v>5744</v>
      </c>
    </row>
    <row r="14">
      <c r="A14" s="13" t="s">
        <v>69</v>
      </c>
      <c r="B14" s="13" t="s">
        <v>5745</v>
      </c>
      <c r="C14" s="13" t="s">
        <v>5746</v>
      </c>
      <c r="D14" s="13" t="s">
        <v>5747</v>
      </c>
      <c r="E14" s="13" t="s">
        <v>5748</v>
      </c>
      <c r="F14" s="13" t="s">
        <v>5749</v>
      </c>
      <c r="G14" s="14" t="s">
        <v>5750</v>
      </c>
    </row>
    <row r="15">
      <c r="A15" s="13" t="s">
        <v>74</v>
      </c>
      <c r="B15" s="13" t="s">
        <v>5751</v>
      </c>
      <c r="C15" s="13" t="s">
        <v>5752</v>
      </c>
      <c r="D15" s="13" t="s">
        <v>5753</v>
      </c>
      <c r="E15" s="13" t="s">
        <v>5754</v>
      </c>
      <c r="F15" s="13" t="s">
        <v>5755</v>
      </c>
      <c r="G15" s="14" t="s">
        <v>5756</v>
      </c>
    </row>
    <row r="16">
      <c r="A16" s="13" t="s">
        <v>78</v>
      </c>
      <c r="B16" s="13" t="s">
        <v>5757</v>
      </c>
      <c r="C16" s="13" t="s">
        <v>5758</v>
      </c>
      <c r="D16" s="13" t="s">
        <v>5759</v>
      </c>
      <c r="E16" s="13" t="s">
        <v>5760</v>
      </c>
      <c r="F16" s="13" t="s">
        <v>5761</v>
      </c>
      <c r="G16" s="14" t="s">
        <v>5762</v>
      </c>
    </row>
    <row r="17">
      <c r="A17" s="13" t="s">
        <v>81</v>
      </c>
      <c r="B17" s="13" t="s">
        <v>5763</v>
      </c>
      <c r="C17" s="13" t="s">
        <v>5764</v>
      </c>
      <c r="D17" s="13" t="s">
        <v>5765</v>
      </c>
      <c r="E17" s="13" t="s">
        <v>5766</v>
      </c>
      <c r="F17" s="13" t="s">
        <v>5767</v>
      </c>
      <c r="G17" s="14" t="s">
        <v>5768</v>
      </c>
    </row>
    <row r="18">
      <c r="A18" s="13" t="s">
        <v>85</v>
      </c>
      <c r="B18" s="13" t="s">
        <v>5769</v>
      </c>
      <c r="C18" s="13" t="s">
        <v>5770</v>
      </c>
      <c r="D18" s="13" t="s">
        <v>5771</v>
      </c>
      <c r="E18" s="13" t="s">
        <v>5772</v>
      </c>
      <c r="F18" s="13" t="s">
        <v>5773</v>
      </c>
      <c r="G18" s="14" t="s">
        <v>5774</v>
      </c>
    </row>
    <row r="19">
      <c r="A19" s="13" t="s">
        <v>90</v>
      </c>
      <c r="B19" s="13" t="s">
        <v>5689</v>
      </c>
      <c r="C19" s="13" t="s">
        <v>5690</v>
      </c>
      <c r="D19" s="13" t="s">
        <v>5691</v>
      </c>
      <c r="E19" s="13" t="s">
        <v>5692</v>
      </c>
      <c r="F19" s="13" t="s">
        <v>5693</v>
      </c>
      <c r="G19" s="14" t="s">
        <v>5775</v>
      </c>
    </row>
    <row r="20">
      <c r="A20" s="13" t="s">
        <v>94</v>
      </c>
      <c r="B20" s="13" t="s">
        <v>5776</v>
      </c>
      <c r="C20" s="13" t="s">
        <v>5777</v>
      </c>
      <c r="D20" s="13" t="s">
        <v>5778</v>
      </c>
      <c r="E20" s="13" t="s">
        <v>5779</v>
      </c>
      <c r="F20" s="13" t="s">
        <v>5780</v>
      </c>
      <c r="G20" s="14" t="s">
        <v>5781</v>
      </c>
    </row>
    <row r="21">
      <c r="A21" s="13" t="s">
        <v>98</v>
      </c>
      <c r="B21" s="13" t="s">
        <v>5782</v>
      </c>
      <c r="C21" s="13" t="s">
        <v>5783</v>
      </c>
      <c r="D21" s="13" t="s">
        <v>5784</v>
      </c>
      <c r="E21" s="13" t="s">
        <v>5785</v>
      </c>
      <c r="F21" s="13" t="s">
        <v>5786</v>
      </c>
      <c r="G21" s="14" t="s">
        <v>5787</v>
      </c>
    </row>
    <row r="22">
      <c r="A22" s="13" t="s">
        <v>102</v>
      </c>
      <c r="B22" s="13" t="s">
        <v>5788</v>
      </c>
      <c r="C22" s="13" t="s">
        <v>5789</v>
      </c>
      <c r="D22" s="13" t="s">
        <v>5790</v>
      </c>
      <c r="E22" s="13" t="s">
        <v>5791</v>
      </c>
      <c r="F22" s="13" t="s">
        <v>5792</v>
      </c>
      <c r="G22" s="14" t="s">
        <v>5793</v>
      </c>
    </row>
    <row r="23">
      <c r="A23" s="13" t="s">
        <v>106</v>
      </c>
      <c r="B23" s="13" t="s">
        <v>5794</v>
      </c>
      <c r="C23" s="13" t="s">
        <v>5795</v>
      </c>
      <c r="D23" s="13" t="s">
        <v>5796</v>
      </c>
      <c r="E23" s="13" t="s">
        <v>5797</v>
      </c>
      <c r="F23" s="13" t="s">
        <v>5798</v>
      </c>
      <c r="G23" s="14" t="s">
        <v>5799</v>
      </c>
    </row>
    <row r="24">
      <c r="A24" s="13" t="s">
        <v>110</v>
      </c>
      <c r="B24" s="13" t="s">
        <v>5800</v>
      </c>
      <c r="C24" s="13" t="s">
        <v>5801</v>
      </c>
      <c r="D24" s="13" t="s">
        <v>5802</v>
      </c>
      <c r="E24" s="13" t="s">
        <v>5803</v>
      </c>
      <c r="F24" s="13" t="s">
        <v>5804</v>
      </c>
      <c r="G24" s="14" t="s">
        <v>5805</v>
      </c>
    </row>
    <row r="25">
      <c r="A25" s="13" t="s">
        <v>114</v>
      </c>
      <c r="B25" s="13" t="s">
        <v>5806</v>
      </c>
      <c r="C25" s="13" t="s">
        <v>5807</v>
      </c>
      <c r="D25" s="13" t="s">
        <v>5808</v>
      </c>
      <c r="E25" s="13" t="s">
        <v>5809</v>
      </c>
      <c r="F25" s="13" t="s">
        <v>5810</v>
      </c>
      <c r="G25" s="14" t="s">
        <v>5811</v>
      </c>
    </row>
    <row r="26">
      <c r="A26" s="13" t="s">
        <v>118</v>
      </c>
      <c r="B26" s="13" t="s">
        <v>5812</v>
      </c>
      <c r="C26" s="13" t="s">
        <v>5813</v>
      </c>
      <c r="D26" s="13" t="s">
        <v>5814</v>
      </c>
      <c r="E26" s="13" t="s">
        <v>5815</v>
      </c>
      <c r="F26" s="13" t="s">
        <v>5816</v>
      </c>
      <c r="G26" s="14" t="s">
        <v>5817</v>
      </c>
    </row>
    <row r="27">
      <c r="A27" s="13" t="s">
        <v>122</v>
      </c>
      <c r="B27" s="13" t="s">
        <v>5818</v>
      </c>
      <c r="C27" s="13" t="s">
        <v>5819</v>
      </c>
      <c r="D27" s="13" t="s">
        <v>5820</v>
      </c>
      <c r="E27" s="13" t="s">
        <v>5821</v>
      </c>
      <c r="F27" s="13" t="s">
        <v>5822</v>
      </c>
      <c r="G27" s="14" t="s">
        <v>5823</v>
      </c>
    </row>
    <row r="28">
      <c r="A28" s="13" t="s">
        <v>126</v>
      </c>
      <c r="B28" s="13" t="s">
        <v>5824</v>
      </c>
      <c r="C28" s="13" t="s">
        <v>5825</v>
      </c>
      <c r="D28" s="13" t="s">
        <v>5826</v>
      </c>
      <c r="E28" s="13" t="s">
        <v>5827</v>
      </c>
      <c r="F28" s="13" t="s">
        <v>5828</v>
      </c>
      <c r="G28" s="14" t="s">
        <v>5829</v>
      </c>
    </row>
    <row r="29">
      <c r="A29" s="13" t="s">
        <v>130</v>
      </c>
      <c r="B29" s="13" t="s">
        <v>5830</v>
      </c>
      <c r="C29" s="13" t="s">
        <v>5831</v>
      </c>
      <c r="D29" s="13" t="s">
        <v>5832</v>
      </c>
      <c r="E29" s="13" t="s">
        <v>5833</v>
      </c>
      <c r="F29" s="13" t="s">
        <v>5834</v>
      </c>
      <c r="G29" s="14" t="s">
        <v>5835</v>
      </c>
    </row>
    <row r="30">
      <c r="A30" s="13" t="s">
        <v>134</v>
      </c>
      <c r="B30" s="13" t="s">
        <v>5836</v>
      </c>
      <c r="C30" s="13" t="s">
        <v>5837</v>
      </c>
      <c r="D30" s="13" t="s">
        <v>5838</v>
      </c>
      <c r="E30" s="13" t="s">
        <v>5839</v>
      </c>
      <c r="F30" s="13" t="s">
        <v>5840</v>
      </c>
      <c r="G30" s="14" t="s">
        <v>5841</v>
      </c>
    </row>
    <row r="31">
      <c r="A31" s="13" t="s">
        <v>138</v>
      </c>
      <c r="B31" s="13" t="s">
        <v>5842</v>
      </c>
      <c r="C31" s="13" t="s">
        <v>5843</v>
      </c>
      <c r="D31" s="13" t="s">
        <v>5844</v>
      </c>
      <c r="E31" s="13" t="s">
        <v>5845</v>
      </c>
      <c r="F31" s="13" t="s">
        <v>5846</v>
      </c>
      <c r="G31" s="14" t="s">
        <v>5847</v>
      </c>
    </row>
    <row r="32">
      <c r="A32" s="13" t="s">
        <v>142</v>
      </c>
      <c r="B32" s="13" t="s">
        <v>5848</v>
      </c>
      <c r="C32" s="13" t="s">
        <v>5849</v>
      </c>
      <c r="D32" s="13" t="s">
        <v>5850</v>
      </c>
      <c r="E32" s="13" t="s">
        <v>5851</v>
      </c>
      <c r="F32" s="13" t="s">
        <v>5852</v>
      </c>
      <c r="G32" s="14" t="s">
        <v>5853</v>
      </c>
    </row>
    <row r="33">
      <c r="A33" s="13" t="s">
        <v>146</v>
      </c>
      <c r="B33" s="13" t="s">
        <v>5854</v>
      </c>
      <c r="C33" s="13" t="s">
        <v>5855</v>
      </c>
      <c r="D33" s="13" t="s">
        <v>5856</v>
      </c>
      <c r="E33" s="13" t="s">
        <v>5857</v>
      </c>
      <c r="F33" s="13" t="s">
        <v>5858</v>
      </c>
      <c r="G33" s="14" t="s">
        <v>5859</v>
      </c>
    </row>
    <row r="34">
      <c r="A34" s="13" t="s">
        <v>150</v>
      </c>
      <c r="B34" s="13" t="s">
        <v>5860</v>
      </c>
      <c r="C34" s="13" t="s">
        <v>5861</v>
      </c>
      <c r="D34" s="13" t="s">
        <v>5862</v>
      </c>
      <c r="E34" s="13" t="s">
        <v>5863</v>
      </c>
      <c r="F34" s="13" t="s">
        <v>5864</v>
      </c>
      <c r="G34" s="14" t="s">
        <v>5865</v>
      </c>
    </row>
    <row r="35">
      <c r="A35" s="13" t="s">
        <v>154</v>
      </c>
      <c r="B35" s="13" t="s">
        <v>5866</v>
      </c>
      <c r="C35" s="13" t="s">
        <v>5867</v>
      </c>
      <c r="D35" s="13" t="s">
        <v>5868</v>
      </c>
      <c r="E35" s="13" t="s">
        <v>5869</v>
      </c>
      <c r="F35" s="13" t="s">
        <v>5870</v>
      </c>
      <c r="G35" s="14" t="s">
        <v>5871</v>
      </c>
    </row>
    <row r="36">
      <c r="A36" s="13" t="s">
        <v>158</v>
      </c>
      <c r="B36" s="13" t="s">
        <v>5872</v>
      </c>
      <c r="C36" s="13" t="s">
        <v>5873</v>
      </c>
      <c r="D36" s="13" t="s">
        <v>5874</v>
      </c>
      <c r="E36" s="13" t="s">
        <v>5875</v>
      </c>
      <c r="F36" s="13" t="s">
        <v>5876</v>
      </c>
      <c r="G36" s="14" t="s">
        <v>5877</v>
      </c>
    </row>
    <row r="37">
      <c r="A37" s="13" t="s">
        <v>162</v>
      </c>
      <c r="B37" s="13" t="s">
        <v>5713</v>
      </c>
      <c r="C37" s="13" t="s">
        <v>5714</v>
      </c>
      <c r="D37" s="13" t="s">
        <v>5715</v>
      </c>
      <c r="E37" s="13" t="s">
        <v>5716</v>
      </c>
      <c r="F37" s="13" t="s">
        <v>5878</v>
      </c>
      <c r="G37" s="14" t="s">
        <v>5879</v>
      </c>
    </row>
    <row r="38">
      <c r="A38" s="13" t="s">
        <v>166</v>
      </c>
      <c r="B38" s="13" t="s">
        <v>5880</v>
      </c>
      <c r="C38" s="13" t="s">
        <v>5881</v>
      </c>
      <c r="D38" s="13" t="s">
        <v>5882</v>
      </c>
      <c r="E38" s="13" t="s">
        <v>5883</v>
      </c>
      <c r="F38" s="13" t="s">
        <v>5884</v>
      </c>
      <c r="G38" s="14" t="s">
        <v>5885</v>
      </c>
    </row>
    <row r="39">
      <c r="A39" s="13" t="s">
        <v>170</v>
      </c>
      <c r="B39" s="13" t="s">
        <v>5886</v>
      </c>
      <c r="C39" s="13" t="s">
        <v>5887</v>
      </c>
      <c r="D39" s="13" t="s">
        <v>5888</v>
      </c>
      <c r="E39" s="13" t="s">
        <v>5889</v>
      </c>
      <c r="F39" s="13" t="s">
        <v>5890</v>
      </c>
      <c r="G39" s="14" t="s">
        <v>5891</v>
      </c>
    </row>
    <row r="40">
      <c r="A40" s="13" t="s">
        <v>174</v>
      </c>
      <c r="B40" s="13" t="s">
        <v>5892</v>
      </c>
      <c r="C40" s="13" t="s">
        <v>5893</v>
      </c>
      <c r="D40" s="13" t="s">
        <v>5894</v>
      </c>
      <c r="E40" s="13" t="s">
        <v>5895</v>
      </c>
      <c r="F40" s="13" t="s">
        <v>5896</v>
      </c>
      <c r="G40" s="14" t="s">
        <v>5897</v>
      </c>
    </row>
    <row r="41">
      <c r="A41" s="13" t="s">
        <v>178</v>
      </c>
      <c r="B41" s="13" t="s">
        <v>5898</v>
      </c>
      <c r="C41" s="13" t="s">
        <v>5899</v>
      </c>
      <c r="D41" s="13" t="s">
        <v>5900</v>
      </c>
      <c r="E41" s="13" t="s">
        <v>5901</v>
      </c>
      <c r="F41" s="13" t="s">
        <v>5902</v>
      </c>
      <c r="G41" s="14" t="s">
        <v>5903</v>
      </c>
    </row>
    <row r="42">
      <c r="A42" s="13" t="s">
        <v>182</v>
      </c>
      <c r="B42" s="13" t="s">
        <v>5904</v>
      </c>
      <c r="C42" s="13" t="s">
        <v>5905</v>
      </c>
      <c r="D42" s="13" t="s">
        <v>5906</v>
      </c>
      <c r="E42" s="13" t="s">
        <v>5907</v>
      </c>
      <c r="F42" s="13" t="s">
        <v>5908</v>
      </c>
      <c r="G42" s="14" t="s">
        <v>5909</v>
      </c>
    </row>
    <row r="43">
      <c r="A43" s="13" t="s">
        <v>186</v>
      </c>
      <c r="B43" s="13" t="s">
        <v>5910</v>
      </c>
      <c r="C43" s="13" t="s">
        <v>5911</v>
      </c>
      <c r="D43" s="13" t="s">
        <v>5912</v>
      </c>
      <c r="E43" s="13" t="s">
        <v>5913</v>
      </c>
      <c r="F43" s="13" t="s">
        <v>5914</v>
      </c>
      <c r="G43" s="14" t="s">
        <v>5915</v>
      </c>
    </row>
    <row r="44">
      <c r="A44" s="13" t="s">
        <v>190</v>
      </c>
      <c r="B44" s="13" t="s">
        <v>5683</v>
      </c>
      <c r="C44" s="13" t="s">
        <v>5684</v>
      </c>
      <c r="D44" s="13" t="s">
        <v>5685</v>
      </c>
      <c r="E44" s="13" t="s">
        <v>5686</v>
      </c>
      <c r="F44" s="13" t="s">
        <v>5687</v>
      </c>
      <c r="G44" s="14" t="s">
        <v>5916</v>
      </c>
    </row>
    <row r="45">
      <c r="A45" s="13" t="s">
        <v>194</v>
      </c>
      <c r="B45" s="13" t="s">
        <v>5917</v>
      </c>
      <c r="C45" s="13" t="s">
        <v>5918</v>
      </c>
      <c r="D45" s="13" t="s">
        <v>5919</v>
      </c>
      <c r="E45" s="13" t="s">
        <v>5920</v>
      </c>
      <c r="F45" s="13" t="s">
        <v>5921</v>
      </c>
      <c r="G45" s="14" t="s">
        <v>5922</v>
      </c>
    </row>
    <row r="46">
      <c r="A46" s="13" t="s">
        <v>198</v>
      </c>
      <c r="B46" s="13" t="s">
        <v>5806</v>
      </c>
      <c r="C46" s="13" t="s">
        <v>5807</v>
      </c>
      <c r="D46" s="13" t="s">
        <v>5808</v>
      </c>
      <c r="E46" s="13" t="s">
        <v>5809</v>
      </c>
      <c r="F46" s="13" t="s">
        <v>5810</v>
      </c>
      <c r="G46" s="14" t="s">
        <v>5923</v>
      </c>
    </row>
    <row r="47">
      <c r="A47" s="13" t="s">
        <v>202</v>
      </c>
      <c r="B47" s="13" t="s">
        <v>5924</v>
      </c>
      <c r="C47" s="13" t="s">
        <v>5925</v>
      </c>
      <c r="D47" s="13" t="s">
        <v>5926</v>
      </c>
      <c r="E47" s="13" t="s">
        <v>5927</v>
      </c>
      <c r="F47" s="13" t="s">
        <v>5928</v>
      </c>
      <c r="G47" s="14" t="s">
        <v>5929</v>
      </c>
    </row>
    <row r="48">
      <c r="A48" s="13" t="s">
        <v>206</v>
      </c>
      <c r="B48" s="13" t="s">
        <v>5930</v>
      </c>
      <c r="C48" s="13" t="s">
        <v>5931</v>
      </c>
      <c r="D48" s="13" t="s">
        <v>5932</v>
      </c>
      <c r="E48" s="13" t="s">
        <v>5933</v>
      </c>
      <c r="F48" s="13" t="s">
        <v>5934</v>
      </c>
      <c r="G48" s="14" t="s">
        <v>5935</v>
      </c>
    </row>
    <row r="49">
      <c r="A49" s="13" t="s">
        <v>210</v>
      </c>
      <c r="B49" s="13" t="s">
        <v>5745</v>
      </c>
      <c r="C49" s="13" t="s">
        <v>5746</v>
      </c>
      <c r="D49" s="13" t="s">
        <v>5747</v>
      </c>
      <c r="E49" s="13" t="s">
        <v>5748</v>
      </c>
      <c r="F49" s="13" t="s">
        <v>5749</v>
      </c>
      <c r="G49" s="14" t="s">
        <v>5936</v>
      </c>
    </row>
    <row r="50">
      <c r="A50" s="13" t="s">
        <v>214</v>
      </c>
      <c r="B50" s="13" t="s">
        <v>5937</v>
      </c>
      <c r="C50" s="13" t="s">
        <v>5938</v>
      </c>
      <c r="D50" s="13" t="s">
        <v>5939</v>
      </c>
      <c r="E50" s="13" t="s">
        <v>5940</v>
      </c>
      <c r="F50" s="13" t="s">
        <v>5941</v>
      </c>
      <c r="G50" s="14" t="s">
        <v>5942</v>
      </c>
    </row>
    <row r="51">
      <c r="A51" s="13" t="s">
        <v>219</v>
      </c>
      <c r="B51" s="13" t="s">
        <v>5943</v>
      </c>
      <c r="C51" s="13" t="s">
        <v>5944</v>
      </c>
      <c r="D51" s="13" t="s">
        <v>5945</v>
      </c>
      <c r="E51" s="13" t="s">
        <v>5946</v>
      </c>
      <c r="F51" s="13" t="s">
        <v>5947</v>
      </c>
      <c r="G51" s="14" t="s">
        <v>5948</v>
      </c>
    </row>
    <row r="52">
      <c r="A52" s="13" t="s">
        <v>223</v>
      </c>
      <c r="B52" s="13" t="s">
        <v>5949</v>
      </c>
      <c r="C52" s="13" t="s">
        <v>5950</v>
      </c>
      <c r="D52" s="13" t="s">
        <v>5951</v>
      </c>
      <c r="E52" s="13" t="s">
        <v>5952</v>
      </c>
      <c r="F52" s="13" t="s">
        <v>5953</v>
      </c>
      <c r="G52" s="14" t="s">
        <v>5954</v>
      </c>
    </row>
    <row r="53">
      <c r="A53" s="13" t="s">
        <v>227</v>
      </c>
      <c r="B53" s="13" t="s">
        <v>5943</v>
      </c>
      <c r="C53" s="13" t="s">
        <v>5944</v>
      </c>
      <c r="D53" s="13" t="s">
        <v>5945</v>
      </c>
      <c r="E53" s="13" t="s">
        <v>5946</v>
      </c>
      <c r="F53" s="13" t="s">
        <v>5947</v>
      </c>
      <c r="G53" s="14" t="s">
        <v>5955</v>
      </c>
    </row>
    <row r="54">
      <c r="A54" s="13" t="s">
        <v>231</v>
      </c>
      <c r="B54" s="13" t="s">
        <v>5956</v>
      </c>
      <c r="C54" s="13" t="s">
        <v>5957</v>
      </c>
      <c r="D54" s="13" t="s">
        <v>5958</v>
      </c>
      <c r="E54" s="13" t="s">
        <v>5959</v>
      </c>
      <c r="F54" s="13" t="s">
        <v>5960</v>
      </c>
      <c r="G54" s="14" t="s">
        <v>5961</v>
      </c>
    </row>
    <row r="55">
      <c r="A55" s="13" t="s">
        <v>235</v>
      </c>
      <c r="B55" s="13" t="s">
        <v>5962</v>
      </c>
      <c r="C55" s="13" t="s">
        <v>5963</v>
      </c>
      <c r="D55" s="13" t="s">
        <v>5964</v>
      </c>
      <c r="E55" s="13" t="s">
        <v>5965</v>
      </c>
      <c r="F55" s="13" t="s">
        <v>5966</v>
      </c>
      <c r="G55" s="14" t="s">
        <v>5967</v>
      </c>
    </row>
    <row r="56">
      <c r="A56" s="13" t="s">
        <v>240</v>
      </c>
      <c r="B56" s="13" t="s">
        <v>5968</v>
      </c>
      <c r="C56" s="13" t="s">
        <v>5969</v>
      </c>
      <c r="D56" s="13" t="s">
        <v>5970</v>
      </c>
      <c r="E56" s="13" t="s">
        <v>5971</v>
      </c>
      <c r="F56" s="13" t="s">
        <v>5972</v>
      </c>
      <c r="G56" s="14" t="s">
        <v>5973</v>
      </c>
    </row>
    <row r="57">
      <c r="A57" s="13" t="s">
        <v>244</v>
      </c>
      <c r="B57" s="13" t="s">
        <v>5974</v>
      </c>
      <c r="C57" s="13" t="s">
        <v>5975</v>
      </c>
      <c r="D57" s="13" t="s">
        <v>5976</v>
      </c>
      <c r="E57" s="13" t="s">
        <v>5977</v>
      </c>
      <c r="F57" s="13" t="s">
        <v>5978</v>
      </c>
      <c r="G57" s="14" t="s">
        <v>5979</v>
      </c>
    </row>
    <row r="58">
      <c r="A58" s="13" t="s">
        <v>248</v>
      </c>
      <c r="B58" s="13" t="s">
        <v>5731</v>
      </c>
      <c r="C58" s="13" t="s">
        <v>5732</v>
      </c>
      <c r="D58" s="13" t="s">
        <v>5733</v>
      </c>
      <c r="E58" s="13" t="s">
        <v>5734</v>
      </c>
      <c r="F58" s="13" t="s">
        <v>5735</v>
      </c>
      <c r="G58" s="14" t="s">
        <v>5980</v>
      </c>
    </row>
    <row r="59">
      <c r="A59" s="13" t="s">
        <v>252</v>
      </c>
      <c r="B59" s="13" t="s">
        <v>5824</v>
      </c>
      <c r="C59" s="13" t="s">
        <v>5825</v>
      </c>
      <c r="D59" s="13" t="s">
        <v>5826</v>
      </c>
      <c r="E59" s="13" t="s">
        <v>5827</v>
      </c>
      <c r="F59" s="13" t="s">
        <v>5828</v>
      </c>
      <c r="G59" s="14" t="s">
        <v>5981</v>
      </c>
    </row>
    <row r="60">
      <c r="A60" s="13" t="s">
        <v>256</v>
      </c>
      <c r="B60" s="13" t="s">
        <v>5982</v>
      </c>
      <c r="C60" s="13" t="s">
        <v>5983</v>
      </c>
      <c r="D60" s="13" t="s">
        <v>5984</v>
      </c>
      <c r="E60" s="13" t="s">
        <v>5985</v>
      </c>
      <c r="F60" s="13" t="s">
        <v>5986</v>
      </c>
      <c r="G60" s="14" t="s">
        <v>5987</v>
      </c>
    </row>
    <row r="61">
      <c r="A61" s="13" t="s">
        <v>260</v>
      </c>
      <c r="B61" s="13" t="s">
        <v>5988</v>
      </c>
      <c r="C61" s="13" t="s">
        <v>5989</v>
      </c>
      <c r="D61" s="13" t="s">
        <v>5990</v>
      </c>
      <c r="E61" s="13" t="s">
        <v>5991</v>
      </c>
      <c r="F61" s="13" t="s">
        <v>5992</v>
      </c>
      <c r="G61" s="14" t="s">
        <v>5993</v>
      </c>
    </row>
    <row r="62">
      <c r="A62" s="13" t="s">
        <v>264</v>
      </c>
      <c r="B62" s="13" t="s">
        <v>5994</v>
      </c>
      <c r="C62" s="13" t="s">
        <v>5995</v>
      </c>
      <c r="D62" s="13" t="s">
        <v>5996</v>
      </c>
      <c r="E62" s="13" t="s">
        <v>5997</v>
      </c>
      <c r="F62" s="13" t="s">
        <v>5998</v>
      </c>
      <c r="G62" s="14" t="s">
        <v>5999</v>
      </c>
    </row>
    <row r="63">
      <c r="A63" s="13" t="s">
        <v>268</v>
      </c>
      <c r="B63" s="13" t="s">
        <v>6000</v>
      </c>
      <c r="C63" s="13" t="s">
        <v>6001</v>
      </c>
      <c r="D63" s="13" t="s">
        <v>6002</v>
      </c>
      <c r="E63" s="13" t="s">
        <v>6003</v>
      </c>
      <c r="F63" s="13" t="s">
        <v>6004</v>
      </c>
      <c r="G63" s="14" t="s">
        <v>6005</v>
      </c>
    </row>
    <row r="64">
      <c r="A64" s="13" t="s">
        <v>272</v>
      </c>
      <c r="B64" s="13" t="s">
        <v>6006</v>
      </c>
      <c r="C64" s="13" t="s">
        <v>6007</v>
      </c>
      <c r="D64" s="13" t="s">
        <v>6008</v>
      </c>
      <c r="E64" s="13" t="s">
        <v>6009</v>
      </c>
      <c r="F64" s="13" t="s">
        <v>6010</v>
      </c>
      <c r="G64" s="14" t="s">
        <v>6011</v>
      </c>
    </row>
    <row r="65">
      <c r="A65" s="13" t="s">
        <v>276</v>
      </c>
      <c r="B65" s="13" t="s">
        <v>6012</v>
      </c>
      <c r="C65" s="13" t="s">
        <v>6013</v>
      </c>
      <c r="D65" s="13" t="s">
        <v>6014</v>
      </c>
      <c r="E65" s="13" t="s">
        <v>6015</v>
      </c>
      <c r="F65" s="13" t="s">
        <v>6016</v>
      </c>
      <c r="G65" s="14" t="s">
        <v>6017</v>
      </c>
    </row>
    <row r="66">
      <c r="A66" s="13" t="s">
        <v>280</v>
      </c>
      <c r="B66" s="13" t="s">
        <v>6018</v>
      </c>
      <c r="C66" s="13" t="s">
        <v>6019</v>
      </c>
      <c r="D66" s="13" t="s">
        <v>6020</v>
      </c>
      <c r="E66" s="13" t="s">
        <v>6021</v>
      </c>
      <c r="F66" s="13" t="s">
        <v>6022</v>
      </c>
      <c r="G66" s="14" t="s">
        <v>6023</v>
      </c>
    </row>
    <row r="67">
      <c r="A67" s="13" t="s">
        <v>284</v>
      </c>
      <c r="B67" s="13" t="s">
        <v>5745</v>
      </c>
      <c r="C67" s="13" t="s">
        <v>5746</v>
      </c>
      <c r="D67" s="13" t="s">
        <v>5747</v>
      </c>
      <c r="E67" s="13" t="s">
        <v>5748</v>
      </c>
      <c r="F67" s="13" t="s">
        <v>5749</v>
      </c>
      <c r="G67" s="14" t="s">
        <v>6024</v>
      </c>
    </row>
    <row r="68">
      <c r="A68" s="13" t="s">
        <v>288</v>
      </c>
      <c r="B68" s="13" t="s">
        <v>6025</v>
      </c>
      <c r="C68" s="13" t="s">
        <v>6026</v>
      </c>
      <c r="D68" s="13" t="s">
        <v>6027</v>
      </c>
      <c r="E68" s="13" t="s">
        <v>6028</v>
      </c>
      <c r="F68" s="13" t="s">
        <v>6029</v>
      </c>
      <c r="G68" s="14" t="s">
        <v>6030</v>
      </c>
    </row>
    <row r="69">
      <c r="A69" s="13" t="s">
        <v>292</v>
      </c>
      <c r="B69" s="13" t="s">
        <v>6031</v>
      </c>
      <c r="C69" s="13" t="s">
        <v>6032</v>
      </c>
      <c r="D69" s="13" t="s">
        <v>6033</v>
      </c>
      <c r="E69" s="13" t="s">
        <v>6034</v>
      </c>
      <c r="F69" s="13" t="s">
        <v>6035</v>
      </c>
      <c r="G69" s="14" t="s">
        <v>6036</v>
      </c>
    </row>
    <row r="70">
      <c r="A70" s="13" t="s">
        <v>296</v>
      </c>
      <c r="B70" s="13" t="s">
        <v>6037</v>
      </c>
      <c r="C70" s="13" t="s">
        <v>6038</v>
      </c>
      <c r="D70" s="13" t="s">
        <v>6039</v>
      </c>
      <c r="E70" s="13" t="s">
        <v>6040</v>
      </c>
      <c r="F70" s="13" t="s">
        <v>6041</v>
      </c>
      <c r="G70" s="14" t="s">
        <v>6042</v>
      </c>
    </row>
    <row r="71">
      <c r="A71" s="13" t="s">
        <v>301</v>
      </c>
      <c r="B71" s="13" t="s">
        <v>6043</v>
      </c>
      <c r="C71" s="13" t="s">
        <v>6044</v>
      </c>
      <c r="D71" s="13" t="s">
        <v>6045</v>
      </c>
      <c r="E71" s="13" t="s">
        <v>6046</v>
      </c>
      <c r="F71" s="13" t="s">
        <v>6047</v>
      </c>
      <c r="G71" s="14" t="s">
        <v>6048</v>
      </c>
    </row>
    <row r="72">
      <c r="A72" s="13" t="s">
        <v>305</v>
      </c>
      <c r="B72" s="13" t="s">
        <v>6049</v>
      </c>
      <c r="C72" s="13" t="s">
        <v>6050</v>
      </c>
      <c r="D72" s="13" t="s">
        <v>6051</v>
      </c>
      <c r="E72" s="13" t="s">
        <v>6052</v>
      </c>
      <c r="F72" s="13" t="s">
        <v>6053</v>
      </c>
      <c r="G72" s="14" t="s">
        <v>6054</v>
      </c>
    </row>
    <row r="73">
      <c r="A73" s="13" t="s">
        <v>309</v>
      </c>
      <c r="B73" s="13" t="s">
        <v>6055</v>
      </c>
      <c r="C73" s="13" t="s">
        <v>6056</v>
      </c>
      <c r="D73" s="13" t="s">
        <v>6057</v>
      </c>
      <c r="E73" s="13" t="s">
        <v>6058</v>
      </c>
      <c r="F73" s="13" t="s">
        <v>6059</v>
      </c>
      <c r="G73" s="14" t="s">
        <v>6060</v>
      </c>
    </row>
    <row r="74">
      <c r="A74" s="13" t="s">
        <v>313</v>
      </c>
      <c r="B74" s="13" t="s">
        <v>6018</v>
      </c>
      <c r="C74" s="13" t="s">
        <v>6019</v>
      </c>
      <c r="D74" s="13" t="s">
        <v>6020</v>
      </c>
      <c r="E74" s="13" t="s">
        <v>6021</v>
      </c>
      <c r="F74" s="13" t="s">
        <v>6022</v>
      </c>
      <c r="G74" s="14" t="s">
        <v>6061</v>
      </c>
    </row>
    <row r="75">
      <c r="A75" s="13" t="s">
        <v>317</v>
      </c>
      <c r="B75" s="13" t="s">
        <v>6062</v>
      </c>
      <c r="C75" s="13" t="s">
        <v>6063</v>
      </c>
      <c r="D75" s="13" t="s">
        <v>6064</v>
      </c>
      <c r="E75" s="13" t="s">
        <v>6065</v>
      </c>
      <c r="F75" s="13" t="s">
        <v>6066</v>
      </c>
      <c r="G75" s="14" t="s">
        <v>6067</v>
      </c>
    </row>
    <row r="76">
      <c r="A76" s="13" t="s">
        <v>321</v>
      </c>
      <c r="B76" s="13" t="s">
        <v>6068</v>
      </c>
      <c r="C76" s="13" t="s">
        <v>6069</v>
      </c>
      <c r="D76" s="13" t="s">
        <v>6070</v>
      </c>
      <c r="E76" s="13" t="s">
        <v>6071</v>
      </c>
      <c r="F76" s="13" t="s">
        <v>6072</v>
      </c>
      <c r="G76" s="14" t="s">
        <v>6073</v>
      </c>
    </row>
    <row r="77">
      <c r="A77" s="13" t="s">
        <v>325</v>
      </c>
      <c r="B77" s="13" t="s">
        <v>6074</v>
      </c>
      <c r="C77" s="13" t="s">
        <v>6075</v>
      </c>
      <c r="D77" s="13" t="s">
        <v>6076</v>
      </c>
      <c r="E77" s="13" t="s">
        <v>6077</v>
      </c>
      <c r="F77" s="13" t="s">
        <v>6078</v>
      </c>
      <c r="G77" s="14" t="s">
        <v>6079</v>
      </c>
    </row>
    <row r="78">
      <c r="A78" s="13" t="s">
        <v>329</v>
      </c>
      <c r="B78" s="13" t="s">
        <v>6080</v>
      </c>
      <c r="C78" s="13" t="s">
        <v>6081</v>
      </c>
      <c r="D78" s="13" t="s">
        <v>6082</v>
      </c>
      <c r="E78" s="13" t="s">
        <v>6083</v>
      </c>
      <c r="F78" s="13" t="s">
        <v>6084</v>
      </c>
      <c r="G78" s="14" t="s">
        <v>6085</v>
      </c>
    </row>
    <row r="79">
      <c r="A79" s="13" t="s">
        <v>333</v>
      </c>
      <c r="B79" s="13" t="s">
        <v>6086</v>
      </c>
      <c r="C79" s="13" t="s">
        <v>6087</v>
      </c>
      <c r="D79" s="13" t="s">
        <v>6088</v>
      </c>
      <c r="E79" s="13" t="s">
        <v>6089</v>
      </c>
      <c r="F79" s="13" t="s">
        <v>6090</v>
      </c>
      <c r="G79" s="14" t="s">
        <v>6091</v>
      </c>
    </row>
    <row r="80">
      <c r="A80" s="13" t="s">
        <v>337</v>
      </c>
      <c r="B80" s="13" t="s">
        <v>6092</v>
      </c>
      <c r="C80" s="13" t="s">
        <v>6093</v>
      </c>
      <c r="D80" s="13" t="s">
        <v>6094</v>
      </c>
      <c r="E80" s="13" t="s">
        <v>6095</v>
      </c>
      <c r="F80" s="13" t="s">
        <v>6096</v>
      </c>
      <c r="G80" s="14" t="s">
        <v>6097</v>
      </c>
    </row>
    <row r="81">
      <c r="A81" s="13" t="s">
        <v>341</v>
      </c>
      <c r="B81" s="13" t="s">
        <v>6098</v>
      </c>
      <c r="C81" s="13" t="s">
        <v>6099</v>
      </c>
      <c r="D81" s="13" t="s">
        <v>6100</v>
      </c>
      <c r="E81" s="13" t="s">
        <v>6101</v>
      </c>
      <c r="F81" s="13" t="s">
        <v>6102</v>
      </c>
      <c r="G81" s="14" t="s">
        <v>6103</v>
      </c>
    </row>
    <row r="82">
      <c r="A82" s="13" t="s">
        <v>345</v>
      </c>
      <c r="B82" s="13" t="s">
        <v>5683</v>
      </c>
      <c r="C82" s="13" t="s">
        <v>5684</v>
      </c>
      <c r="D82" s="13" t="s">
        <v>5685</v>
      </c>
      <c r="E82" s="13" t="s">
        <v>5686</v>
      </c>
      <c r="F82" s="13" t="s">
        <v>6104</v>
      </c>
      <c r="G82" s="14" t="s">
        <v>6105</v>
      </c>
    </row>
    <row r="83">
      <c r="A83" s="13" t="s">
        <v>349</v>
      </c>
      <c r="B83" s="13" t="s">
        <v>5806</v>
      </c>
      <c r="C83" s="13" t="s">
        <v>5807</v>
      </c>
      <c r="D83" s="13" t="s">
        <v>5808</v>
      </c>
      <c r="E83" s="13" t="s">
        <v>5809</v>
      </c>
      <c r="F83" s="13" t="s">
        <v>6106</v>
      </c>
      <c r="G83" s="14" t="s">
        <v>6107</v>
      </c>
    </row>
    <row r="84">
      <c r="A84" s="13" t="s">
        <v>353</v>
      </c>
      <c r="B84" s="13" t="s">
        <v>6108</v>
      </c>
      <c r="C84" s="13" t="s">
        <v>6109</v>
      </c>
      <c r="D84" s="13" t="s">
        <v>6110</v>
      </c>
      <c r="E84" s="13" t="s">
        <v>6111</v>
      </c>
      <c r="F84" s="13" t="s">
        <v>6112</v>
      </c>
      <c r="G84" s="14" t="s">
        <v>6113</v>
      </c>
    </row>
    <row r="85">
      <c r="A85" s="13" t="s">
        <v>357</v>
      </c>
      <c r="B85" s="13" t="s">
        <v>6114</v>
      </c>
      <c r="C85" s="13" t="s">
        <v>6115</v>
      </c>
      <c r="D85" s="13" t="s">
        <v>6116</v>
      </c>
      <c r="E85" s="13" t="s">
        <v>6117</v>
      </c>
      <c r="F85" s="13" t="s">
        <v>6118</v>
      </c>
      <c r="G85" s="14" t="s">
        <v>6119</v>
      </c>
    </row>
    <row r="86">
      <c r="A86" s="13" t="s">
        <v>361</v>
      </c>
      <c r="B86" s="13" t="s">
        <v>6120</v>
      </c>
      <c r="C86" s="13" t="s">
        <v>6121</v>
      </c>
      <c r="D86" s="13" t="s">
        <v>6122</v>
      </c>
      <c r="E86" s="13" t="s">
        <v>6123</v>
      </c>
      <c r="F86" s="13" t="s">
        <v>6124</v>
      </c>
      <c r="G86" s="14" t="s">
        <v>6125</v>
      </c>
    </row>
    <row r="87">
      <c r="A87" s="13" t="s">
        <v>365</v>
      </c>
      <c r="B87" s="13" t="s">
        <v>5892</v>
      </c>
      <c r="C87" s="13" t="s">
        <v>5893</v>
      </c>
      <c r="D87" s="13" t="s">
        <v>5894</v>
      </c>
      <c r="E87" s="13" t="s">
        <v>5895</v>
      </c>
      <c r="F87" s="13" t="s">
        <v>5896</v>
      </c>
      <c r="G87" s="14" t="s">
        <v>6126</v>
      </c>
    </row>
    <row r="88">
      <c r="A88" s="13" t="s">
        <v>369</v>
      </c>
      <c r="B88" s="13" t="s">
        <v>5812</v>
      </c>
      <c r="C88" s="13" t="s">
        <v>5813</v>
      </c>
      <c r="D88" s="13" t="s">
        <v>5814</v>
      </c>
      <c r="E88" s="13" t="s">
        <v>5815</v>
      </c>
      <c r="F88" s="13" t="s">
        <v>5816</v>
      </c>
      <c r="G88" s="14" t="s">
        <v>6127</v>
      </c>
    </row>
    <row r="89">
      <c r="A89" s="13" t="s">
        <v>373</v>
      </c>
      <c r="B89" s="13" t="s">
        <v>6000</v>
      </c>
      <c r="C89" s="13" t="s">
        <v>6001</v>
      </c>
      <c r="D89" s="13" t="s">
        <v>6002</v>
      </c>
      <c r="E89" s="13" t="s">
        <v>6003</v>
      </c>
      <c r="F89" s="13" t="s">
        <v>6004</v>
      </c>
      <c r="G89" s="14" t="s">
        <v>6128</v>
      </c>
    </row>
    <row r="90">
      <c r="A90" s="13" t="s">
        <v>377</v>
      </c>
      <c r="B90" s="13" t="s">
        <v>6129</v>
      </c>
      <c r="C90" s="13" t="s">
        <v>6130</v>
      </c>
      <c r="D90" s="13" t="s">
        <v>6131</v>
      </c>
      <c r="E90" s="13" t="s">
        <v>6132</v>
      </c>
      <c r="F90" s="13" t="s">
        <v>6133</v>
      </c>
      <c r="G90" s="14" t="s">
        <v>6134</v>
      </c>
    </row>
    <row r="91">
      <c r="A91" s="13" t="s">
        <v>381</v>
      </c>
      <c r="B91" s="13" t="s">
        <v>5683</v>
      </c>
      <c r="C91" s="13" t="s">
        <v>5684</v>
      </c>
      <c r="D91" s="13" t="s">
        <v>5685</v>
      </c>
      <c r="E91" s="13" t="s">
        <v>5686</v>
      </c>
      <c r="F91" s="13" t="s">
        <v>6135</v>
      </c>
      <c r="G91" s="14" t="s">
        <v>6136</v>
      </c>
    </row>
    <row r="92">
      <c r="A92" s="13" t="s">
        <v>384</v>
      </c>
      <c r="B92" s="13" t="s">
        <v>6137</v>
      </c>
      <c r="C92" s="13" t="s">
        <v>6138</v>
      </c>
      <c r="D92" s="13" t="s">
        <v>6139</v>
      </c>
      <c r="E92" s="13" t="s">
        <v>6140</v>
      </c>
      <c r="F92" s="13" t="s">
        <v>6141</v>
      </c>
      <c r="G92" s="14" t="s">
        <v>6142</v>
      </c>
    </row>
    <row r="93">
      <c r="A93" s="13" t="s">
        <v>388</v>
      </c>
      <c r="B93" s="13" t="s">
        <v>5824</v>
      </c>
      <c r="C93" s="13" t="s">
        <v>5825</v>
      </c>
      <c r="D93" s="13" t="s">
        <v>5826</v>
      </c>
      <c r="E93" s="13" t="s">
        <v>5827</v>
      </c>
      <c r="F93" s="13" t="s">
        <v>5828</v>
      </c>
      <c r="G93" s="14" t="s">
        <v>6143</v>
      </c>
    </row>
    <row r="94">
      <c r="A94" s="13" t="s">
        <v>392</v>
      </c>
      <c r="B94" s="13" t="s">
        <v>5701</v>
      </c>
      <c r="C94" s="13" t="s">
        <v>5702</v>
      </c>
      <c r="D94" s="13" t="s">
        <v>5703</v>
      </c>
      <c r="E94" s="13" t="s">
        <v>5704</v>
      </c>
      <c r="F94" s="13" t="s">
        <v>5705</v>
      </c>
      <c r="G94" s="14" t="s">
        <v>6144</v>
      </c>
    </row>
    <row r="95">
      <c r="A95" s="13" t="s">
        <v>395</v>
      </c>
      <c r="B95" s="13" t="s">
        <v>6145</v>
      </c>
      <c r="C95" s="13" t="s">
        <v>6146</v>
      </c>
      <c r="D95" s="13" t="s">
        <v>6147</v>
      </c>
      <c r="E95" s="13" t="s">
        <v>6148</v>
      </c>
      <c r="F95" s="13" t="s">
        <v>6149</v>
      </c>
      <c r="G95" s="14" t="s">
        <v>6150</v>
      </c>
    </row>
    <row r="96">
      <c r="A96" s="13" t="s">
        <v>399</v>
      </c>
      <c r="B96" s="13" t="s">
        <v>6151</v>
      </c>
      <c r="C96" s="13" t="s">
        <v>6152</v>
      </c>
      <c r="D96" s="13" t="s">
        <v>6153</v>
      </c>
      <c r="E96" s="13" t="s">
        <v>6154</v>
      </c>
      <c r="F96" s="13" t="s">
        <v>6155</v>
      </c>
      <c r="G96" s="14" t="s">
        <v>6156</v>
      </c>
    </row>
    <row r="97">
      <c r="A97" s="13" t="s">
        <v>403</v>
      </c>
      <c r="B97" s="13" t="s">
        <v>6157</v>
      </c>
      <c r="C97" s="13" t="s">
        <v>6158</v>
      </c>
      <c r="D97" s="13" t="s">
        <v>6159</v>
      </c>
      <c r="E97" s="13" t="s">
        <v>6160</v>
      </c>
      <c r="F97" s="13" t="s">
        <v>6161</v>
      </c>
      <c r="G97" s="14" t="s">
        <v>6162</v>
      </c>
    </row>
    <row r="98">
      <c r="A98" s="13" t="s">
        <v>407</v>
      </c>
      <c r="B98" s="13" t="s">
        <v>6163</v>
      </c>
      <c r="C98" s="13" t="s">
        <v>6164</v>
      </c>
      <c r="D98" s="13" t="s">
        <v>6165</v>
      </c>
      <c r="E98" s="13" t="s">
        <v>6166</v>
      </c>
      <c r="F98" s="13" t="s">
        <v>6167</v>
      </c>
      <c r="G98" s="14" t="s">
        <v>6168</v>
      </c>
    </row>
    <row r="99">
      <c r="A99" s="13" t="s">
        <v>411</v>
      </c>
      <c r="B99" s="13" t="s">
        <v>6169</v>
      </c>
      <c r="C99" s="13" t="s">
        <v>6170</v>
      </c>
      <c r="D99" s="13" t="s">
        <v>6171</v>
      </c>
      <c r="E99" s="13" t="s">
        <v>6172</v>
      </c>
      <c r="F99" s="13" t="s">
        <v>6173</v>
      </c>
      <c r="G99" s="14" t="s">
        <v>6174</v>
      </c>
    </row>
    <row r="100">
      <c r="A100" s="13" t="s">
        <v>415</v>
      </c>
      <c r="B100" s="13" t="s">
        <v>6175</v>
      </c>
      <c r="C100" s="13" t="s">
        <v>6176</v>
      </c>
      <c r="D100" s="13" t="s">
        <v>6177</v>
      </c>
      <c r="E100" s="13" t="s">
        <v>6178</v>
      </c>
      <c r="F100" s="13" t="s">
        <v>6179</v>
      </c>
      <c r="G100" s="14" t="s">
        <v>6180</v>
      </c>
    </row>
    <row r="101">
      <c r="A101" s="13" t="s">
        <v>419</v>
      </c>
      <c r="B101" s="13" t="s">
        <v>6181</v>
      </c>
      <c r="C101" s="13" t="s">
        <v>6182</v>
      </c>
      <c r="D101" s="13" t="s">
        <v>6183</v>
      </c>
      <c r="E101" s="13" t="s">
        <v>6184</v>
      </c>
      <c r="F101" s="13" t="s">
        <v>6185</v>
      </c>
      <c r="G101" s="14" t="s">
        <v>6186</v>
      </c>
    </row>
    <row r="102">
      <c r="A102" s="13" t="s">
        <v>423</v>
      </c>
      <c r="B102" s="13" t="s">
        <v>6187</v>
      </c>
      <c r="C102" s="13" t="s">
        <v>6188</v>
      </c>
      <c r="D102" s="13" t="s">
        <v>6189</v>
      </c>
      <c r="E102" s="13" t="s">
        <v>6190</v>
      </c>
      <c r="F102" s="13" t="s">
        <v>6191</v>
      </c>
      <c r="G102" s="14" t="s">
        <v>6192</v>
      </c>
    </row>
    <row r="103">
      <c r="A103" s="13" t="s">
        <v>427</v>
      </c>
      <c r="B103" s="13" t="s">
        <v>6193</v>
      </c>
      <c r="C103" s="13" t="s">
        <v>6194</v>
      </c>
      <c r="D103" s="13" t="s">
        <v>6195</v>
      </c>
      <c r="E103" s="13" t="s">
        <v>6196</v>
      </c>
      <c r="F103" s="13" t="s">
        <v>6197</v>
      </c>
      <c r="G103" s="14" t="s">
        <v>5961</v>
      </c>
    </row>
    <row r="104">
      <c r="A104" s="13" t="s">
        <v>430</v>
      </c>
      <c r="B104" s="13" t="s">
        <v>6198</v>
      </c>
      <c r="C104" s="13" t="s">
        <v>6199</v>
      </c>
      <c r="D104" s="13" t="s">
        <v>6200</v>
      </c>
      <c r="E104" s="13" t="s">
        <v>6201</v>
      </c>
      <c r="F104" s="13" t="s">
        <v>6202</v>
      </c>
      <c r="G104" s="14" t="s">
        <v>6203</v>
      </c>
    </row>
    <row r="105">
      <c r="A105" s="13" t="s">
        <v>434</v>
      </c>
      <c r="B105" s="13" t="s">
        <v>5769</v>
      </c>
      <c r="C105" s="13" t="s">
        <v>5770</v>
      </c>
      <c r="D105" s="13" t="s">
        <v>5771</v>
      </c>
      <c r="E105" s="13" t="s">
        <v>5772</v>
      </c>
      <c r="F105" s="13" t="s">
        <v>6204</v>
      </c>
      <c r="G105" s="14" t="s">
        <v>6205</v>
      </c>
    </row>
    <row r="106">
      <c r="A106" s="13" t="s">
        <v>438</v>
      </c>
      <c r="B106" s="13" t="s">
        <v>6206</v>
      </c>
      <c r="C106" s="13" t="s">
        <v>6207</v>
      </c>
      <c r="D106" s="13" t="s">
        <v>6208</v>
      </c>
      <c r="E106" s="13" t="s">
        <v>6209</v>
      </c>
      <c r="F106" s="13" t="s">
        <v>6210</v>
      </c>
      <c r="G106" s="14" t="s">
        <v>6211</v>
      </c>
    </row>
    <row r="107">
      <c r="A107" s="13" t="s">
        <v>442</v>
      </c>
      <c r="B107" s="13" t="s">
        <v>6212</v>
      </c>
      <c r="C107" s="13" t="s">
        <v>6213</v>
      </c>
      <c r="D107" s="13" t="s">
        <v>6214</v>
      </c>
      <c r="E107" s="13" t="s">
        <v>6215</v>
      </c>
      <c r="F107" s="13" t="s">
        <v>6216</v>
      </c>
      <c r="G107" s="14" t="s">
        <v>6217</v>
      </c>
    </row>
    <row r="108">
      <c r="A108" s="13" t="s">
        <v>446</v>
      </c>
      <c r="B108" s="13" t="s">
        <v>5683</v>
      </c>
      <c r="C108" s="13" t="s">
        <v>5684</v>
      </c>
      <c r="D108" s="13" t="s">
        <v>5685</v>
      </c>
      <c r="E108" s="13" t="s">
        <v>5686</v>
      </c>
      <c r="F108" s="13" t="s">
        <v>5687</v>
      </c>
      <c r="G108" s="14" t="s">
        <v>5688</v>
      </c>
    </row>
    <row r="109">
      <c r="A109" s="13" t="s">
        <v>450</v>
      </c>
      <c r="B109" s="13" t="s">
        <v>6218</v>
      </c>
      <c r="C109" s="13" t="s">
        <v>6219</v>
      </c>
      <c r="D109" s="13" t="s">
        <v>6220</v>
      </c>
      <c r="E109" s="13" t="s">
        <v>6221</v>
      </c>
      <c r="F109" s="13" t="s">
        <v>6222</v>
      </c>
      <c r="G109" s="14" t="s">
        <v>6223</v>
      </c>
    </row>
    <row r="110">
      <c r="A110" s="13" t="s">
        <v>454</v>
      </c>
      <c r="B110" s="13" t="s">
        <v>6224</v>
      </c>
      <c r="C110" s="13" t="s">
        <v>6225</v>
      </c>
      <c r="D110" s="13" t="s">
        <v>6226</v>
      </c>
      <c r="E110" s="13" t="s">
        <v>6227</v>
      </c>
      <c r="F110" s="13" t="s">
        <v>6228</v>
      </c>
      <c r="G110" s="14" t="s">
        <v>6229</v>
      </c>
    </row>
    <row r="111">
      <c r="A111" s="13" t="s">
        <v>458</v>
      </c>
      <c r="B111" s="13" t="s">
        <v>5713</v>
      </c>
      <c r="C111" s="13" t="s">
        <v>5714</v>
      </c>
      <c r="D111" s="13" t="s">
        <v>5715</v>
      </c>
      <c r="E111" s="13" t="s">
        <v>5716</v>
      </c>
      <c r="F111" s="13" t="s">
        <v>6230</v>
      </c>
      <c r="G111" s="14" t="s">
        <v>6231</v>
      </c>
    </row>
    <row r="112">
      <c r="A112" s="13" t="s">
        <v>462</v>
      </c>
      <c r="B112" s="13" t="s">
        <v>6232</v>
      </c>
      <c r="C112" s="13" t="s">
        <v>6233</v>
      </c>
      <c r="D112" s="13" t="s">
        <v>6234</v>
      </c>
      <c r="E112" s="13" t="s">
        <v>6235</v>
      </c>
      <c r="F112" s="13" t="s">
        <v>6236</v>
      </c>
      <c r="G112" s="14" t="s">
        <v>6237</v>
      </c>
    </row>
    <row r="113">
      <c r="A113" s="13" t="s">
        <v>466</v>
      </c>
      <c r="B113" s="13" t="s">
        <v>5842</v>
      </c>
      <c r="C113" s="13" t="s">
        <v>5843</v>
      </c>
      <c r="D113" s="13" t="s">
        <v>5844</v>
      </c>
      <c r="E113" s="13" t="s">
        <v>5845</v>
      </c>
      <c r="F113" s="13" t="s">
        <v>5846</v>
      </c>
      <c r="G113" s="14" t="s">
        <v>6238</v>
      </c>
    </row>
    <row r="114">
      <c r="A114" s="13" t="s">
        <v>470</v>
      </c>
      <c r="B114" s="13" t="s">
        <v>6239</v>
      </c>
      <c r="C114" s="13" t="s">
        <v>6240</v>
      </c>
      <c r="D114" s="13" t="s">
        <v>6241</v>
      </c>
      <c r="E114" s="13" t="s">
        <v>6242</v>
      </c>
      <c r="F114" s="13" t="s">
        <v>6243</v>
      </c>
      <c r="G114" s="14" t="s">
        <v>6244</v>
      </c>
    </row>
    <row r="115">
      <c r="A115" s="13" t="s">
        <v>474</v>
      </c>
      <c r="B115" s="13" t="s">
        <v>6068</v>
      </c>
      <c r="C115" s="13" t="s">
        <v>6069</v>
      </c>
      <c r="D115" s="13" t="s">
        <v>6070</v>
      </c>
      <c r="E115" s="13" t="s">
        <v>6071</v>
      </c>
      <c r="F115" s="13" t="s">
        <v>6072</v>
      </c>
      <c r="G115" s="14" t="s">
        <v>6245</v>
      </c>
    </row>
    <row r="116">
      <c r="A116" s="13" t="s">
        <v>478</v>
      </c>
      <c r="B116" s="13" t="s">
        <v>6246</v>
      </c>
      <c r="C116" s="13" t="s">
        <v>6247</v>
      </c>
      <c r="D116" s="13" t="s">
        <v>6248</v>
      </c>
      <c r="E116" s="13" t="s">
        <v>6249</v>
      </c>
      <c r="F116" s="13" t="s">
        <v>6250</v>
      </c>
      <c r="G116" s="14" t="s">
        <v>6251</v>
      </c>
    </row>
    <row r="117">
      <c r="A117" s="13" t="s">
        <v>482</v>
      </c>
      <c r="B117" s="13" t="s">
        <v>6252</v>
      </c>
      <c r="C117" s="13" t="s">
        <v>6253</v>
      </c>
      <c r="D117" s="13" t="s">
        <v>6254</v>
      </c>
      <c r="E117" s="13" t="s">
        <v>6255</v>
      </c>
      <c r="F117" s="13" t="s">
        <v>6256</v>
      </c>
      <c r="G117" s="14" t="s">
        <v>6257</v>
      </c>
    </row>
    <row r="118">
      <c r="A118" s="13" t="s">
        <v>486</v>
      </c>
      <c r="B118" s="13" t="s">
        <v>6258</v>
      </c>
      <c r="C118" s="13" t="s">
        <v>6259</v>
      </c>
      <c r="D118" s="13" t="s">
        <v>6260</v>
      </c>
      <c r="E118" s="13" t="s">
        <v>6261</v>
      </c>
      <c r="F118" s="13" t="s">
        <v>6262</v>
      </c>
      <c r="G118" s="14" t="s">
        <v>6263</v>
      </c>
    </row>
    <row r="119">
      <c r="A119" s="13" t="s">
        <v>490</v>
      </c>
      <c r="B119" s="13" t="s">
        <v>6264</v>
      </c>
      <c r="C119" s="13" t="s">
        <v>6265</v>
      </c>
      <c r="D119" s="13" t="s">
        <v>6266</v>
      </c>
      <c r="E119" s="13" t="s">
        <v>6267</v>
      </c>
      <c r="F119" s="13" t="s">
        <v>6268</v>
      </c>
      <c r="G119" s="14" t="s">
        <v>6269</v>
      </c>
    </row>
    <row r="120">
      <c r="A120" s="13" t="s">
        <v>494</v>
      </c>
      <c r="B120" s="13" t="s">
        <v>6006</v>
      </c>
      <c r="C120" s="13" t="s">
        <v>6007</v>
      </c>
      <c r="D120" s="13" t="s">
        <v>6008</v>
      </c>
      <c r="E120" s="13" t="s">
        <v>6009</v>
      </c>
      <c r="F120" s="13" t="s">
        <v>6010</v>
      </c>
      <c r="G120" s="14" t="s">
        <v>6270</v>
      </c>
    </row>
    <row r="121">
      <c r="A121" s="13" t="s">
        <v>498</v>
      </c>
      <c r="B121" s="13" t="s">
        <v>6271</v>
      </c>
      <c r="C121" s="13" t="s">
        <v>6272</v>
      </c>
      <c r="D121" s="13" t="s">
        <v>6273</v>
      </c>
      <c r="E121" s="13" t="s">
        <v>6274</v>
      </c>
      <c r="F121" s="13" t="s">
        <v>6275</v>
      </c>
      <c r="G121" s="14" t="s">
        <v>6276</v>
      </c>
    </row>
    <row r="122">
      <c r="A122" s="13" t="s">
        <v>502</v>
      </c>
      <c r="B122" s="13" t="s">
        <v>6277</v>
      </c>
      <c r="C122" s="13" t="s">
        <v>6278</v>
      </c>
      <c r="D122" s="13" t="s">
        <v>6279</v>
      </c>
      <c r="E122" s="13" t="s">
        <v>6280</v>
      </c>
      <c r="F122" s="13" t="s">
        <v>6281</v>
      </c>
      <c r="G122" s="14" t="s">
        <v>6282</v>
      </c>
    </row>
    <row r="123">
      <c r="A123" s="13" t="s">
        <v>506</v>
      </c>
      <c r="B123" s="13" t="s">
        <v>6283</v>
      </c>
      <c r="C123" s="13" t="s">
        <v>6284</v>
      </c>
      <c r="D123" s="13" t="s">
        <v>6285</v>
      </c>
      <c r="E123" s="13" t="s">
        <v>6286</v>
      </c>
      <c r="F123" s="13" t="s">
        <v>6287</v>
      </c>
      <c r="G123" s="14" t="s">
        <v>6288</v>
      </c>
    </row>
    <row r="124">
      <c r="A124" s="13" t="s">
        <v>510</v>
      </c>
      <c r="B124" s="13" t="s">
        <v>6289</v>
      </c>
      <c r="C124" s="13" t="s">
        <v>6290</v>
      </c>
      <c r="D124" s="13" t="s">
        <v>6291</v>
      </c>
      <c r="E124" s="13" t="s">
        <v>6292</v>
      </c>
      <c r="F124" s="13" t="s">
        <v>6293</v>
      </c>
      <c r="G124" s="14" t="s">
        <v>6294</v>
      </c>
    </row>
    <row r="125">
      <c r="A125" s="13" t="s">
        <v>514</v>
      </c>
      <c r="B125" s="13" t="s">
        <v>6295</v>
      </c>
      <c r="C125" s="13" t="s">
        <v>6296</v>
      </c>
      <c r="D125" s="13" t="s">
        <v>6297</v>
      </c>
      <c r="E125" s="13" t="s">
        <v>6298</v>
      </c>
      <c r="F125" s="13" t="s">
        <v>6299</v>
      </c>
      <c r="G125" s="14" t="s">
        <v>6300</v>
      </c>
    </row>
    <row r="126">
      <c r="A126" s="13" t="s">
        <v>518</v>
      </c>
      <c r="B126" s="13" t="s">
        <v>6018</v>
      </c>
      <c r="C126" s="13" t="s">
        <v>6019</v>
      </c>
      <c r="D126" s="13" t="s">
        <v>6020</v>
      </c>
      <c r="E126" s="13" t="s">
        <v>6021</v>
      </c>
      <c r="F126" s="13" t="s">
        <v>6022</v>
      </c>
      <c r="G126" s="14" t="s">
        <v>6301</v>
      </c>
    </row>
    <row r="127">
      <c r="A127" s="13" t="s">
        <v>522</v>
      </c>
      <c r="B127" s="13" t="s">
        <v>6302</v>
      </c>
      <c r="C127" s="13" t="s">
        <v>6303</v>
      </c>
      <c r="D127" s="13" t="s">
        <v>6304</v>
      </c>
      <c r="E127" s="13" t="s">
        <v>6305</v>
      </c>
      <c r="F127" s="13" t="s">
        <v>6306</v>
      </c>
      <c r="G127" s="14" t="s">
        <v>6307</v>
      </c>
    </row>
    <row r="128">
      <c r="A128" s="13" t="s">
        <v>526</v>
      </c>
      <c r="B128" s="13" t="s">
        <v>6308</v>
      </c>
      <c r="C128" s="13" t="s">
        <v>6309</v>
      </c>
      <c r="D128" s="13" t="s">
        <v>6310</v>
      </c>
      <c r="E128" s="13" t="s">
        <v>6311</v>
      </c>
      <c r="F128" s="13" t="s">
        <v>6312</v>
      </c>
      <c r="G128" s="14" t="s">
        <v>6313</v>
      </c>
    </row>
    <row r="129">
      <c r="A129" s="13" t="s">
        <v>530</v>
      </c>
      <c r="B129" s="13" t="s">
        <v>6314</v>
      </c>
      <c r="C129" s="13" t="s">
        <v>6315</v>
      </c>
      <c r="D129" s="13" t="s">
        <v>6316</v>
      </c>
      <c r="E129" s="13" t="s">
        <v>6317</v>
      </c>
      <c r="F129" s="13" t="s">
        <v>6318</v>
      </c>
      <c r="G129" s="14" t="s">
        <v>6319</v>
      </c>
    </row>
    <row r="130">
      <c r="A130" s="13" t="s">
        <v>534</v>
      </c>
      <c r="B130" s="13" t="s">
        <v>6320</v>
      </c>
      <c r="C130" s="13" t="s">
        <v>6321</v>
      </c>
      <c r="D130" s="13" t="s">
        <v>6322</v>
      </c>
      <c r="E130" s="13" t="s">
        <v>6323</v>
      </c>
      <c r="F130" s="13" t="s">
        <v>6324</v>
      </c>
      <c r="G130" s="14" t="s">
        <v>6325</v>
      </c>
    </row>
    <row r="131">
      <c r="A131" s="13" t="s">
        <v>538</v>
      </c>
      <c r="B131" s="13" t="s">
        <v>6326</v>
      </c>
      <c r="C131" s="13" t="s">
        <v>6327</v>
      </c>
      <c r="D131" s="13" t="s">
        <v>6328</v>
      </c>
      <c r="E131" s="13" t="s">
        <v>6329</v>
      </c>
      <c r="F131" s="13" t="s">
        <v>6330</v>
      </c>
      <c r="G131" s="14" t="s">
        <v>6331</v>
      </c>
    </row>
    <row r="132">
      <c r="A132" s="13" t="s">
        <v>543</v>
      </c>
      <c r="B132" s="13" t="s">
        <v>5812</v>
      </c>
      <c r="C132" s="13" t="s">
        <v>5813</v>
      </c>
      <c r="D132" s="13" t="s">
        <v>5814</v>
      </c>
      <c r="E132" s="13" t="s">
        <v>5815</v>
      </c>
      <c r="F132" s="13" t="s">
        <v>5816</v>
      </c>
      <c r="G132" s="14" t="s">
        <v>6332</v>
      </c>
    </row>
    <row r="133">
      <c r="A133" s="13" t="s">
        <v>546</v>
      </c>
      <c r="B133" s="13" t="s">
        <v>6212</v>
      </c>
      <c r="C133" s="13" t="s">
        <v>6213</v>
      </c>
      <c r="D133" s="13" t="s">
        <v>6214</v>
      </c>
      <c r="E133" s="13" t="s">
        <v>6215</v>
      </c>
      <c r="F133" s="13" t="s">
        <v>6216</v>
      </c>
      <c r="G133" s="14" t="s">
        <v>6333</v>
      </c>
    </row>
    <row r="134">
      <c r="A134" s="13" t="s">
        <v>550</v>
      </c>
      <c r="B134" s="13" t="s">
        <v>6334</v>
      </c>
      <c r="C134" s="13" t="s">
        <v>6335</v>
      </c>
      <c r="D134" s="13" t="s">
        <v>6336</v>
      </c>
      <c r="E134" s="13" t="s">
        <v>6337</v>
      </c>
      <c r="F134" s="13" t="s">
        <v>6338</v>
      </c>
      <c r="G134" s="14" t="s">
        <v>6339</v>
      </c>
    </row>
    <row r="135">
      <c r="A135" s="13" t="s">
        <v>555</v>
      </c>
      <c r="B135" s="13" t="s">
        <v>6340</v>
      </c>
      <c r="C135" s="13" t="s">
        <v>6341</v>
      </c>
      <c r="D135" s="13" t="s">
        <v>6342</v>
      </c>
      <c r="E135" s="13" t="s">
        <v>6343</v>
      </c>
      <c r="F135" s="13" t="s">
        <v>6344</v>
      </c>
      <c r="G135" s="14" t="s">
        <v>6345</v>
      </c>
    </row>
    <row r="136">
      <c r="A136" s="13" t="s">
        <v>559</v>
      </c>
      <c r="B136" s="13" t="s">
        <v>6346</v>
      </c>
      <c r="C136" s="13" t="s">
        <v>6347</v>
      </c>
      <c r="D136" s="13" t="s">
        <v>6348</v>
      </c>
      <c r="E136" s="13" t="s">
        <v>6349</v>
      </c>
      <c r="F136" s="13" t="s">
        <v>6350</v>
      </c>
      <c r="G136" s="14" t="s">
        <v>6351</v>
      </c>
    </row>
    <row r="137">
      <c r="A137" s="13" t="s">
        <v>563</v>
      </c>
      <c r="B137" s="13" t="s">
        <v>6352</v>
      </c>
      <c r="C137" s="13" t="s">
        <v>6353</v>
      </c>
      <c r="D137" s="13" t="s">
        <v>6354</v>
      </c>
      <c r="E137" s="13" t="s">
        <v>6355</v>
      </c>
      <c r="F137" s="13" t="s">
        <v>6356</v>
      </c>
      <c r="G137" s="14" t="s">
        <v>6357</v>
      </c>
    </row>
    <row r="138">
      <c r="A138" s="13" t="s">
        <v>567</v>
      </c>
      <c r="B138" s="13" t="s">
        <v>5872</v>
      </c>
      <c r="C138" s="13" t="s">
        <v>5873</v>
      </c>
      <c r="D138" s="13" t="s">
        <v>5874</v>
      </c>
      <c r="E138" s="13" t="s">
        <v>5875</v>
      </c>
      <c r="F138" s="13" t="s">
        <v>5876</v>
      </c>
      <c r="G138" s="14" t="s">
        <v>6358</v>
      </c>
    </row>
    <row r="139">
      <c r="A139" s="13" t="s">
        <v>571</v>
      </c>
      <c r="B139" s="13" t="s">
        <v>6359</v>
      </c>
      <c r="C139" s="13" t="s">
        <v>6360</v>
      </c>
      <c r="D139" s="13" t="s">
        <v>6361</v>
      </c>
      <c r="E139" s="13" t="s">
        <v>6362</v>
      </c>
      <c r="F139" s="13" t="s">
        <v>6363</v>
      </c>
      <c r="G139" s="14" t="s">
        <v>6364</v>
      </c>
    </row>
    <row r="140">
      <c r="A140" s="13" t="s">
        <v>575</v>
      </c>
      <c r="B140" s="13" t="s">
        <v>6365</v>
      </c>
      <c r="C140" s="13" t="s">
        <v>6366</v>
      </c>
      <c r="D140" s="13" t="s">
        <v>6367</v>
      </c>
      <c r="E140" s="13" t="s">
        <v>6368</v>
      </c>
      <c r="F140" s="13" t="s">
        <v>6369</v>
      </c>
      <c r="G140" s="14" t="s">
        <v>6370</v>
      </c>
    </row>
    <row r="141">
      <c r="A141" s="13" t="s">
        <v>579</v>
      </c>
      <c r="B141" s="13" t="s">
        <v>5842</v>
      </c>
      <c r="C141" s="13" t="s">
        <v>5843</v>
      </c>
      <c r="D141" s="13" t="s">
        <v>5844</v>
      </c>
      <c r="E141" s="13" t="s">
        <v>5845</v>
      </c>
      <c r="F141" s="13" t="s">
        <v>5846</v>
      </c>
      <c r="G141" s="14" t="s">
        <v>6371</v>
      </c>
    </row>
    <row r="142">
      <c r="A142" s="13" t="s">
        <v>583</v>
      </c>
      <c r="B142" s="13" t="s">
        <v>6372</v>
      </c>
      <c r="C142" s="13" t="s">
        <v>6373</v>
      </c>
      <c r="D142" s="13" t="s">
        <v>6374</v>
      </c>
      <c r="E142" s="13" t="s">
        <v>6375</v>
      </c>
      <c r="F142" s="13" t="s">
        <v>6376</v>
      </c>
      <c r="G142" s="14" t="s">
        <v>6377</v>
      </c>
    </row>
    <row r="143">
      <c r="A143" s="13" t="s">
        <v>587</v>
      </c>
      <c r="B143" s="13" t="s">
        <v>5949</v>
      </c>
      <c r="C143" s="13" t="s">
        <v>5950</v>
      </c>
      <c r="D143" s="13" t="s">
        <v>5951</v>
      </c>
      <c r="E143" s="13" t="s">
        <v>5952</v>
      </c>
      <c r="F143" s="13" t="s">
        <v>5953</v>
      </c>
      <c r="G143" s="14" t="s">
        <v>6378</v>
      </c>
    </row>
    <row r="144">
      <c r="A144" s="13" t="s">
        <v>591</v>
      </c>
      <c r="B144" s="13" t="s">
        <v>6379</v>
      </c>
      <c r="C144" s="13" t="s">
        <v>6380</v>
      </c>
      <c r="D144" s="13" t="s">
        <v>6381</v>
      </c>
      <c r="E144" s="13" t="s">
        <v>6382</v>
      </c>
      <c r="F144" s="13" t="s">
        <v>6383</v>
      </c>
      <c r="G144" s="14" t="s">
        <v>6384</v>
      </c>
    </row>
    <row r="145">
      <c r="A145" s="13" t="s">
        <v>595</v>
      </c>
      <c r="B145" s="13" t="s">
        <v>5731</v>
      </c>
      <c r="C145" s="13" t="s">
        <v>5732</v>
      </c>
      <c r="D145" s="13" t="s">
        <v>5733</v>
      </c>
      <c r="E145" s="13" t="s">
        <v>5734</v>
      </c>
      <c r="F145" s="13" t="s">
        <v>5735</v>
      </c>
      <c r="G145" s="14" t="s">
        <v>6385</v>
      </c>
    </row>
    <row r="146">
      <c r="A146" s="13" t="s">
        <v>599</v>
      </c>
      <c r="B146" s="13" t="s">
        <v>6386</v>
      </c>
      <c r="C146" s="13" t="s">
        <v>6387</v>
      </c>
      <c r="D146" s="13" t="s">
        <v>6388</v>
      </c>
      <c r="E146" s="13" t="s">
        <v>6389</v>
      </c>
      <c r="F146" s="13" t="s">
        <v>6390</v>
      </c>
      <c r="G146" s="14" t="s">
        <v>6391</v>
      </c>
    </row>
    <row r="147">
      <c r="A147" s="13" t="s">
        <v>603</v>
      </c>
      <c r="B147" s="13" t="s">
        <v>6392</v>
      </c>
      <c r="C147" s="13" t="s">
        <v>6393</v>
      </c>
      <c r="D147" s="13" t="s">
        <v>6394</v>
      </c>
      <c r="E147" s="13" t="s">
        <v>6395</v>
      </c>
      <c r="F147" s="13" t="s">
        <v>6396</v>
      </c>
      <c r="G147" s="14" t="s">
        <v>6397</v>
      </c>
    </row>
    <row r="148">
      <c r="A148" s="13" t="s">
        <v>607</v>
      </c>
      <c r="B148" s="13" t="s">
        <v>6398</v>
      </c>
      <c r="C148" s="13" t="s">
        <v>6399</v>
      </c>
      <c r="D148" s="13" t="s">
        <v>6400</v>
      </c>
      <c r="E148" s="13" t="s">
        <v>6401</v>
      </c>
      <c r="F148" s="13" t="s">
        <v>6402</v>
      </c>
      <c r="G148" s="14" t="s">
        <v>6403</v>
      </c>
    </row>
    <row r="149">
      <c r="A149" s="13" t="s">
        <v>610</v>
      </c>
      <c r="B149" s="13" t="s">
        <v>6404</v>
      </c>
      <c r="C149" s="13" t="s">
        <v>6405</v>
      </c>
      <c r="D149" s="13" t="s">
        <v>6406</v>
      </c>
      <c r="E149" s="13" t="s">
        <v>6407</v>
      </c>
      <c r="F149" s="13" t="s">
        <v>6408</v>
      </c>
      <c r="G149" s="14" t="s">
        <v>6409</v>
      </c>
    </row>
    <row r="150">
      <c r="A150" s="13" t="s">
        <v>614</v>
      </c>
      <c r="B150" s="13" t="s">
        <v>6410</v>
      </c>
      <c r="C150" s="13" t="s">
        <v>6411</v>
      </c>
      <c r="D150" s="13" t="s">
        <v>6412</v>
      </c>
      <c r="E150" s="13" t="s">
        <v>6413</v>
      </c>
      <c r="F150" s="13" t="s">
        <v>6414</v>
      </c>
      <c r="G150" s="14" t="s">
        <v>6415</v>
      </c>
    </row>
    <row r="151">
      <c r="A151" s="13" t="s">
        <v>619</v>
      </c>
      <c r="B151" s="13" t="s">
        <v>6416</v>
      </c>
      <c r="C151" s="13" t="s">
        <v>6417</v>
      </c>
      <c r="D151" s="13" t="s">
        <v>6418</v>
      </c>
      <c r="E151" s="13" t="s">
        <v>6419</v>
      </c>
      <c r="F151" s="13" t="s">
        <v>6420</v>
      </c>
      <c r="G151" s="14" t="s">
        <v>6421</v>
      </c>
    </row>
    <row r="152">
      <c r="A152" s="13" t="s">
        <v>623</v>
      </c>
      <c r="B152" s="13" t="s">
        <v>6422</v>
      </c>
      <c r="C152" s="13" t="s">
        <v>6423</v>
      </c>
      <c r="D152" s="13" t="s">
        <v>6424</v>
      </c>
      <c r="E152" s="13" t="s">
        <v>6425</v>
      </c>
      <c r="F152" s="13" t="s">
        <v>6426</v>
      </c>
      <c r="G152" s="14" t="s">
        <v>6427</v>
      </c>
    </row>
    <row r="153">
      <c r="A153" s="13" t="s">
        <v>627</v>
      </c>
      <c r="B153" s="13" t="s">
        <v>5860</v>
      </c>
      <c r="C153" s="13" t="s">
        <v>5861</v>
      </c>
      <c r="D153" s="13" t="s">
        <v>5862</v>
      </c>
      <c r="E153" s="13" t="s">
        <v>5863</v>
      </c>
      <c r="F153" s="13" t="s">
        <v>5864</v>
      </c>
      <c r="G153" s="14" t="s">
        <v>6428</v>
      </c>
    </row>
    <row r="154">
      <c r="A154" s="13" t="s">
        <v>631</v>
      </c>
      <c r="B154" s="13" t="s">
        <v>5800</v>
      </c>
      <c r="C154" s="13" t="s">
        <v>5801</v>
      </c>
      <c r="D154" s="13" t="s">
        <v>5802</v>
      </c>
      <c r="E154" s="13" t="s">
        <v>5803</v>
      </c>
      <c r="F154" s="13" t="s">
        <v>5804</v>
      </c>
      <c r="G154" s="14" t="s">
        <v>6429</v>
      </c>
    </row>
    <row r="155">
      <c r="A155" s="13" t="s">
        <v>635</v>
      </c>
      <c r="B155" s="13" t="s">
        <v>5725</v>
      </c>
      <c r="C155" s="13" t="s">
        <v>5726</v>
      </c>
      <c r="D155" s="13" t="s">
        <v>5727</v>
      </c>
      <c r="E155" s="13" t="s">
        <v>5728</v>
      </c>
      <c r="F155" s="13" t="s">
        <v>5729</v>
      </c>
      <c r="G155" s="14" t="s">
        <v>6430</v>
      </c>
    </row>
    <row r="156">
      <c r="A156" s="13" t="s">
        <v>639</v>
      </c>
      <c r="B156" s="13" t="s">
        <v>6431</v>
      </c>
      <c r="C156" s="13" t="s">
        <v>6432</v>
      </c>
      <c r="D156" s="13" t="s">
        <v>6433</v>
      </c>
      <c r="E156" s="13" t="s">
        <v>6434</v>
      </c>
      <c r="F156" s="13" t="s">
        <v>6435</v>
      </c>
      <c r="G156" s="14" t="s">
        <v>6436</v>
      </c>
    </row>
    <row r="157">
      <c r="A157" s="13" t="s">
        <v>643</v>
      </c>
      <c r="B157" s="13" t="s">
        <v>6437</v>
      </c>
      <c r="C157" s="13" t="s">
        <v>6438</v>
      </c>
      <c r="D157" s="13" t="s">
        <v>6439</v>
      </c>
      <c r="E157" s="13" t="s">
        <v>6440</v>
      </c>
      <c r="F157" s="13" t="s">
        <v>6441</v>
      </c>
      <c r="G157" s="14" t="s">
        <v>6442</v>
      </c>
    </row>
    <row r="158">
      <c r="A158" s="13" t="s">
        <v>647</v>
      </c>
      <c r="B158" s="13" t="s">
        <v>6277</v>
      </c>
      <c r="C158" s="13" t="s">
        <v>6278</v>
      </c>
      <c r="D158" s="13" t="s">
        <v>6279</v>
      </c>
      <c r="E158" s="13" t="s">
        <v>6280</v>
      </c>
      <c r="F158" s="13" t="s">
        <v>6281</v>
      </c>
      <c r="G158" s="14" t="s">
        <v>6443</v>
      </c>
    </row>
    <row r="159">
      <c r="A159" s="13" t="s">
        <v>651</v>
      </c>
      <c r="B159" s="13" t="s">
        <v>6444</v>
      </c>
      <c r="C159" s="13" t="s">
        <v>6445</v>
      </c>
      <c r="D159" s="13" t="s">
        <v>6446</v>
      </c>
      <c r="E159" s="13" t="s">
        <v>6447</v>
      </c>
      <c r="F159" s="13" t="s">
        <v>6448</v>
      </c>
      <c r="G159" s="14" t="s">
        <v>6449</v>
      </c>
    </row>
    <row r="160">
      <c r="A160" s="13" t="s">
        <v>656</v>
      </c>
      <c r="B160" s="13" t="s">
        <v>6450</v>
      </c>
      <c r="C160" s="13" t="s">
        <v>6451</v>
      </c>
      <c r="D160" s="13" t="s">
        <v>6452</v>
      </c>
      <c r="E160" s="13" t="s">
        <v>6453</v>
      </c>
      <c r="F160" s="13" t="s">
        <v>6454</v>
      </c>
      <c r="G160" s="14" t="s">
        <v>6455</v>
      </c>
    </row>
    <row r="161">
      <c r="A161" s="13" t="s">
        <v>660</v>
      </c>
      <c r="B161" s="13" t="s">
        <v>6456</v>
      </c>
      <c r="C161" s="13" t="s">
        <v>6457</v>
      </c>
      <c r="D161" s="13" t="s">
        <v>6458</v>
      </c>
      <c r="E161" s="13" t="s">
        <v>6459</v>
      </c>
      <c r="F161" s="13" t="s">
        <v>6460</v>
      </c>
      <c r="G161" s="14" t="s">
        <v>6461</v>
      </c>
    </row>
    <row r="162">
      <c r="A162" s="13" t="s">
        <v>664</v>
      </c>
      <c r="B162" s="13" t="s">
        <v>6462</v>
      </c>
      <c r="C162" s="13" t="s">
        <v>6463</v>
      </c>
      <c r="D162" s="13" t="s">
        <v>6464</v>
      </c>
      <c r="E162" s="13" t="s">
        <v>6465</v>
      </c>
      <c r="F162" s="13" t="s">
        <v>6466</v>
      </c>
      <c r="G162" s="14" t="s">
        <v>6467</v>
      </c>
    </row>
    <row r="163">
      <c r="A163" s="13" t="s">
        <v>668</v>
      </c>
      <c r="B163" s="13" t="s">
        <v>6468</v>
      </c>
      <c r="C163" s="13" t="s">
        <v>6469</v>
      </c>
      <c r="D163" s="13" t="s">
        <v>6470</v>
      </c>
      <c r="E163" s="13" t="s">
        <v>6471</v>
      </c>
      <c r="F163" s="13" t="s">
        <v>6472</v>
      </c>
      <c r="G163" s="14" t="s">
        <v>6473</v>
      </c>
    </row>
    <row r="164">
      <c r="A164" s="13" t="s">
        <v>672</v>
      </c>
      <c r="B164" s="13" t="s">
        <v>6062</v>
      </c>
      <c r="C164" s="13" t="s">
        <v>6063</v>
      </c>
      <c r="D164" s="13" t="s">
        <v>6064</v>
      </c>
      <c r="E164" s="13" t="s">
        <v>6065</v>
      </c>
      <c r="F164" s="13" t="s">
        <v>6066</v>
      </c>
      <c r="G164" s="14" t="s">
        <v>6474</v>
      </c>
    </row>
    <row r="165">
      <c r="A165" s="13" t="s">
        <v>676</v>
      </c>
      <c r="B165" s="13" t="s">
        <v>6475</v>
      </c>
      <c r="C165" s="13" t="s">
        <v>6476</v>
      </c>
      <c r="D165" s="13" t="s">
        <v>6477</v>
      </c>
      <c r="E165" s="13" t="s">
        <v>6478</v>
      </c>
      <c r="F165" s="13" t="s">
        <v>6479</v>
      </c>
      <c r="G165" s="14" t="s">
        <v>6480</v>
      </c>
    </row>
    <row r="166">
      <c r="A166" s="13" t="s">
        <v>680</v>
      </c>
      <c r="B166" s="13" t="s">
        <v>6481</v>
      </c>
      <c r="C166" s="13" t="s">
        <v>6482</v>
      </c>
      <c r="D166" s="13" t="s">
        <v>6483</v>
      </c>
      <c r="E166" s="13" t="s">
        <v>6484</v>
      </c>
      <c r="F166" s="13" t="s">
        <v>6485</v>
      </c>
      <c r="G166" s="14" t="s">
        <v>6486</v>
      </c>
    </row>
    <row r="167">
      <c r="A167" s="13" t="s">
        <v>684</v>
      </c>
      <c r="B167" s="13" t="s">
        <v>6487</v>
      </c>
      <c r="C167" s="13" t="s">
        <v>6488</v>
      </c>
      <c r="D167" s="13" t="s">
        <v>6489</v>
      </c>
      <c r="E167" s="13" t="s">
        <v>6490</v>
      </c>
      <c r="F167" s="13" t="s">
        <v>6491</v>
      </c>
      <c r="G167" s="14" t="s">
        <v>6492</v>
      </c>
    </row>
    <row r="168">
      <c r="A168" s="13" t="s">
        <v>688</v>
      </c>
      <c r="B168" s="13" t="s">
        <v>6206</v>
      </c>
      <c r="C168" s="13" t="s">
        <v>6207</v>
      </c>
      <c r="D168" s="13" t="s">
        <v>6208</v>
      </c>
      <c r="E168" s="13" t="s">
        <v>6209</v>
      </c>
      <c r="F168" s="13" t="s">
        <v>6210</v>
      </c>
      <c r="G168" s="14" t="s">
        <v>6493</v>
      </c>
    </row>
    <row r="169">
      <c r="A169" s="13" t="s">
        <v>692</v>
      </c>
      <c r="B169" s="13" t="s">
        <v>6494</v>
      </c>
      <c r="C169" s="13" t="s">
        <v>6495</v>
      </c>
      <c r="D169" s="13" t="s">
        <v>6496</v>
      </c>
      <c r="E169" s="13" t="s">
        <v>6497</v>
      </c>
      <c r="F169" s="13" t="s">
        <v>6498</v>
      </c>
      <c r="G169" s="14" t="s">
        <v>6499</v>
      </c>
    </row>
    <row r="170">
      <c r="A170" s="13" t="s">
        <v>696</v>
      </c>
      <c r="B170" s="13" t="s">
        <v>6500</v>
      </c>
      <c r="C170" s="13" t="s">
        <v>6501</v>
      </c>
      <c r="D170" s="13" t="s">
        <v>6502</v>
      </c>
      <c r="E170" s="13" t="s">
        <v>6503</v>
      </c>
      <c r="F170" s="13" t="s">
        <v>6504</v>
      </c>
      <c r="G170" s="14" t="s">
        <v>6505</v>
      </c>
    </row>
    <row r="171">
      <c r="A171" s="13" t="s">
        <v>700</v>
      </c>
      <c r="B171" s="13" t="s">
        <v>6506</v>
      </c>
      <c r="C171" s="13" t="s">
        <v>6507</v>
      </c>
      <c r="D171" s="13" t="s">
        <v>6508</v>
      </c>
      <c r="E171" s="13" t="s">
        <v>6509</v>
      </c>
      <c r="F171" s="13" t="s">
        <v>6510</v>
      </c>
      <c r="G171" s="14" t="s">
        <v>6511</v>
      </c>
    </row>
    <row r="172">
      <c r="A172" s="13" t="s">
        <v>704</v>
      </c>
      <c r="B172" s="13" t="s">
        <v>6512</v>
      </c>
      <c r="C172" s="13" t="s">
        <v>6513</v>
      </c>
      <c r="D172" s="13" t="s">
        <v>6514</v>
      </c>
      <c r="E172" s="13" t="s">
        <v>6515</v>
      </c>
      <c r="F172" s="13" t="s">
        <v>6516</v>
      </c>
      <c r="G172" s="14" t="s">
        <v>6517</v>
      </c>
    </row>
    <row r="173">
      <c r="A173" s="13" t="s">
        <v>708</v>
      </c>
      <c r="B173" s="13" t="s">
        <v>5812</v>
      </c>
      <c r="C173" s="13" t="s">
        <v>5813</v>
      </c>
      <c r="D173" s="13" t="s">
        <v>5814</v>
      </c>
      <c r="E173" s="13" t="s">
        <v>5815</v>
      </c>
      <c r="F173" s="13" t="s">
        <v>5816</v>
      </c>
      <c r="G173" s="14" t="s">
        <v>6518</v>
      </c>
    </row>
    <row r="174">
      <c r="A174" s="13" t="s">
        <v>711</v>
      </c>
      <c r="B174" s="13" t="s">
        <v>6080</v>
      </c>
      <c r="C174" s="13" t="s">
        <v>6081</v>
      </c>
      <c r="D174" s="13" t="s">
        <v>6082</v>
      </c>
      <c r="E174" s="13" t="s">
        <v>6083</v>
      </c>
      <c r="F174" s="13" t="s">
        <v>6084</v>
      </c>
      <c r="G174" s="14" t="s">
        <v>6519</v>
      </c>
    </row>
    <row r="175">
      <c r="A175" s="13" t="s">
        <v>715</v>
      </c>
      <c r="B175" s="13" t="s">
        <v>6520</v>
      </c>
      <c r="C175" s="13" t="s">
        <v>6521</v>
      </c>
      <c r="D175" s="13" t="s">
        <v>6522</v>
      </c>
      <c r="E175" s="13" t="s">
        <v>6523</v>
      </c>
      <c r="F175" s="13" t="s">
        <v>6524</v>
      </c>
      <c r="G175" s="14" t="s">
        <v>6525</v>
      </c>
    </row>
    <row r="176">
      <c r="A176" s="13" t="s">
        <v>719</v>
      </c>
      <c r="B176" s="13" t="s">
        <v>6526</v>
      </c>
      <c r="C176" s="13" t="s">
        <v>6527</v>
      </c>
      <c r="D176" s="13" t="s">
        <v>6528</v>
      </c>
      <c r="E176" s="13" t="s">
        <v>6529</v>
      </c>
      <c r="F176" s="13" t="s">
        <v>6530</v>
      </c>
      <c r="G176" s="14" t="s">
        <v>6531</v>
      </c>
    </row>
    <row r="177">
      <c r="A177" s="13" t="s">
        <v>723</v>
      </c>
      <c r="B177" s="13" t="s">
        <v>6532</v>
      </c>
      <c r="C177" s="13" t="s">
        <v>6533</v>
      </c>
      <c r="D177" s="13" t="s">
        <v>6534</v>
      </c>
      <c r="E177" s="13" t="s">
        <v>6535</v>
      </c>
      <c r="F177" s="13" t="s">
        <v>6536</v>
      </c>
      <c r="G177" s="14" t="s">
        <v>6537</v>
      </c>
    </row>
    <row r="178">
      <c r="A178" s="13" t="s">
        <v>727</v>
      </c>
      <c r="B178" s="13" t="s">
        <v>5806</v>
      </c>
      <c r="C178" s="13" t="s">
        <v>5807</v>
      </c>
      <c r="D178" s="13" t="s">
        <v>5808</v>
      </c>
      <c r="E178" s="13" t="s">
        <v>5809</v>
      </c>
      <c r="F178" s="13" t="s">
        <v>6538</v>
      </c>
      <c r="G178" s="14" t="s">
        <v>6539</v>
      </c>
    </row>
    <row r="179">
      <c r="A179" s="13" t="s">
        <v>731</v>
      </c>
      <c r="B179" s="13" t="s">
        <v>6372</v>
      </c>
      <c r="C179" s="13" t="s">
        <v>6373</v>
      </c>
      <c r="D179" s="13" t="s">
        <v>6374</v>
      </c>
      <c r="E179" s="13" t="s">
        <v>6375</v>
      </c>
      <c r="F179" s="13" t="s">
        <v>6376</v>
      </c>
      <c r="G179" s="14" t="s">
        <v>6540</v>
      </c>
    </row>
    <row r="180">
      <c r="A180" s="13" t="s">
        <v>735</v>
      </c>
      <c r="B180" s="13" t="s">
        <v>5806</v>
      </c>
      <c r="C180" s="13" t="s">
        <v>5807</v>
      </c>
      <c r="D180" s="13" t="s">
        <v>5808</v>
      </c>
      <c r="E180" s="13" t="s">
        <v>5809</v>
      </c>
      <c r="F180" s="13" t="s">
        <v>5810</v>
      </c>
      <c r="G180" s="14" t="s">
        <v>6541</v>
      </c>
    </row>
    <row r="181">
      <c r="A181" s="13" t="s">
        <v>739</v>
      </c>
      <c r="B181" s="13" t="s">
        <v>6542</v>
      </c>
      <c r="C181" s="13" t="s">
        <v>6543</v>
      </c>
      <c r="D181" s="13" t="s">
        <v>6544</v>
      </c>
      <c r="E181" s="13" t="s">
        <v>6545</v>
      </c>
      <c r="F181" s="13" t="s">
        <v>6546</v>
      </c>
      <c r="G181" s="14" t="s">
        <v>6547</v>
      </c>
    </row>
    <row r="182">
      <c r="A182" s="13" t="s">
        <v>743</v>
      </c>
      <c r="B182" s="13" t="s">
        <v>6548</v>
      </c>
      <c r="C182" s="13" t="s">
        <v>6549</v>
      </c>
      <c r="D182" s="13" t="s">
        <v>6550</v>
      </c>
      <c r="E182" s="13" t="s">
        <v>6551</v>
      </c>
      <c r="F182" s="13" t="s">
        <v>6552</v>
      </c>
      <c r="G182" s="14" t="s">
        <v>6553</v>
      </c>
    </row>
    <row r="183">
      <c r="A183" s="13" t="s">
        <v>747</v>
      </c>
      <c r="B183" s="13" t="s">
        <v>6554</v>
      </c>
      <c r="C183" s="13" t="s">
        <v>6555</v>
      </c>
      <c r="D183" s="13" t="s">
        <v>6556</v>
      </c>
      <c r="E183" s="13" t="s">
        <v>6557</v>
      </c>
      <c r="F183" s="13" t="s">
        <v>6558</v>
      </c>
      <c r="G183" s="14" t="s">
        <v>6559</v>
      </c>
    </row>
    <row r="184">
      <c r="A184" s="13" t="s">
        <v>751</v>
      </c>
      <c r="B184" s="13" t="s">
        <v>6560</v>
      </c>
      <c r="C184" s="13" t="s">
        <v>6561</v>
      </c>
      <c r="D184" s="13" t="s">
        <v>6562</v>
      </c>
      <c r="E184" s="13" t="s">
        <v>6563</v>
      </c>
      <c r="F184" s="13" t="s">
        <v>6564</v>
      </c>
      <c r="G184" s="14" t="s">
        <v>6565</v>
      </c>
    </row>
    <row r="185">
      <c r="A185" s="13" t="s">
        <v>755</v>
      </c>
      <c r="B185" s="13" t="s">
        <v>5880</v>
      </c>
      <c r="C185" s="13" t="s">
        <v>5881</v>
      </c>
      <c r="D185" s="13" t="s">
        <v>5882</v>
      </c>
      <c r="E185" s="13" t="s">
        <v>5883</v>
      </c>
      <c r="F185" s="13" t="s">
        <v>5884</v>
      </c>
      <c r="G185" s="14" t="s">
        <v>6566</v>
      </c>
    </row>
    <row r="186">
      <c r="A186" s="13" t="s">
        <v>759</v>
      </c>
      <c r="B186" s="13" t="s">
        <v>6567</v>
      </c>
      <c r="C186" s="13" t="s">
        <v>6568</v>
      </c>
      <c r="D186" s="13" t="s">
        <v>6569</v>
      </c>
      <c r="E186" s="13" t="s">
        <v>6570</v>
      </c>
      <c r="F186" s="13" t="s">
        <v>6571</v>
      </c>
      <c r="G186" s="14" t="s">
        <v>6572</v>
      </c>
    </row>
    <row r="187">
      <c r="A187" s="13" t="s">
        <v>763</v>
      </c>
      <c r="B187" s="13" t="s">
        <v>6573</v>
      </c>
      <c r="C187" s="13" t="s">
        <v>6574</v>
      </c>
      <c r="D187" s="13" t="s">
        <v>6575</v>
      </c>
      <c r="E187" s="13" t="s">
        <v>6576</v>
      </c>
      <c r="F187" s="13" t="s">
        <v>6577</v>
      </c>
      <c r="G187" s="14" t="s">
        <v>6578</v>
      </c>
    </row>
    <row r="188">
      <c r="A188" s="13" t="s">
        <v>767</v>
      </c>
      <c r="B188" s="13" t="s">
        <v>5880</v>
      </c>
      <c r="C188" s="13" t="s">
        <v>5881</v>
      </c>
      <c r="D188" s="13" t="s">
        <v>5882</v>
      </c>
      <c r="E188" s="13" t="s">
        <v>5883</v>
      </c>
      <c r="F188" s="13" t="s">
        <v>5884</v>
      </c>
      <c r="G188" s="14" t="s">
        <v>6579</v>
      </c>
    </row>
    <row r="189">
      <c r="A189" s="13" t="s">
        <v>771</v>
      </c>
      <c r="B189" s="13" t="s">
        <v>6212</v>
      </c>
      <c r="C189" s="13" t="s">
        <v>6213</v>
      </c>
      <c r="D189" s="13" t="s">
        <v>6214</v>
      </c>
      <c r="E189" s="13" t="s">
        <v>6215</v>
      </c>
      <c r="F189" s="13" t="s">
        <v>6216</v>
      </c>
      <c r="G189" s="14" t="s">
        <v>6580</v>
      </c>
    </row>
    <row r="190">
      <c r="A190" s="13" t="s">
        <v>775</v>
      </c>
      <c r="B190" s="13" t="s">
        <v>6581</v>
      </c>
      <c r="C190" s="13" t="s">
        <v>6582</v>
      </c>
      <c r="D190" s="13" t="s">
        <v>6583</v>
      </c>
      <c r="E190" s="13" t="s">
        <v>6584</v>
      </c>
      <c r="F190" s="13" t="s">
        <v>6585</v>
      </c>
      <c r="G190" s="14" t="s">
        <v>6586</v>
      </c>
    </row>
    <row r="191">
      <c r="A191" s="13" t="s">
        <v>779</v>
      </c>
      <c r="B191" s="13" t="s">
        <v>6410</v>
      </c>
      <c r="C191" s="13" t="s">
        <v>6411</v>
      </c>
      <c r="D191" s="13" t="s">
        <v>6412</v>
      </c>
      <c r="E191" s="13" t="s">
        <v>6413</v>
      </c>
      <c r="F191" s="13" t="s">
        <v>6414</v>
      </c>
      <c r="G191" s="14" t="s">
        <v>6587</v>
      </c>
    </row>
    <row r="192">
      <c r="A192" s="13" t="s">
        <v>783</v>
      </c>
      <c r="B192" s="13" t="s">
        <v>5962</v>
      </c>
      <c r="C192" s="13" t="s">
        <v>5963</v>
      </c>
      <c r="D192" s="13" t="s">
        <v>5964</v>
      </c>
      <c r="E192" s="13" t="s">
        <v>5965</v>
      </c>
      <c r="F192" s="13" t="s">
        <v>6588</v>
      </c>
      <c r="G192" s="14" t="s">
        <v>6589</v>
      </c>
    </row>
    <row r="193">
      <c r="A193" s="13" t="s">
        <v>787</v>
      </c>
      <c r="B193" s="13" t="s">
        <v>6590</v>
      </c>
      <c r="C193" s="13" t="s">
        <v>6591</v>
      </c>
      <c r="D193" s="13" t="s">
        <v>6592</v>
      </c>
      <c r="E193" s="13" t="s">
        <v>6593</v>
      </c>
      <c r="F193" s="13" t="s">
        <v>6594</v>
      </c>
      <c r="G193" s="14" t="s">
        <v>6595</v>
      </c>
    </row>
    <row r="194">
      <c r="A194" s="13" t="s">
        <v>791</v>
      </c>
      <c r="B194" s="13" t="s">
        <v>6000</v>
      </c>
      <c r="C194" s="13" t="s">
        <v>6001</v>
      </c>
      <c r="D194" s="13" t="s">
        <v>6002</v>
      </c>
      <c r="E194" s="13" t="s">
        <v>6003</v>
      </c>
      <c r="F194" s="13" t="s">
        <v>6004</v>
      </c>
      <c r="G194" s="14" t="s">
        <v>6596</v>
      </c>
    </row>
    <row r="195">
      <c r="A195" s="13" t="s">
        <v>794</v>
      </c>
      <c r="B195" s="13" t="s">
        <v>6597</v>
      </c>
      <c r="C195" s="13" t="s">
        <v>6598</v>
      </c>
      <c r="D195" s="13" t="s">
        <v>6599</v>
      </c>
      <c r="E195" s="13" t="s">
        <v>6600</v>
      </c>
      <c r="F195" s="13" t="s">
        <v>6601</v>
      </c>
      <c r="G195" s="14" t="s">
        <v>6602</v>
      </c>
    </row>
    <row r="196">
      <c r="A196" s="13" t="s">
        <v>798</v>
      </c>
      <c r="B196" s="13" t="s">
        <v>6603</v>
      </c>
      <c r="C196" s="13" t="s">
        <v>6604</v>
      </c>
      <c r="D196" s="13" t="s">
        <v>6605</v>
      </c>
      <c r="E196" s="13" t="s">
        <v>6606</v>
      </c>
      <c r="F196" s="13" t="s">
        <v>6607</v>
      </c>
      <c r="G196" s="14" t="s">
        <v>6608</v>
      </c>
    </row>
    <row r="197">
      <c r="A197" s="13" t="s">
        <v>802</v>
      </c>
      <c r="B197" s="13" t="s">
        <v>6609</v>
      </c>
      <c r="C197" s="13" t="s">
        <v>6610</v>
      </c>
      <c r="D197" s="13" t="s">
        <v>6611</v>
      </c>
      <c r="E197" s="13" t="s">
        <v>6612</v>
      </c>
      <c r="F197" s="13" t="s">
        <v>6613</v>
      </c>
      <c r="G197" s="14" t="s">
        <v>6614</v>
      </c>
    </row>
    <row r="198">
      <c r="A198" s="13" t="s">
        <v>806</v>
      </c>
      <c r="B198" s="13" t="s">
        <v>5806</v>
      </c>
      <c r="C198" s="13" t="s">
        <v>5807</v>
      </c>
      <c r="D198" s="13" t="s">
        <v>5808</v>
      </c>
      <c r="E198" s="13" t="s">
        <v>5809</v>
      </c>
      <c r="F198" s="13" t="s">
        <v>5810</v>
      </c>
      <c r="G198" s="14" t="s">
        <v>6615</v>
      </c>
    </row>
    <row r="199">
      <c r="A199" s="13" t="s">
        <v>810</v>
      </c>
      <c r="B199" s="13" t="s">
        <v>5769</v>
      </c>
      <c r="C199" s="13" t="s">
        <v>5770</v>
      </c>
      <c r="D199" s="13" t="s">
        <v>5771</v>
      </c>
      <c r="E199" s="13" t="s">
        <v>5772</v>
      </c>
      <c r="F199" s="13" t="s">
        <v>6616</v>
      </c>
      <c r="G199" s="14" t="s">
        <v>6617</v>
      </c>
    </row>
    <row r="200">
      <c r="A200" s="13" t="s">
        <v>813</v>
      </c>
      <c r="B200" s="13" t="s">
        <v>6618</v>
      </c>
      <c r="C200" s="13" t="s">
        <v>6619</v>
      </c>
      <c r="D200" s="13" t="s">
        <v>6620</v>
      </c>
      <c r="E200" s="13" t="s">
        <v>6621</v>
      </c>
      <c r="F200" s="13" t="s">
        <v>6622</v>
      </c>
      <c r="G200" s="14" t="s">
        <v>6623</v>
      </c>
    </row>
    <row r="201">
      <c r="A201" s="13" t="s">
        <v>817</v>
      </c>
      <c r="B201" s="13" t="s">
        <v>6624</v>
      </c>
      <c r="C201" s="13" t="s">
        <v>6625</v>
      </c>
      <c r="D201" s="13" t="s">
        <v>6626</v>
      </c>
      <c r="E201" s="13" t="s">
        <v>6627</v>
      </c>
      <c r="F201" s="13" t="s">
        <v>6628</v>
      </c>
      <c r="G201" s="14" t="s">
        <v>6629</v>
      </c>
    </row>
    <row r="202">
      <c r="A202" s="13" t="s">
        <v>821</v>
      </c>
      <c r="B202" s="13" t="s">
        <v>6630</v>
      </c>
      <c r="C202" s="13" t="s">
        <v>6631</v>
      </c>
      <c r="D202" s="13" t="s">
        <v>6632</v>
      </c>
      <c r="E202" s="13" t="s">
        <v>6633</v>
      </c>
      <c r="F202" s="13" t="s">
        <v>6634</v>
      </c>
      <c r="G202" s="14" t="s">
        <v>6635</v>
      </c>
    </row>
    <row r="203">
      <c r="A203" s="13" t="s">
        <v>825</v>
      </c>
      <c r="B203" s="13" t="s">
        <v>6636</v>
      </c>
      <c r="C203" s="13" t="s">
        <v>6637</v>
      </c>
      <c r="D203" s="13" t="s">
        <v>6638</v>
      </c>
      <c r="E203" s="13" t="s">
        <v>6639</v>
      </c>
      <c r="F203" s="13" t="s">
        <v>6640</v>
      </c>
      <c r="G203" s="14" t="s">
        <v>6641</v>
      </c>
    </row>
    <row r="204">
      <c r="A204" s="13" t="s">
        <v>829</v>
      </c>
      <c r="B204" s="13" t="s">
        <v>6642</v>
      </c>
      <c r="C204" s="13" t="s">
        <v>6643</v>
      </c>
      <c r="D204" s="13" t="s">
        <v>6644</v>
      </c>
      <c r="E204" s="13" t="s">
        <v>6645</v>
      </c>
      <c r="F204" s="13" t="s">
        <v>6646</v>
      </c>
      <c r="G204" s="14" t="s">
        <v>6647</v>
      </c>
    </row>
    <row r="205">
      <c r="A205" s="13" t="s">
        <v>833</v>
      </c>
      <c r="B205" s="13" t="s">
        <v>6648</v>
      </c>
      <c r="C205" s="13" t="s">
        <v>6649</v>
      </c>
      <c r="D205" s="13" t="s">
        <v>6650</v>
      </c>
      <c r="E205" s="13" t="s">
        <v>6651</v>
      </c>
      <c r="F205" s="13" t="s">
        <v>6652</v>
      </c>
      <c r="G205" s="14" t="s">
        <v>6653</v>
      </c>
    </row>
    <row r="206">
      <c r="A206" s="13" t="s">
        <v>837</v>
      </c>
      <c r="B206" s="13" t="s">
        <v>6654</v>
      </c>
      <c r="C206" s="13" t="s">
        <v>6655</v>
      </c>
      <c r="D206" s="13" t="s">
        <v>6656</v>
      </c>
      <c r="E206" s="13" t="s">
        <v>6657</v>
      </c>
      <c r="F206" s="13" t="s">
        <v>6658</v>
      </c>
      <c r="G206" s="14" t="s">
        <v>6659</v>
      </c>
    </row>
    <row r="207">
      <c r="A207" s="13" t="s">
        <v>841</v>
      </c>
      <c r="B207" s="13" t="s">
        <v>6660</v>
      </c>
      <c r="C207" s="13" t="s">
        <v>6661</v>
      </c>
      <c r="D207" s="13" t="s">
        <v>6662</v>
      </c>
      <c r="E207" s="13" t="s">
        <v>6663</v>
      </c>
      <c r="F207" s="13" t="s">
        <v>6664</v>
      </c>
      <c r="G207" s="14" t="s">
        <v>6665</v>
      </c>
    </row>
    <row r="208">
      <c r="A208" s="13" t="s">
        <v>845</v>
      </c>
      <c r="B208" s="13" t="s">
        <v>6666</v>
      </c>
      <c r="C208" s="13" t="s">
        <v>6667</v>
      </c>
      <c r="D208" s="13" t="s">
        <v>6668</v>
      </c>
      <c r="E208" s="13" t="s">
        <v>6669</v>
      </c>
      <c r="F208" s="13" t="s">
        <v>6670</v>
      </c>
      <c r="G208" s="14" t="s">
        <v>6671</v>
      </c>
    </row>
    <row r="209">
      <c r="A209" s="13" t="s">
        <v>848</v>
      </c>
      <c r="B209" s="13" t="s">
        <v>6672</v>
      </c>
      <c r="C209" s="13" t="s">
        <v>6673</v>
      </c>
      <c r="D209" s="13" t="s">
        <v>6674</v>
      </c>
      <c r="E209" s="13" t="s">
        <v>6675</v>
      </c>
      <c r="F209" s="13" t="s">
        <v>6676</v>
      </c>
      <c r="G209" s="14" t="s">
        <v>6677</v>
      </c>
    </row>
    <row r="210">
      <c r="A210" s="13" t="s">
        <v>852</v>
      </c>
      <c r="B210" s="13" t="s">
        <v>6678</v>
      </c>
      <c r="C210" s="13" t="s">
        <v>6679</v>
      </c>
      <c r="D210" s="13" t="s">
        <v>6680</v>
      </c>
      <c r="E210" s="13" t="s">
        <v>6681</v>
      </c>
      <c r="F210" s="13" t="s">
        <v>6682</v>
      </c>
      <c r="G210" s="14" t="s">
        <v>6683</v>
      </c>
    </row>
    <row r="211">
      <c r="A211" s="13" t="s">
        <v>856</v>
      </c>
      <c r="B211" s="13" t="s">
        <v>6684</v>
      </c>
      <c r="C211" s="13" t="s">
        <v>6685</v>
      </c>
      <c r="D211" s="13" t="s">
        <v>6686</v>
      </c>
      <c r="E211" s="13" t="s">
        <v>6687</v>
      </c>
      <c r="F211" s="13" t="s">
        <v>6688</v>
      </c>
      <c r="G211" s="14" t="s">
        <v>6689</v>
      </c>
    </row>
    <row r="212">
      <c r="A212" s="13" t="s">
        <v>860</v>
      </c>
      <c r="B212" s="13" t="s">
        <v>6690</v>
      </c>
      <c r="C212" s="13" t="s">
        <v>6691</v>
      </c>
      <c r="D212" s="13" t="s">
        <v>6692</v>
      </c>
      <c r="E212" s="13" t="s">
        <v>6693</v>
      </c>
      <c r="F212" s="13" t="s">
        <v>6694</v>
      </c>
      <c r="G212" s="14" t="s">
        <v>6695</v>
      </c>
    </row>
    <row r="213">
      <c r="A213" s="13" t="s">
        <v>864</v>
      </c>
      <c r="B213" s="13" t="s">
        <v>6696</v>
      </c>
      <c r="C213" s="13" t="s">
        <v>6697</v>
      </c>
      <c r="D213" s="13" t="s">
        <v>6698</v>
      </c>
      <c r="E213" s="13" t="s">
        <v>6699</v>
      </c>
      <c r="F213" s="13" t="s">
        <v>6700</v>
      </c>
      <c r="G213" s="14" t="s">
        <v>6701</v>
      </c>
    </row>
    <row r="214">
      <c r="A214" s="13" t="s">
        <v>868</v>
      </c>
      <c r="B214" s="13" t="s">
        <v>5848</v>
      </c>
      <c r="C214" s="13" t="s">
        <v>5849</v>
      </c>
      <c r="D214" s="13" t="s">
        <v>5850</v>
      </c>
      <c r="E214" s="13" t="s">
        <v>5851</v>
      </c>
      <c r="F214" s="13" t="s">
        <v>5852</v>
      </c>
      <c r="G214" s="14" t="s">
        <v>6702</v>
      </c>
    </row>
    <row r="215">
      <c r="A215" s="13" t="s">
        <v>872</v>
      </c>
      <c r="B215" s="13" t="s">
        <v>6703</v>
      </c>
      <c r="C215" s="13" t="s">
        <v>6704</v>
      </c>
      <c r="D215" s="13" t="s">
        <v>6705</v>
      </c>
      <c r="E215" s="13" t="s">
        <v>6706</v>
      </c>
      <c r="F215" s="13" t="s">
        <v>6707</v>
      </c>
      <c r="G215" s="14" t="s">
        <v>6708</v>
      </c>
    </row>
    <row r="216">
      <c r="A216" s="13" t="s">
        <v>876</v>
      </c>
      <c r="B216" s="13" t="s">
        <v>6709</v>
      </c>
      <c r="C216" s="13" t="s">
        <v>6710</v>
      </c>
      <c r="D216" s="13" t="s">
        <v>6711</v>
      </c>
      <c r="E216" s="13" t="s">
        <v>6712</v>
      </c>
      <c r="F216" s="13" t="s">
        <v>6713</v>
      </c>
      <c r="G216" s="14" t="s">
        <v>6714</v>
      </c>
    </row>
    <row r="217">
      <c r="A217" s="13" t="s">
        <v>880</v>
      </c>
      <c r="B217" s="13" t="s">
        <v>6715</v>
      </c>
      <c r="C217" s="13" t="s">
        <v>6716</v>
      </c>
      <c r="D217" s="13" t="s">
        <v>6717</v>
      </c>
      <c r="E217" s="13" t="s">
        <v>6718</v>
      </c>
      <c r="F217" s="13" t="s">
        <v>6719</v>
      </c>
      <c r="G217" s="14" t="s">
        <v>6720</v>
      </c>
    </row>
    <row r="218">
      <c r="A218" s="13" t="s">
        <v>884</v>
      </c>
      <c r="B218" s="13" t="s">
        <v>6721</v>
      </c>
      <c r="C218" s="13" t="s">
        <v>6722</v>
      </c>
      <c r="D218" s="13" t="s">
        <v>6723</v>
      </c>
      <c r="E218" s="13" t="s">
        <v>6724</v>
      </c>
      <c r="F218" s="13" t="s">
        <v>6725</v>
      </c>
      <c r="G218" s="14" t="s">
        <v>6726</v>
      </c>
    </row>
    <row r="219">
      <c r="A219" s="13" t="s">
        <v>888</v>
      </c>
      <c r="B219" s="13" t="s">
        <v>6727</v>
      </c>
      <c r="C219" s="13" t="s">
        <v>6728</v>
      </c>
      <c r="D219" s="13" t="s">
        <v>6729</v>
      </c>
      <c r="E219" s="13" t="s">
        <v>6730</v>
      </c>
      <c r="F219" s="13" t="s">
        <v>6731</v>
      </c>
      <c r="G219" s="14" t="s">
        <v>6732</v>
      </c>
    </row>
    <row r="220">
      <c r="A220" s="13" t="s">
        <v>892</v>
      </c>
      <c r="B220" s="13" t="s">
        <v>6733</v>
      </c>
      <c r="C220" s="13" t="s">
        <v>6734</v>
      </c>
      <c r="D220" s="13" t="s">
        <v>6735</v>
      </c>
      <c r="E220" s="13" t="s">
        <v>6736</v>
      </c>
      <c r="F220" s="13" t="s">
        <v>6737</v>
      </c>
      <c r="G220" s="14" t="s">
        <v>6738</v>
      </c>
    </row>
    <row r="221">
      <c r="A221" s="13" t="s">
        <v>897</v>
      </c>
      <c r="B221" s="13" t="s">
        <v>6739</v>
      </c>
      <c r="C221" s="13" t="s">
        <v>6740</v>
      </c>
      <c r="D221" s="13" t="s">
        <v>6741</v>
      </c>
      <c r="E221" s="13" t="s">
        <v>6742</v>
      </c>
      <c r="F221" s="13" t="s">
        <v>6743</v>
      </c>
      <c r="G221" s="14" t="s">
        <v>6744</v>
      </c>
    </row>
    <row r="222">
      <c r="A222" s="13" t="s">
        <v>901</v>
      </c>
      <c r="B222" s="13" t="s">
        <v>5683</v>
      </c>
      <c r="C222" s="13" t="s">
        <v>5684</v>
      </c>
      <c r="D222" s="13" t="s">
        <v>5685</v>
      </c>
      <c r="E222" s="13" t="s">
        <v>5686</v>
      </c>
      <c r="F222" s="13" t="s">
        <v>6135</v>
      </c>
      <c r="G222" s="14" t="s">
        <v>6745</v>
      </c>
    </row>
    <row r="223">
      <c r="A223" s="13" t="s">
        <v>905</v>
      </c>
      <c r="B223" s="13" t="s">
        <v>6746</v>
      </c>
      <c r="C223" s="13" t="s">
        <v>6747</v>
      </c>
      <c r="D223" s="13" t="s">
        <v>6748</v>
      </c>
      <c r="E223" s="13" t="s">
        <v>6749</v>
      </c>
      <c r="F223" s="13" t="s">
        <v>6750</v>
      </c>
      <c r="G223" s="14" t="s">
        <v>6751</v>
      </c>
    </row>
    <row r="224">
      <c r="A224" s="13" t="s">
        <v>909</v>
      </c>
      <c r="B224" s="13" t="s">
        <v>6752</v>
      </c>
      <c r="C224" s="13" t="s">
        <v>6753</v>
      </c>
      <c r="D224" s="13" t="s">
        <v>6754</v>
      </c>
      <c r="E224" s="13" t="s">
        <v>6755</v>
      </c>
      <c r="F224" s="13" t="s">
        <v>6756</v>
      </c>
      <c r="G224" s="14" t="s">
        <v>6757</v>
      </c>
    </row>
    <row r="225">
      <c r="A225" s="13" t="s">
        <v>913</v>
      </c>
      <c r="B225" s="13" t="s">
        <v>6758</v>
      </c>
      <c r="C225" s="13" t="s">
        <v>6759</v>
      </c>
      <c r="D225" s="13" t="s">
        <v>6760</v>
      </c>
      <c r="E225" s="13" t="s">
        <v>6761</v>
      </c>
      <c r="F225" s="13" t="s">
        <v>6762</v>
      </c>
      <c r="G225" s="14" t="s">
        <v>6763</v>
      </c>
    </row>
    <row r="226">
      <c r="A226" s="13" t="s">
        <v>917</v>
      </c>
      <c r="B226" s="13" t="s">
        <v>6764</v>
      </c>
      <c r="C226" s="13" t="s">
        <v>6765</v>
      </c>
      <c r="D226" s="13" t="s">
        <v>6766</v>
      </c>
      <c r="E226" s="13" t="s">
        <v>6767</v>
      </c>
      <c r="F226" s="13" t="s">
        <v>6768</v>
      </c>
      <c r="G226" s="14" t="s">
        <v>6769</v>
      </c>
    </row>
    <row r="227">
      <c r="A227" s="13" t="s">
        <v>922</v>
      </c>
      <c r="B227" s="13" t="s">
        <v>6770</v>
      </c>
      <c r="C227" s="13" t="s">
        <v>6771</v>
      </c>
      <c r="D227" s="13" t="s">
        <v>6772</v>
      </c>
      <c r="E227" s="13" t="s">
        <v>6773</v>
      </c>
      <c r="F227" s="13" t="s">
        <v>6774</v>
      </c>
      <c r="G227" s="14" t="s">
        <v>6775</v>
      </c>
    </row>
    <row r="228">
      <c r="A228" s="13" t="s">
        <v>926</v>
      </c>
      <c r="B228" s="13" t="s">
        <v>6776</v>
      </c>
      <c r="C228" s="13" t="s">
        <v>6777</v>
      </c>
      <c r="D228" s="13" t="s">
        <v>6778</v>
      </c>
      <c r="E228" s="13" t="s">
        <v>6779</v>
      </c>
      <c r="F228" s="13" t="s">
        <v>6780</v>
      </c>
      <c r="G228" s="14" t="s">
        <v>6781</v>
      </c>
    </row>
    <row r="229">
      <c r="A229" s="13" t="s">
        <v>930</v>
      </c>
      <c r="B229" s="13" t="s">
        <v>6782</v>
      </c>
      <c r="C229" s="13" t="s">
        <v>6783</v>
      </c>
      <c r="D229" s="13" t="s">
        <v>6784</v>
      </c>
      <c r="E229" s="13" t="s">
        <v>6785</v>
      </c>
      <c r="F229" s="13" t="s">
        <v>6786</v>
      </c>
      <c r="G229" s="14" t="s">
        <v>6787</v>
      </c>
    </row>
    <row r="230">
      <c r="A230" s="13" t="s">
        <v>934</v>
      </c>
      <c r="B230" s="13" t="s">
        <v>6788</v>
      </c>
      <c r="C230" s="13" t="s">
        <v>6789</v>
      </c>
      <c r="D230" s="13" t="s">
        <v>6790</v>
      </c>
      <c r="E230" s="13" t="s">
        <v>6791</v>
      </c>
      <c r="F230" s="13" t="s">
        <v>6792</v>
      </c>
      <c r="G230" s="14" t="s">
        <v>6793</v>
      </c>
    </row>
    <row r="231">
      <c r="A231" s="13" t="s">
        <v>938</v>
      </c>
      <c r="B231" s="13" t="s">
        <v>6794</v>
      </c>
      <c r="C231" s="13" t="s">
        <v>6795</v>
      </c>
      <c r="D231" s="13" t="s">
        <v>6796</v>
      </c>
      <c r="E231" s="13" t="s">
        <v>6797</v>
      </c>
      <c r="F231" s="13" t="s">
        <v>6798</v>
      </c>
      <c r="G231" s="14" t="s">
        <v>6799</v>
      </c>
    </row>
    <row r="232">
      <c r="A232" s="13" t="s">
        <v>942</v>
      </c>
      <c r="B232" s="13" t="s">
        <v>6800</v>
      </c>
      <c r="C232" s="13" t="s">
        <v>6801</v>
      </c>
      <c r="D232" s="13" t="s">
        <v>6802</v>
      </c>
      <c r="E232" s="13" t="s">
        <v>6803</v>
      </c>
      <c r="F232" s="13" t="s">
        <v>6804</v>
      </c>
      <c r="G232" s="14" t="s">
        <v>6805</v>
      </c>
    </row>
    <row r="233">
      <c r="A233" s="13" t="s">
        <v>947</v>
      </c>
      <c r="B233" s="13" t="s">
        <v>6806</v>
      </c>
      <c r="C233" s="13" t="s">
        <v>6807</v>
      </c>
      <c r="D233" s="13" t="s">
        <v>6808</v>
      </c>
      <c r="E233" s="13" t="s">
        <v>6809</v>
      </c>
      <c r="F233" s="13" t="s">
        <v>6810</v>
      </c>
      <c r="G233" s="14" t="s">
        <v>6811</v>
      </c>
    </row>
    <row r="234">
      <c r="A234" s="13" t="s">
        <v>951</v>
      </c>
      <c r="B234" s="13" t="s">
        <v>6812</v>
      </c>
      <c r="C234" s="13" t="s">
        <v>6813</v>
      </c>
      <c r="D234" s="13" t="s">
        <v>6814</v>
      </c>
      <c r="E234" s="13" t="s">
        <v>6815</v>
      </c>
      <c r="F234" s="13" t="s">
        <v>6816</v>
      </c>
      <c r="G234" s="14" t="s">
        <v>6817</v>
      </c>
    </row>
    <row r="235">
      <c r="A235" s="13" t="s">
        <v>955</v>
      </c>
      <c r="B235" s="13" t="s">
        <v>6818</v>
      </c>
      <c r="C235" s="13" t="s">
        <v>6819</v>
      </c>
      <c r="D235" s="13" t="s">
        <v>6820</v>
      </c>
      <c r="E235" s="13" t="s">
        <v>6821</v>
      </c>
      <c r="F235" s="13" t="s">
        <v>6822</v>
      </c>
      <c r="G235" s="14" t="s">
        <v>6823</v>
      </c>
    </row>
    <row r="236">
      <c r="A236" s="13" t="s">
        <v>959</v>
      </c>
      <c r="B236" s="13" t="s">
        <v>6609</v>
      </c>
      <c r="C236" s="13" t="s">
        <v>6610</v>
      </c>
      <c r="D236" s="13" t="s">
        <v>6611</v>
      </c>
      <c r="E236" s="13" t="s">
        <v>6612</v>
      </c>
      <c r="F236" s="13" t="s">
        <v>6613</v>
      </c>
      <c r="G236" s="14" t="s">
        <v>6824</v>
      </c>
    </row>
    <row r="237">
      <c r="A237" s="13" t="s">
        <v>962</v>
      </c>
      <c r="B237" s="13" t="s">
        <v>6825</v>
      </c>
      <c r="C237" s="13" t="s">
        <v>6826</v>
      </c>
      <c r="D237" s="13" t="s">
        <v>6827</v>
      </c>
      <c r="E237" s="13" t="s">
        <v>6828</v>
      </c>
      <c r="F237" s="13" t="s">
        <v>6829</v>
      </c>
      <c r="G237" s="14" t="s">
        <v>6830</v>
      </c>
    </row>
    <row r="238">
      <c r="A238" s="13" t="s">
        <v>965</v>
      </c>
      <c r="B238" s="13" t="s">
        <v>6831</v>
      </c>
      <c r="C238" s="13" t="s">
        <v>6832</v>
      </c>
      <c r="D238" s="13" t="s">
        <v>6833</v>
      </c>
      <c r="E238" s="13" t="s">
        <v>6834</v>
      </c>
      <c r="F238" s="13" t="s">
        <v>6835</v>
      </c>
      <c r="G238" s="14" t="s">
        <v>6836</v>
      </c>
    </row>
    <row r="239">
      <c r="A239" s="13" t="s">
        <v>969</v>
      </c>
      <c r="B239" s="13" t="s">
        <v>6837</v>
      </c>
      <c r="C239" s="13" t="s">
        <v>6838</v>
      </c>
      <c r="D239" s="13" t="s">
        <v>6839</v>
      </c>
      <c r="E239" s="13" t="s">
        <v>6840</v>
      </c>
      <c r="F239" s="13" t="s">
        <v>6841</v>
      </c>
      <c r="G239" s="14" t="s">
        <v>6842</v>
      </c>
    </row>
    <row r="240">
      <c r="A240" s="13" t="s">
        <v>973</v>
      </c>
      <c r="B240" s="13" t="s">
        <v>6843</v>
      </c>
      <c r="C240" s="13" t="s">
        <v>6844</v>
      </c>
      <c r="D240" s="13" t="s">
        <v>6845</v>
      </c>
      <c r="E240" s="13" t="s">
        <v>6846</v>
      </c>
      <c r="F240" s="13" t="s">
        <v>6847</v>
      </c>
      <c r="G240" s="14" t="s">
        <v>6848</v>
      </c>
    </row>
    <row r="241">
      <c r="A241" s="13" t="s">
        <v>977</v>
      </c>
      <c r="B241" s="13" t="s">
        <v>6849</v>
      </c>
      <c r="C241" s="13" t="s">
        <v>6850</v>
      </c>
      <c r="D241" s="13" t="s">
        <v>6851</v>
      </c>
      <c r="E241" s="13" t="s">
        <v>6852</v>
      </c>
      <c r="F241" s="13" t="s">
        <v>6853</v>
      </c>
      <c r="G241" s="14" t="s">
        <v>6854</v>
      </c>
    </row>
    <row r="242">
      <c r="A242" s="13" t="s">
        <v>982</v>
      </c>
      <c r="B242" s="13" t="s">
        <v>6080</v>
      </c>
      <c r="C242" s="13" t="s">
        <v>6081</v>
      </c>
      <c r="D242" s="13" t="s">
        <v>6082</v>
      </c>
      <c r="E242" s="13" t="s">
        <v>6083</v>
      </c>
      <c r="F242" s="13" t="s">
        <v>6084</v>
      </c>
      <c r="G242" s="14" t="s">
        <v>6855</v>
      </c>
    </row>
    <row r="243">
      <c r="A243" s="13" t="s">
        <v>985</v>
      </c>
      <c r="B243" s="13" t="s">
        <v>6468</v>
      </c>
      <c r="C243" s="13" t="s">
        <v>6469</v>
      </c>
      <c r="D243" s="13" t="s">
        <v>6470</v>
      </c>
      <c r="E243" s="13" t="s">
        <v>6471</v>
      </c>
      <c r="F243" s="13" t="s">
        <v>6472</v>
      </c>
      <c r="G243" s="14" t="s">
        <v>6856</v>
      </c>
    </row>
    <row r="244">
      <c r="A244" s="13" t="s">
        <v>988</v>
      </c>
      <c r="B244" s="13" t="s">
        <v>6857</v>
      </c>
      <c r="C244" s="13" t="s">
        <v>6858</v>
      </c>
      <c r="D244" s="13" t="s">
        <v>6859</v>
      </c>
      <c r="E244" s="13" t="s">
        <v>6860</v>
      </c>
      <c r="F244" s="13" t="s">
        <v>6861</v>
      </c>
      <c r="G244" s="14" t="s">
        <v>6862</v>
      </c>
    </row>
    <row r="245">
      <c r="A245" s="13" t="s">
        <v>992</v>
      </c>
      <c r="B245" s="13" t="s">
        <v>6863</v>
      </c>
      <c r="C245" s="13" t="s">
        <v>6864</v>
      </c>
      <c r="D245" s="13" t="s">
        <v>6865</v>
      </c>
      <c r="E245" s="13" t="s">
        <v>6866</v>
      </c>
      <c r="F245" s="13" t="s">
        <v>6867</v>
      </c>
      <c r="G245" s="14" t="s">
        <v>6868</v>
      </c>
    </row>
    <row r="246">
      <c r="A246" s="13" t="s">
        <v>996</v>
      </c>
      <c r="B246" s="13" t="s">
        <v>6869</v>
      </c>
      <c r="C246" s="13" t="s">
        <v>6870</v>
      </c>
      <c r="D246" s="13" t="s">
        <v>6871</v>
      </c>
      <c r="E246" s="13" t="s">
        <v>6872</v>
      </c>
      <c r="F246" s="13" t="s">
        <v>6873</v>
      </c>
      <c r="G246" s="14" t="s">
        <v>6874</v>
      </c>
    </row>
    <row r="247">
      <c r="A247" s="13" t="s">
        <v>1000</v>
      </c>
      <c r="B247" s="13" t="s">
        <v>6114</v>
      </c>
      <c r="C247" s="13" t="s">
        <v>6115</v>
      </c>
      <c r="D247" s="13" t="s">
        <v>6116</v>
      </c>
      <c r="E247" s="13" t="s">
        <v>6117</v>
      </c>
      <c r="F247" s="13" t="s">
        <v>6118</v>
      </c>
      <c r="G247" s="14" t="s">
        <v>6119</v>
      </c>
    </row>
    <row r="248">
      <c r="A248" s="13" t="s">
        <v>1004</v>
      </c>
      <c r="B248" s="13" t="s">
        <v>5872</v>
      </c>
      <c r="C248" s="13" t="s">
        <v>5873</v>
      </c>
      <c r="D248" s="13" t="s">
        <v>5874</v>
      </c>
      <c r="E248" s="13" t="s">
        <v>5875</v>
      </c>
      <c r="F248" s="13" t="s">
        <v>5876</v>
      </c>
      <c r="G248" s="14" t="s">
        <v>6875</v>
      </c>
    </row>
    <row r="249">
      <c r="A249" s="13" t="s">
        <v>1008</v>
      </c>
      <c r="B249" s="13" t="s">
        <v>6012</v>
      </c>
      <c r="C249" s="13" t="s">
        <v>6013</v>
      </c>
      <c r="D249" s="13" t="s">
        <v>6014</v>
      </c>
      <c r="E249" s="13" t="s">
        <v>6015</v>
      </c>
      <c r="F249" s="13" t="s">
        <v>6016</v>
      </c>
      <c r="G249" s="14" t="s">
        <v>6876</v>
      </c>
    </row>
    <row r="250">
      <c r="A250" s="13" t="s">
        <v>1012</v>
      </c>
      <c r="B250" s="13" t="s">
        <v>6877</v>
      </c>
      <c r="C250" s="13" t="s">
        <v>6878</v>
      </c>
      <c r="D250" s="13" t="s">
        <v>6879</v>
      </c>
      <c r="E250" s="13" t="s">
        <v>6880</v>
      </c>
      <c r="F250" s="13" t="s">
        <v>6881</v>
      </c>
      <c r="G250" s="14" t="s">
        <v>6882</v>
      </c>
    </row>
    <row r="251">
      <c r="A251" s="13" t="s">
        <v>1016</v>
      </c>
      <c r="B251" s="13" t="s">
        <v>6883</v>
      </c>
      <c r="C251" s="13" t="s">
        <v>6884</v>
      </c>
      <c r="D251" s="13" t="s">
        <v>6885</v>
      </c>
      <c r="E251" s="13" t="s">
        <v>6886</v>
      </c>
      <c r="F251" s="13" t="s">
        <v>6887</v>
      </c>
      <c r="G251" s="14" t="s">
        <v>6888</v>
      </c>
    </row>
    <row r="252">
      <c r="A252" s="13" t="s">
        <v>1020</v>
      </c>
      <c r="B252" s="13" t="s">
        <v>6889</v>
      </c>
      <c r="C252" s="13" t="s">
        <v>6890</v>
      </c>
      <c r="D252" s="13" t="s">
        <v>6891</v>
      </c>
      <c r="E252" s="13" t="s">
        <v>6892</v>
      </c>
      <c r="F252" s="13" t="s">
        <v>6893</v>
      </c>
      <c r="G252" s="14" t="s">
        <v>6894</v>
      </c>
    </row>
    <row r="253">
      <c r="A253" s="13" t="s">
        <v>1024</v>
      </c>
      <c r="B253" s="13" t="s">
        <v>6895</v>
      </c>
      <c r="C253" s="13" t="s">
        <v>6896</v>
      </c>
      <c r="D253" s="13" t="s">
        <v>6897</v>
      </c>
      <c r="E253" s="13" t="s">
        <v>6898</v>
      </c>
      <c r="F253" s="13" t="s">
        <v>6899</v>
      </c>
      <c r="G253" s="14" t="s">
        <v>6900</v>
      </c>
    </row>
    <row r="254">
      <c r="A254" s="13" t="s">
        <v>1028</v>
      </c>
      <c r="B254" s="13" t="s">
        <v>6901</v>
      </c>
      <c r="C254" s="13" t="s">
        <v>6902</v>
      </c>
      <c r="D254" s="13" t="s">
        <v>6903</v>
      </c>
      <c r="E254" s="13" t="s">
        <v>6904</v>
      </c>
      <c r="F254" s="13" t="s">
        <v>6905</v>
      </c>
      <c r="G254" s="14" t="s">
        <v>6906</v>
      </c>
    </row>
    <row r="255">
      <c r="A255" s="13" t="s">
        <v>1032</v>
      </c>
      <c r="B255" s="13" t="s">
        <v>5806</v>
      </c>
      <c r="C255" s="13" t="s">
        <v>5807</v>
      </c>
      <c r="D255" s="13" t="s">
        <v>5808</v>
      </c>
      <c r="E255" s="13" t="s">
        <v>5809</v>
      </c>
      <c r="F255" s="13" t="s">
        <v>6538</v>
      </c>
      <c r="G255" s="14" t="s">
        <v>6907</v>
      </c>
    </row>
    <row r="256">
      <c r="A256" s="13" t="s">
        <v>1036</v>
      </c>
      <c r="B256" s="13" t="s">
        <v>6908</v>
      </c>
      <c r="C256" s="13" t="s">
        <v>6909</v>
      </c>
      <c r="D256" s="13" t="s">
        <v>6910</v>
      </c>
      <c r="E256" s="13" t="s">
        <v>6911</v>
      </c>
      <c r="F256" s="13" t="s">
        <v>6912</v>
      </c>
      <c r="G256" s="14" t="s">
        <v>6913</v>
      </c>
    </row>
    <row r="257">
      <c r="A257" s="13" t="s">
        <v>1040</v>
      </c>
      <c r="B257" s="13" t="s">
        <v>6224</v>
      </c>
      <c r="C257" s="13" t="s">
        <v>6225</v>
      </c>
      <c r="D257" s="13" t="s">
        <v>6226</v>
      </c>
      <c r="E257" s="13" t="s">
        <v>6227</v>
      </c>
      <c r="F257" s="13" t="s">
        <v>6228</v>
      </c>
      <c r="G257" s="14" t="s">
        <v>6914</v>
      </c>
    </row>
    <row r="258">
      <c r="A258" s="13" t="s">
        <v>1043</v>
      </c>
      <c r="B258" s="13" t="s">
        <v>6915</v>
      </c>
      <c r="C258" s="13" t="s">
        <v>6916</v>
      </c>
      <c r="D258" s="13" t="s">
        <v>6917</v>
      </c>
      <c r="E258" s="13" t="s">
        <v>6918</v>
      </c>
      <c r="F258" s="13" t="s">
        <v>6919</v>
      </c>
      <c r="G258" s="14" t="s">
        <v>6920</v>
      </c>
    </row>
    <row r="259">
      <c r="A259" s="13" t="s">
        <v>1047</v>
      </c>
      <c r="B259" s="13" t="s">
        <v>6520</v>
      </c>
      <c r="C259" s="13" t="s">
        <v>6521</v>
      </c>
      <c r="D259" s="13" t="s">
        <v>6522</v>
      </c>
      <c r="E259" s="13" t="s">
        <v>6523</v>
      </c>
      <c r="F259" s="13" t="s">
        <v>6524</v>
      </c>
      <c r="G259" s="14" t="s">
        <v>6525</v>
      </c>
    </row>
    <row r="260">
      <c r="A260" s="13" t="s">
        <v>1051</v>
      </c>
      <c r="B260" s="13" t="s">
        <v>5701</v>
      </c>
      <c r="C260" s="13" t="s">
        <v>5702</v>
      </c>
      <c r="D260" s="13" t="s">
        <v>5703</v>
      </c>
      <c r="E260" s="13" t="s">
        <v>5704</v>
      </c>
      <c r="F260" s="13" t="s">
        <v>5705</v>
      </c>
      <c r="G260" s="14" t="s">
        <v>6921</v>
      </c>
    </row>
    <row r="261">
      <c r="A261" s="13" t="s">
        <v>1055</v>
      </c>
      <c r="B261" s="13" t="s">
        <v>6922</v>
      </c>
      <c r="C261" s="13" t="s">
        <v>6923</v>
      </c>
      <c r="D261" s="13" t="s">
        <v>6924</v>
      </c>
      <c r="E261" s="13" t="s">
        <v>6925</v>
      </c>
      <c r="F261" s="13" t="s">
        <v>6926</v>
      </c>
      <c r="G261" s="14" t="s">
        <v>6927</v>
      </c>
    </row>
    <row r="262">
      <c r="A262" s="13" t="s">
        <v>1059</v>
      </c>
      <c r="B262" s="13" t="s">
        <v>6928</v>
      </c>
      <c r="C262" s="13" t="s">
        <v>6929</v>
      </c>
      <c r="D262" s="13" t="s">
        <v>6930</v>
      </c>
      <c r="E262" s="13" t="s">
        <v>6931</v>
      </c>
      <c r="F262" s="13" t="s">
        <v>6932</v>
      </c>
      <c r="G262" s="14" t="s">
        <v>6933</v>
      </c>
    </row>
    <row r="263">
      <c r="A263" s="13" t="s">
        <v>1063</v>
      </c>
      <c r="B263" s="13" t="s">
        <v>6120</v>
      </c>
      <c r="C263" s="13" t="s">
        <v>6121</v>
      </c>
      <c r="D263" s="13" t="s">
        <v>6122</v>
      </c>
      <c r="E263" s="13" t="s">
        <v>6123</v>
      </c>
      <c r="F263" s="13" t="s">
        <v>6124</v>
      </c>
      <c r="G263" s="14" t="s">
        <v>6934</v>
      </c>
    </row>
    <row r="264">
      <c r="A264" s="13" t="s">
        <v>1067</v>
      </c>
      <c r="B264" s="13" t="s">
        <v>6618</v>
      </c>
      <c r="C264" s="13" t="s">
        <v>6619</v>
      </c>
      <c r="D264" s="13" t="s">
        <v>6620</v>
      </c>
      <c r="E264" s="13" t="s">
        <v>6621</v>
      </c>
      <c r="F264" s="13" t="s">
        <v>6622</v>
      </c>
      <c r="G264" s="14" t="s">
        <v>6935</v>
      </c>
    </row>
    <row r="265">
      <c r="A265" s="13" t="s">
        <v>1071</v>
      </c>
      <c r="B265" s="13" t="s">
        <v>6936</v>
      </c>
      <c r="C265" s="13" t="s">
        <v>6937</v>
      </c>
      <c r="D265" s="13" t="s">
        <v>6938</v>
      </c>
      <c r="E265" s="13" t="s">
        <v>6939</v>
      </c>
      <c r="F265" s="13" t="s">
        <v>6940</v>
      </c>
      <c r="G265" s="14" t="s">
        <v>6941</v>
      </c>
    </row>
    <row r="266">
      <c r="A266" s="13" t="s">
        <v>1075</v>
      </c>
      <c r="B266" s="13" t="s">
        <v>6942</v>
      </c>
      <c r="C266" s="13" t="s">
        <v>6943</v>
      </c>
      <c r="D266" s="13" t="s">
        <v>6944</v>
      </c>
      <c r="E266" s="13" t="s">
        <v>6945</v>
      </c>
      <c r="F266" s="13" t="s">
        <v>6946</v>
      </c>
      <c r="G266" s="14" t="s">
        <v>6947</v>
      </c>
    </row>
    <row r="267">
      <c r="A267" s="13" t="s">
        <v>1080</v>
      </c>
      <c r="B267" s="13" t="s">
        <v>5812</v>
      </c>
      <c r="C267" s="13" t="s">
        <v>5813</v>
      </c>
      <c r="D267" s="13" t="s">
        <v>5814</v>
      </c>
      <c r="E267" s="13" t="s">
        <v>5815</v>
      </c>
      <c r="F267" s="13" t="s">
        <v>5816</v>
      </c>
      <c r="G267" s="14" t="s">
        <v>6948</v>
      </c>
    </row>
    <row r="268">
      <c r="A268" s="13" t="s">
        <v>1084</v>
      </c>
      <c r="B268" s="13" t="s">
        <v>6949</v>
      </c>
      <c r="C268" s="13" t="s">
        <v>6950</v>
      </c>
      <c r="D268" s="13" t="s">
        <v>6951</v>
      </c>
      <c r="E268" s="13" t="s">
        <v>6952</v>
      </c>
      <c r="F268" s="13" t="s">
        <v>6953</v>
      </c>
      <c r="G268" s="14" t="s">
        <v>6954</v>
      </c>
    </row>
    <row r="269">
      <c r="A269" s="13" t="s">
        <v>1088</v>
      </c>
      <c r="B269" s="13" t="s">
        <v>6955</v>
      </c>
      <c r="C269" s="13" t="s">
        <v>6956</v>
      </c>
      <c r="D269" s="13" t="s">
        <v>6957</v>
      </c>
      <c r="E269" s="13" t="s">
        <v>6958</v>
      </c>
      <c r="F269" s="13" t="s">
        <v>6959</v>
      </c>
      <c r="G269" s="14" t="s">
        <v>6960</v>
      </c>
    </row>
    <row r="270">
      <c r="A270" s="13" t="s">
        <v>1092</v>
      </c>
      <c r="B270" s="13" t="s">
        <v>6961</v>
      </c>
      <c r="C270" s="13" t="s">
        <v>6962</v>
      </c>
      <c r="D270" s="13" t="s">
        <v>6963</v>
      </c>
      <c r="E270" s="13" t="s">
        <v>6964</v>
      </c>
      <c r="F270" s="13" t="s">
        <v>6965</v>
      </c>
      <c r="G270" s="14" t="s">
        <v>6966</v>
      </c>
    </row>
    <row r="271">
      <c r="A271" s="13" t="s">
        <v>1097</v>
      </c>
      <c r="B271" s="13" t="s">
        <v>6967</v>
      </c>
      <c r="C271" s="13" t="s">
        <v>6968</v>
      </c>
      <c r="D271" s="13" t="s">
        <v>6969</v>
      </c>
      <c r="E271" s="13" t="s">
        <v>6970</v>
      </c>
      <c r="F271" s="13" t="s">
        <v>6971</v>
      </c>
      <c r="G271" s="14" t="s">
        <v>6972</v>
      </c>
    </row>
    <row r="272">
      <c r="A272" s="13" t="s">
        <v>1102</v>
      </c>
      <c r="B272" s="13" t="s">
        <v>6500</v>
      </c>
      <c r="C272" s="13" t="s">
        <v>6501</v>
      </c>
      <c r="D272" s="13" t="s">
        <v>6502</v>
      </c>
      <c r="E272" s="13" t="s">
        <v>6503</v>
      </c>
      <c r="F272" s="13" t="s">
        <v>6504</v>
      </c>
      <c r="G272" s="14" t="s">
        <v>6973</v>
      </c>
    </row>
    <row r="273">
      <c r="A273" s="13" t="s">
        <v>1106</v>
      </c>
      <c r="B273" s="13" t="s">
        <v>6974</v>
      </c>
      <c r="C273" s="13" t="s">
        <v>6975</v>
      </c>
      <c r="D273" s="13" t="s">
        <v>6976</v>
      </c>
      <c r="E273" s="13" t="s">
        <v>6977</v>
      </c>
      <c r="F273" s="13" t="s">
        <v>6978</v>
      </c>
      <c r="G273" s="14" t="s">
        <v>6979</v>
      </c>
    </row>
    <row r="274">
      <c r="A274" s="13" t="s">
        <v>1110</v>
      </c>
      <c r="B274" s="13" t="s">
        <v>6181</v>
      </c>
      <c r="C274" s="13" t="s">
        <v>6182</v>
      </c>
      <c r="D274" s="13" t="s">
        <v>6183</v>
      </c>
      <c r="E274" s="13" t="s">
        <v>6184</v>
      </c>
      <c r="F274" s="13" t="s">
        <v>6185</v>
      </c>
      <c r="G274" s="14" t="s">
        <v>6980</v>
      </c>
    </row>
    <row r="275">
      <c r="A275" s="13" t="s">
        <v>1114</v>
      </c>
      <c r="B275" s="13" t="s">
        <v>6981</v>
      </c>
      <c r="C275" s="13" t="s">
        <v>6982</v>
      </c>
      <c r="D275" s="13" t="s">
        <v>6983</v>
      </c>
      <c r="E275" s="13" t="s">
        <v>6984</v>
      </c>
      <c r="F275" s="13" t="s">
        <v>6985</v>
      </c>
      <c r="G275" s="14" t="s">
        <v>6986</v>
      </c>
    </row>
    <row r="276">
      <c r="A276" s="13" t="s">
        <v>1118</v>
      </c>
      <c r="B276" s="13" t="s">
        <v>6987</v>
      </c>
      <c r="C276" s="13" t="s">
        <v>6988</v>
      </c>
      <c r="D276" s="13" t="s">
        <v>6989</v>
      </c>
      <c r="E276" s="13" t="s">
        <v>6990</v>
      </c>
      <c r="F276" s="13" t="s">
        <v>6991</v>
      </c>
      <c r="G276" s="14" t="s">
        <v>6992</v>
      </c>
    </row>
    <row r="277">
      <c r="A277" s="13" t="s">
        <v>1122</v>
      </c>
      <c r="B277" s="13" t="s">
        <v>6993</v>
      </c>
      <c r="C277" s="13" t="s">
        <v>6994</v>
      </c>
      <c r="D277" s="13" t="s">
        <v>6995</v>
      </c>
      <c r="E277" s="13" t="s">
        <v>6996</v>
      </c>
      <c r="F277" s="13" t="s">
        <v>6997</v>
      </c>
      <c r="G277" s="14" t="s">
        <v>6998</v>
      </c>
    </row>
    <row r="278">
      <c r="A278" s="13" t="s">
        <v>1126</v>
      </c>
      <c r="B278" s="13" t="s">
        <v>6000</v>
      </c>
      <c r="C278" s="13" t="s">
        <v>6001</v>
      </c>
      <c r="D278" s="13" t="s">
        <v>6002</v>
      </c>
      <c r="E278" s="13" t="s">
        <v>6003</v>
      </c>
      <c r="F278" s="13" t="s">
        <v>6004</v>
      </c>
      <c r="G278" s="14" t="s">
        <v>6999</v>
      </c>
    </row>
    <row r="279">
      <c r="A279" s="13" t="s">
        <v>1130</v>
      </c>
      <c r="B279" s="13" t="s">
        <v>7000</v>
      </c>
      <c r="C279" s="13" t="s">
        <v>7001</v>
      </c>
      <c r="D279" s="13" t="s">
        <v>7002</v>
      </c>
      <c r="E279" s="13" t="s">
        <v>7003</v>
      </c>
      <c r="F279" s="13" t="s">
        <v>7004</v>
      </c>
      <c r="G279" s="14" t="s">
        <v>7005</v>
      </c>
    </row>
    <row r="280">
      <c r="A280" s="13" t="s">
        <v>1134</v>
      </c>
      <c r="B280" s="13" t="s">
        <v>5769</v>
      </c>
      <c r="C280" s="13" t="s">
        <v>5770</v>
      </c>
      <c r="D280" s="13" t="s">
        <v>5771</v>
      </c>
      <c r="E280" s="13" t="s">
        <v>5772</v>
      </c>
      <c r="F280" s="13" t="s">
        <v>6204</v>
      </c>
      <c r="G280" s="14" t="s">
        <v>7006</v>
      </c>
    </row>
    <row r="281">
      <c r="A281" s="13" t="s">
        <v>1138</v>
      </c>
      <c r="B281" s="13" t="s">
        <v>7007</v>
      </c>
      <c r="C281" s="13" t="s">
        <v>7008</v>
      </c>
      <c r="D281" s="13" t="s">
        <v>7009</v>
      </c>
      <c r="E281" s="13" t="s">
        <v>7010</v>
      </c>
      <c r="F281" s="13" t="s">
        <v>7011</v>
      </c>
      <c r="G281" s="14" t="s">
        <v>7012</v>
      </c>
    </row>
    <row r="282">
      <c r="A282" s="13" t="s">
        <v>1142</v>
      </c>
      <c r="B282" s="13" t="s">
        <v>7013</v>
      </c>
      <c r="C282" s="13" t="s">
        <v>7014</v>
      </c>
      <c r="D282" s="13" t="s">
        <v>7015</v>
      </c>
      <c r="E282" s="13" t="s">
        <v>7016</v>
      </c>
      <c r="F282" s="13" t="s">
        <v>7017</v>
      </c>
      <c r="G282" s="14" t="s">
        <v>7018</v>
      </c>
    </row>
    <row r="283">
      <c r="A283" s="13" t="s">
        <v>1146</v>
      </c>
      <c r="B283" s="13" t="s">
        <v>7019</v>
      </c>
      <c r="C283" s="13" t="s">
        <v>7020</v>
      </c>
      <c r="D283" s="13" t="s">
        <v>7021</v>
      </c>
      <c r="E283" s="13" t="s">
        <v>7022</v>
      </c>
      <c r="F283" s="13" t="s">
        <v>7023</v>
      </c>
      <c r="G283" s="14" t="s">
        <v>7024</v>
      </c>
    </row>
    <row r="284">
      <c r="A284" s="13" t="s">
        <v>1150</v>
      </c>
      <c r="B284" s="13" t="s">
        <v>7025</v>
      </c>
      <c r="C284" s="13" t="s">
        <v>7026</v>
      </c>
      <c r="D284" s="13" t="s">
        <v>7027</v>
      </c>
      <c r="E284" s="13" t="s">
        <v>7028</v>
      </c>
      <c r="F284" s="13" t="s">
        <v>7029</v>
      </c>
      <c r="G284" s="14" t="s">
        <v>7030</v>
      </c>
    </row>
    <row r="285">
      <c r="A285" s="13" t="s">
        <v>1154</v>
      </c>
      <c r="B285" s="13" t="s">
        <v>6352</v>
      </c>
      <c r="C285" s="13" t="s">
        <v>6353</v>
      </c>
      <c r="D285" s="13" t="s">
        <v>6354</v>
      </c>
      <c r="E285" s="13" t="s">
        <v>6355</v>
      </c>
      <c r="F285" s="13" t="s">
        <v>6356</v>
      </c>
      <c r="G285" s="14" t="s">
        <v>7031</v>
      </c>
    </row>
    <row r="286">
      <c r="A286" s="13" t="s">
        <v>1157</v>
      </c>
      <c r="B286" s="13" t="s">
        <v>7032</v>
      </c>
      <c r="C286" s="13" t="s">
        <v>7033</v>
      </c>
      <c r="D286" s="13" t="s">
        <v>7034</v>
      </c>
      <c r="E286" s="13" t="s">
        <v>7035</v>
      </c>
      <c r="F286" s="13" t="s">
        <v>7036</v>
      </c>
      <c r="G286" s="14" t="s">
        <v>7037</v>
      </c>
    </row>
    <row r="287">
      <c r="A287" s="13" t="s">
        <v>1161</v>
      </c>
      <c r="B287" s="13" t="s">
        <v>5872</v>
      </c>
      <c r="C287" s="13" t="s">
        <v>5873</v>
      </c>
      <c r="D287" s="13" t="s">
        <v>5874</v>
      </c>
      <c r="E287" s="13" t="s">
        <v>5875</v>
      </c>
      <c r="F287" s="13" t="s">
        <v>7038</v>
      </c>
      <c r="G287" s="14" t="s">
        <v>7039</v>
      </c>
    </row>
    <row r="288">
      <c r="A288" s="13" t="s">
        <v>1164</v>
      </c>
      <c r="B288" s="13" t="s">
        <v>7040</v>
      </c>
      <c r="C288" s="13" t="s">
        <v>7041</v>
      </c>
      <c r="D288" s="13" t="s">
        <v>7042</v>
      </c>
      <c r="E288" s="13" t="s">
        <v>7043</v>
      </c>
      <c r="F288" s="13" t="s">
        <v>7044</v>
      </c>
      <c r="G288" s="14" t="s">
        <v>7045</v>
      </c>
    </row>
    <row r="289">
      <c r="A289" s="13" t="s">
        <v>1168</v>
      </c>
      <c r="B289" s="13" t="s">
        <v>7046</v>
      </c>
      <c r="C289" s="13" t="s">
        <v>7047</v>
      </c>
      <c r="D289" s="13" t="s">
        <v>7048</v>
      </c>
      <c r="E289" s="13" t="s">
        <v>7049</v>
      </c>
      <c r="F289" s="13" t="s">
        <v>7050</v>
      </c>
      <c r="G289" s="14" t="s">
        <v>7051</v>
      </c>
    </row>
    <row r="290">
      <c r="A290" s="13" t="s">
        <v>1172</v>
      </c>
      <c r="B290" s="13" t="s">
        <v>7052</v>
      </c>
      <c r="C290" s="13" t="s">
        <v>7053</v>
      </c>
      <c r="D290" s="13" t="s">
        <v>7054</v>
      </c>
      <c r="E290" s="13" t="s">
        <v>7055</v>
      </c>
      <c r="F290" s="13" t="s">
        <v>7056</v>
      </c>
      <c r="G290" s="14" t="s">
        <v>7057</v>
      </c>
    </row>
    <row r="291">
      <c r="A291" s="13" t="s">
        <v>1176</v>
      </c>
      <c r="B291" s="13" t="s">
        <v>6567</v>
      </c>
      <c r="C291" s="13" t="s">
        <v>6568</v>
      </c>
      <c r="D291" s="13" t="s">
        <v>6569</v>
      </c>
      <c r="E291" s="13" t="s">
        <v>6570</v>
      </c>
      <c r="F291" s="13" t="s">
        <v>6571</v>
      </c>
      <c r="G291" s="14" t="s">
        <v>7058</v>
      </c>
    </row>
    <row r="292">
      <c r="A292" s="13" t="s">
        <v>1180</v>
      </c>
      <c r="B292" s="13" t="s">
        <v>7059</v>
      </c>
      <c r="C292" s="13" t="s">
        <v>7060</v>
      </c>
      <c r="D292" s="13" t="s">
        <v>7061</v>
      </c>
      <c r="E292" s="13" t="s">
        <v>7062</v>
      </c>
      <c r="F292" s="13" t="s">
        <v>7063</v>
      </c>
      <c r="G292" s="14" t="s">
        <v>7064</v>
      </c>
    </row>
    <row r="293">
      <c r="A293" s="13" t="s">
        <v>1183</v>
      </c>
      <c r="B293" s="13" t="s">
        <v>7065</v>
      </c>
      <c r="C293" s="13" t="s">
        <v>7066</v>
      </c>
      <c r="D293" s="13" t="s">
        <v>7067</v>
      </c>
      <c r="E293" s="13" t="s">
        <v>7068</v>
      </c>
      <c r="F293" s="13" t="s">
        <v>7069</v>
      </c>
      <c r="G293" s="14" t="s">
        <v>7070</v>
      </c>
    </row>
    <row r="294">
      <c r="A294" s="13" t="s">
        <v>1187</v>
      </c>
      <c r="B294" s="13" t="s">
        <v>7071</v>
      </c>
      <c r="C294" s="13" t="s">
        <v>7072</v>
      </c>
      <c r="D294" s="13" t="s">
        <v>7073</v>
      </c>
      <c r="E294" s="13" t="s">
        <v>7074</v>
      </c>
      <c r="F294" s="13" t="s">
        <v>7075</v>
      </c>
      <c r="G294" s="14" t="s">
        <v>7076</v>
      </c>
    </row>
    <row r="295">
      <c r="A295" s="13" t="s">
        <v>1191</v>
      </c>
      <c r="B295" s="13" t="s">
        <v>7077</v>
      </c>
      <c r="C295" s="13" t="s">
        <v>7078</v>
      </c>
      <c r="D295" s="13" t="s">
        <v>7079</v>
      </c>
      <c r="E295" s="13" t="s">
        <v>7080</v>
      </c>
      <c r="F295" s="13" t="s">
        <v>7081</v>
      </c>
      <c r="G295" s="14" t="s">
        <v>7082</v>
      </c>
    </row>
    <row r="296">
      <c r="A296" s="13" t="s">
        <v>1195</v>
      </c>
      <c r="B296" s="13" t="s">
        <v>7083</v>
      </c>
      <c r="C296" s="13" t="s">
        <v>7084</v>
      </c>
      <c r="D296" s="13" t="s">
        <v>7085</v>
      </c>
      <c r="E296" s="13" t="s">
        <v>7086</v>
      </c>
      <c r="F296" s="13" t="s">
        <v>7087</v>
      </c>
      <c r="G296" s="14" t="s">
        <v>7088</v>
      </c>
    </row>
    <row r="297">
      <c r="A297" s="13" t="s">
        <v>1199</v>
      </c>
      <c r="B297" s="13" t="s">
        <v>7089</v>
      </c>
      <c r="C297" s="13" t="s">
        <v>7090</v>
      </c>
      <c r="D297" s="13" t="s">
        <v>7091</v>
      </c>
      <c r="E297" s="13" t="s">
        <v>7092</v>
      </c>
      <c r="F297" s="13" t="s">
        <v>7093</v>
      </c>
      <c r="G297" s="14" t="s">
        <v>7094</v>
      </c>
    </row>
    <row r="298">
      <c r="A298" s="13" t="s">
        <v>1203</v>
      </c>
      <c r="B298" s="13" t="s">
        <v>6863</v>
      </c>
      <c r="C298" s="13" t="s">
        <v>6864</v>
      </c>
      <c r="D298" s="13" t="s">
        <v>6865</v>
      </c>
      <c r="E298" s="13" t="s">
        <v>6866</v>
      </c>
      <c r="F298" s="13" t="s">
        <v>6867</v>
      </c>
      <c r="G298" s="14" t="s">
        <v>6868</v>
      </c>
    </row>
    <row r="299">
      <c r="A299" s="13" t="s">
        <v>1205</v>
      </c>
      <c r="B299" s="13" t="s">
        <v>7095</v>
      </c>
      <c r="C299" s="13" t="s">
        <v>7096</v>
      </c>
      <c r="D299" s="13" t="s">
        <v>7097</v>
      </c>
      <c r="E299" s="13" t="s">
        <v>7098</v>
      </c>
      <c r="F299" s="13" t="s">
        <v>7099</v>
      </c>
      <c r="G299" s="14" t="s">
        <v>7100</v>
      </c>
    </row>
    <row r="300">
      <c r="A300" s="13" t="s">
        <v>1209</v>
      </c>
      <c r="B300" s="13" t="s">
        <v>7101</v>
      </c>
      <c r="C300" s="13" t="s">
        <v>7102</v>
      </c>
      <c r="D300" s="13" t="s">
        <v>7103</v>
      </c>
      <c r="E300" s="13" t="s">
        <v>7104</v>
      </c>
      <c r="F300" s="13" t="s">
        <v>7105</v>
      </c>
      <c r="G300" s="14" t="s">
        <v>7106</v>
      </c>
    </row>
    <row r="301">
      <c r="A301" s="13" t="s">
        <v>1213</v>
      </c>
      <c r="B301" s="13" t="s">
        <v>7107</v>
      </c>
      <c r="C301" s="13" t="s">
        <v>7108</v>
      </c>
      <c r="D301" s="13" t="s">
        <v>7109</v>
      </c>
      <c r="E301" s="13" t="s">
        <v>7110</v>
      </c>
      <c r="F301" s="13" t="s">
        <v>7111</v>
      </c>
      <c r="G301" s="14" t="s">
        <v>7112</v>
      </c>
    </row>
    <row r="302">
      <c r="A302" s="13" t="s">
        <v>1217</v>
      </c>
      <c r="B302" s="13" t="s">
        <v>7113</v>
      </c>
      <c r="C302" s="13" t="s">
        <v>7114</v>
      </c>
      <c r="D302" s="13" t="s">
        <v>7115</v>
      </c>
      <c r="E302" s="13" t="s">
        <v>7116</v>
      </c>
      <c r="F302" s="13" t="s">
        <v>7117</v>
      </c>
      <c r="G302" s="14" t="s">
        <v>7118</v>
      </c>
    </row>
    <row r="303">
      <c r="A303" s="13" t="s">
        <v>1221</v>
      </c>
      <c r="B303" s="13" t="s">
        <v>5818</v>
      </c>
      <c r="C303" s="13" t="s">
        <v>5819</v>
      </c>
      <c r="D303" s="13" t="s">
        <v>5820</v>
      </c>
      <c r="E303" s="13" t="s">
        <v>5821</v>
      </c>
      <c r="F303" s="13" t="s">
        <v>5822</v>
      </c>
      <c r="G303" s="14" t="s">
        <v>7119</v>
      </c>
    </row>
    <row r="304">
      <c r="A304" s="13" t="s">
        <v>1225</v>
      </c>
      <c r="B304" s="13" t="s">
        <v>7120</v>
      </c>
      <c r="C304" s="13" t="s">
        <v>7121</v>
      </c>
      <c r="D304" s="13" t="s">
        <v>7122</v>
      </c>
      <c r="E304" s="13" t="s">
        <v>7123</v>
      </c>
      <c r="F304" s="13" t="s">
        <v>7124</v>
      </c>
      <c r="G304" s="14" t="s">
        <v>7125</v>
      </c>
    </row>
    <row r="305">
      <c r="A305" s="13" t="s">
        <v>1229</v>
      </c>
      <c r="B305" s="13" t="s">
        <v>7126</v>
      </c>
      <c r="C305" s="13" t="s">
        <v>7127</v>
      </c>
      <c r="D305" s="13" t="s">
        <v>7128</v>
      </c>
      <c r="E305" s="13" t="s">
        <v>7129</v>
      </c>
      <c r="F305" s="13" t="s">
        <v>7130</v>
      </c>
      <c r="G305" s="14" t="s">
        <v>7131</v>
      </c>
    </row>
    <row r="306">
      <c r="A306" s="13" t="s">
        <v>1233</v>
      </c>
      <c r="B306" s="13" t="s">
        <v>7132</v>
      </c>
      <c r="C306" s="13" t="s">
        <v>7133</v>
      </c>
      <c r="D306" s="13" t="s">
        <v>7134</v>
      </c>
      <c r="E306" s="13" t="s">
        <v>7135</v>
      </c>
      <c r="F306" s="13" t="s">
        <v>7136</v>
      </c>
      <c r="G306" s="14" t="s">
        <v>7137</v>
      </c>
    </row>
    <row r="307">
      <c r="A307" s="13" t="s">
        <v>1237</v>
      </c>
      <c r="B307" s="13" t="s">
        <v>7138</v>
      </c>
      <c r="C307" s="13" t="s">
        <v>7139</v>
      </c>
      <c r="D307" s="13" t="s">
        <v>7140</v>
      </c>
      <c r="E307" s="13" t="s">
        <v>7141</v>
      </c>
      <c r="F307" s="13" t="s">
        <v>7142</v>
      </c>
      <c r="G307" s="14" t="s">
        <v>7070</v>
      </c>
    </row>
    <row r="308">
      <c r="A308" s="13" t="s">
        <v>1241</v>
      </c>
      <c r="B308" s="13" t="s">
        <v>7143</v>
      </c>
      <c r="C308" s="13" t="s">
        <v>7144</v>
      </c>
      <c r="D308" s="13" t="s">
        <v>7145</v>
      </c>
      <c r="E308" s="13" t="s">
        <v>7146</v>
      </c>
      <c r="F308" s="13" t="s">
        <v>7147</v>
      </c>
      <c r="G308" s="14" t="s">
        <v>7148</v>
      </c>
    </row>
    <row r="309">
      <c r="A309" s="13" t="s">
        <v>1245</v>
      </c>
      <c r="B309" s="13" t="s">
        <v>7149</v>
      </c>
      <c r="C309" s="13" t="s">
        <v>7150</v>
      </c>
      <c r="D309" s="13" t="s">
        <v>7151</v>
      </c>
      <c r="E309" s="13" t="s">
        <v>7152</v>
      </c>
      <c r="F309" s="13" t="s">
        <v>7153</v>
      </c>
      <c r="G309" s="14" t="s">
        <v>7154</v>
      </c>
    </row>
    <row r="310">
      <c r="A310" s="13" t="s">
        <v>1249</v>
      </c>
      <c r="B310" s="13" t="s">
        <v>7155</v>
      </c>
      <c r="C310" s="13" t="s">
        <v>7156</v>
      </c>
      <c r="D310" s="13" t="s">
        <v>7157</v>
      </c>
      <c r="E310" s="13" t="s">
        <v>7158</v>
      </c>
      <c r="F310" s="13" t="s">
        <v>7159</v>
      </c>
      <c r="G310" s="14" t="s">
        <v>7160</v>
      </c>
    </row>
    <row r="311">
      <c r="A311" s="13" t="s">
        <v>1253</v>
      </c>
      <c r="B311" s="13" t="s">
        <v>7161</v>
      </c>
      <c r="C311" s="13" t="s">
        <v>7162</v>
      </c>
      <c r="D311" s="13" t="s">
        <v>7163</v>
      </c>
      <c r="E311" s="13" t="s">
        <v>7164</v>
      </c>
      <c r="F311" s="13" t="s">
        <v>7165</v>
      </c>
      <c r="G311" s="14" t="s">
        <v>7166</v>
      </c>
    </row>
    <row r="312">
      <c r="A312" s="13" t="s">
        <v>1257</v>
      </c>
      <c r="B312" s="13" t="s">
        <v>5769</v>
      </c>
      <c r="C312" s="13" t="s">
        <v>5770</v>
      </c>
      <c r="D312" s="13" t="s">
        <v>5771</v>
      </c>
      <c r="E312" s="13" t="s">
        <v>5772</v>
      </c>
      <c r="F312" s="13" t="s">
        <v>5773</v>
      </c>
      <c r="G312" s="14" t="s">
        <v>7167</v>
      </c>
    </row>
    <row r="313">
      <c r="A313" s="13" t="s">
        <v>1261</v>
      </c>
      <c r="B313" s="13" t="s">
        <v>7168</v>
      </c>
      <c r="C313" s="13" t="s">
        <v>7169</v>
      </c>
      <c r="D313" s="13" t="s">
        <v>7170</v>
      </c>
      <c r="E313" s="13" t="s">
        <v>7171</v>
      </c>
      <c r="F313" s="13" t="s">
        <v>7172</v>
      </c>
      <c r="G313" s="14" t="s">
        <v>7173</v>
      </c>
    </row>
    <row r="314">
      <c r="A314" s="13" t="s">
        <v>1265</v>
      </c>
      <c r="B314" s="13" t="s">
        <v>7174</v>
      </c>
      <c r="C314" s="13" t="s">
        <v>7175</v>
      </c>
      <c r="D314" s="13" t="s">
        <v>7176</v>
      </c>
      <c r="E314" s="13" t="s">
        <v>7177</v>
      </c>
      <c r="F314" s="13" t="s">
        <v>7178</v>
      </c>
      <c r="G314" s="14" t="s">
        <v>7179</v>
      </c>
    </row>
    <row r="315">
      <c r="A315" s="13" t="s">
        <v>1270</v>
      </c>
      <c r="B315" s="13" t="s">
        <v>7180</v>
      </c>
      <c r="C315" s="13" t="s">
        <v>7181</v>
      </c>
      <c r="D315" s="13" t="s">
        <v>7182</v>
      </c>
      <c r="E315" s="13" t="s">
        <v>7183</v>
      </c>
      <c r="F315" s="13" t="s">
        <v>7184</v>
      </c>
      <c r="G315" s="14" t="s">
        <v>7185</v>
      </c>
    </row>
    <row r="316">
      <c r="A316" s="13" t="s">
        <v>1274</v>
      </c>
      <c r="B316" s="13" t="s">
        <v>7186</v>
      </c>
      <c r="C316" s="13" t="s">
        <v>7187</v>
      </c>
      <c r="D316" s="13" t="s">
        <v>7188</v>
      </c>
      <c r="E316" s="13" t="s">
        <v>7189</v>
      </c>
      <c r="F316" s="13" t="s">
        <v>7190</v>
      </c>
      <c r="G316" s="14" t="s">
        <v>7191</v>
      </c>
    </row>
    <row r="317">
      <c r="A317" s="13" t="s">
        <v>1278</v>
      </c>
      <c r="B317" s="13" t="s">
        <v>7192</v>
      </c>
      <c r="C317" s="13" t="s">
        <v>7193</v>
      </c>
      <c r="D317" s="13" t="s">
        <v>7194</v>
      </c>
      <c r="E317" s="13" t="s">
        <v>7195</v>
      </c>
      <c r="F317" s="13" t="s">
        <v>7196</v>
      </c>
      <c r="G317" s="14" t="s">
        <v>7197</v>
      </c>
    </row>
    <row r="318">
      <c r="A318" s="13" t="s">
        <v>1282</v>
      </c>
      <c r="B318" s="13" t="s">
        <v>7198</v>
      </c>
      <c r="C318" s="13" t="s">
        <v>7199</v>
      </c>
      <c r="D318" s="13" t="s">
        <v>7200</v>
      </c>
      <c r="E318" s="13" t="s">
        <v>7201</v>
      </c>
      <c r="F318" s="13" t="s">
        <v>7202</v>
      </c>
      <c r="G318" s="14" t="s">
        <v>7203</v>
      </c>
    </row>
    <row r="319">
      <c r="A319" s="13" t="s">
        <v>1286</v>
      </c>
      <c r="B319" s="13" t="s">
        <v>7204</v>
      </c>
      <c r="C319" s="13" t="s">
        <v>7205</v>
      </c>
      <c r="D319" s="13" t="s">
        <v>7206</v>
      </c>
      <c r="E319" s="13" t="s">
        <v>7207</v>
      </c>
      <c r="F319" s="13" t="s">
        <v>7208</v>
      </c>
      <c r="G319" s="14" t="s">
        <v>7209</v>
      </c>
    </row>
    <row r="320">
      <c r="A320" s="13" t="s">
        <v>1290</v>
      </c>
      <c r="B320" s="13" t="s">
        <v>7210</v>
      </c>
      <c r="C320" s="13" t="s">
        <v>7211</v>
      </c>
      <c r="D320" s="13" t="s">
        <v>7212</v>
      </c>
      <c r="E320" s="13" t="s">
        <v>7213</v>
      </c>
      <c r="F320" s="13" t="s">
        <v>7214</v>
      </c>
      <c r="G320" s="14" t="s">
        <v>7215</v>
      </c>
    </row>
    <row r="321">
      <c r="A321" s="13" t="s">
        <v>1294</v>
      </c>
      <c r="B321" s="13" t="s">
        <v>7216</v>
      </c>
      <c r="C321" s="13" t="s">
        <v>7217</v>
      </c>
      <c r="D321" s="13" t="s">
        <v>7218</v>
      </c>
      <c r="E321" s="13" t="s">
        <v>7219</v>
      </c>
      <c r="F321" s="13" t="s">
        <v>7220</v>
      </c>
      <c r="G321" s="14" t="s">
        <v>7221</v>
      </c>
    </row>
    <row r="322">
      <c r="A322" s="13" t="s">
        <v>1298</v>
      </c>
      <c r="B322" s="13" t="s">
        <v>7222</v>
      </c>
      <c r="C322" s="13" t="s">
        <v>7223</v>
      </c>
      <c r="D322" s="13" t="s">
        <v>7224</v>
      </c>
      <c r="E322" s="13" t="s">
        <v>7225</v>
      </c>
      <c r="F322" s="13" t="s">
        <v>7226</v>
      </c>
      <c r="G322" s="14" t="s">
        <v>7227</v>
      </c>
    </row>
    <row r="323">
      <c r="A323" s="13" t="s">
        <v>1302</v>
      </c>
      <c r="B323" s="13" t="s">
        <v>7228</v>
      </c>
      <c r="C323" s="13" t="s">
        <v>7229</v>
      </c>
      <c r="D323" s="13" t="s">
        <v>7230</v>
      </c>
      <c r="E323" s="13" t="s">
        <v>7231</v>
      </c>
      <c r="F323" s="13" t="s">
        <v>7232</v>
      </c>
      <c r="G323" s="14" t="s">
        <v>7233</v>
      </c>
    </row>
    <row r="324">
      <c r="A324" s="13" t="s">
        <v>1306</v>
      </c>
      <c r="B324" s="13" t="s">
        <v>7234</v>
      </c>
      <c r="C324" s="13" t="s">
        <v>7235</v>
      </c>
      <c r="D324" s="13" t="s">
        <v>7236</v>
      </c>
      <c r="E324" s="13" t="s">
        <v>7237</v>
      </c>
      <c r="F324" s="13" t="s">
        <v>7238</v>
      </c>
      <c r="G324" s="14" t="s">
        <v>7239</v>
      </c>
    </row>
    <row r="325">
      <c r="A325" s="13" t="s">
        <v>1310</v>
      </c>
      <c r="B325" s="13" t="s">
        <v>7240</v>
      </c>
      <c r="C325" s="13" t="s">
        <v>7241</v>
      </c>
      <c r="D325" s="13" t="s">
        <v>7242</v>
      </c>
      <c r="E325" s="13" t="s">
        <v>7243</v>
      </c>
      <c r="F325" s="13" t="s">
        <v>7244</v>
      </c>
      <c r="G325" s="14" t="s">
        <v>7245</v>
      </c>
    </row>
    <row r="326">
      <c r="A326" s="13" t="s">
        <v>1314</v>
      </c>
      <c r="B326" s="13" t="s">
        <v>7246</v>
      </c>
      <c r="C326" s="13" t="s">
        <v>7247</v>
      </c>
      <c r="D326" s="13" t="s">
        <v>7248</v>
      </c>
      <c r="E326" s="13" t="s">
        <v>7249</v>
      </c>
      <c r="F326" s="13" t="s">
        <v>7250</v>
      </c>
      <c r="G326" s="14" t="s">
        <v>7251</v>
      </c>
    </row>
    <row r="327">
      <c r="A327" s="13" t="s">
        <v>1318</v>
      </c>
      <c r="B327" s="13" t="s">
        <v>6721</v>
      </c>
      <c r="C327" s="13" t="s">
        <v>6722</v>
      </c>
      <c r="D327" s="13" t="s">
        <v>6723</v>
      </c>
      <c r="E327" s="13" t="s">
        <v>6724</v>
      </c>
      <c r="F327" s="13" t="s">
        <v>6725</v>
      </c>
      <c r="G327" s="14" t="s">
        <v>7252</v>
      </c>
    </row>
    <row r="328">
      <c r="A328" s="13" t="s">
        <v>1322</v>
      </c>
      <c r="B328" s="13" t="s">
        <v>7253</v>
      </c>
      <c r="C328" s="13" t="s">
        <v>7254</v>
      </c>
      <c r="D328" s="13" t="s">
        <v>7255</v>
      </c>
      <c r="E328" s="13" t="s">
        <v>7256</v>
      </c>
      <c r="F328" s="13" t="s">
        <v>7257</v>
      </c>
      <c r="G328" s="14" t="s">
        <v>7258</v>
      </c>
    </row>
    <row r="329">
      <c r="A329" s="13" t="s">
        <v>1326</v>
      </c>
      <c r="B329" s="13" t="s">
        <v>7143</v>
      </c>
      <c r="C329" s="13" t="s">
        <v>7144</v>
      </c>
      <c r="D329" s="13" t="s">
        <v>7145</v>
      </c>
      <c r="E329" s="13" t="s">
        <v>7146</v>
      </c>
      <c r="F329" s="13" t="s">
        <v>7147</v>
      </c>
      <c r="G329" s="14" t="s">
        <v>7259</v>
      </c>
    </row>
    <row r="330">
      <c r="A330" s="13" t="s">
        <v>1330</v>
      </c>
      <c r="B330" s="13" t="s">
        <v>7186</v>
      </c>
      <c r="C330" s="13" t="s">
        <v>7187</v>
      </c>
      <c r="D330" s="13" t="s">
        <v>7188</v>
      </c>
      <c r="E330" s="13" t="s">
        <v>7189</v>
      </c>
      <c r="F330" s="13" t="s">
        <v>7190</v>
      </c>
      <c r="G330" s="14" t="s">
        <v>7260</v>
      </c>
    </row>
    <row r="331">
      <c r="A331" s="13" t="s">
        <v>1334</v>
      </c>
      <c r="B331" s="13" t="s">
        <v>7261</v>
      </c>
      <c r="C331" s="13" t="s">
        <v>7262</v>
      </c>
      <c r="D331" s="13" t="s">
        <v>7263</v>
      </c>
      <c r="E331" s="13" t="s">
        <v>7264</v>
      </c>
      <c r="F331" s="13" t="s">
        <v>7265</v>
      </c>
      <c r="G331" s="14" t="s">
        <v>7266</v>
      </c>
    </row>
    <row r="332">
      <c r="A332" s="13" t="s">
        <v>1338</v>
      </c>
      <c r="B332" s="13" t="s">
        <v>7267</v>
      </c>
      <c r="C332" s="13" t="s">
        <v>7268</v>
      </c>
      <c r="D332" s="13" t="s">
        <v>7269</v>
      </c>
      <c r="E332" s="13" t="s">
        <v>7270</v>
      </c>
      <c r="F332" s="13" t="s">
        <v>7271</v>
      </c>
      <c r="G332" s="14" t="s">
        <v>7272</v>
      </c>
    </row>
    <row r="333">
      <c r="A333" s="13" t="s">
        <v>1342</v>
      </c>
      <c r="B333" s="13" t="s">
        <v>7273</v>
      </c>
      <c r="C333" s="13" t="s">
        <v>7274</v>
      </c>
      <c r="D333" s="13" t="s">
        <v>7275</v>
      </c>
      <c r="E333" s="13" t="s">
        <v>7276</v>
      </c>
      <c r="F333" s="13" t="s">
        <v>7277</v>
      </c>
      <c r="G333" s="14" t="s">
        <v>7278</v>
      </c>
    </row>
    <row r="334">
      <c r="A334" s="13" t="s">
        <v>1346</v>
      </c>
      <c r="B334" s="13" t="s">
        <v>7279</v>
      </c>
      <c r="C334" s="13" t="s">
        <v>7280</v>
      </c>
      <c r="D334" s="13" t="s">
        <v>7281</v>
      </c>
      <c r="E334" s="13" t="s">
        <v>7282</v>
      </c>
      <c r="F334" s="13" t="s">
        <v>7283</v>
      </c>
      <c r="G334" s="14" t="s">
        <v>7284</v>
      </c>
    </row>
    <row r="335">
      <c r="A335" s="13" t="s">
        <v>1350</v>
      </c>
      <c r="B335" s="13" t="s">
        <v>7285</v>
      </c>
      <c r="C335" s="13" t="s">
        <v>7286</v>
      </c>
      <c r="D335" s="13" t="s">
        <v>7287</v>
      </c>
      <c r="E335" s="13" t="s">
        <v>7288</v>
      </c>
      <c r="F335" s="13" t="s">
        <v>7289</v>
      </c>
      <c r="G335" s="14" t="s">
        <v>7290</v>
      </c>
    </row>
    <row r="336">
      <c r="A336" s="13" t="s">
        <v>1354</v>
      </c>
      <c r="B336" s="13" t="s">
        <v>7291</v>
      </c>
      <c r="C336" s="13" t="s">
        <v>7292</v>
      </c>
      <c r="D336" s="13" t="s">
        <v>7293</v>
      </c>
      <c r="E336" s="13" t="s">
        <v>7294</v>
      </c>
      <c r="F336" s="13" t="s">
        <v>7295</v>
      </c>
      <c r="G336" s="14" t="s">
        <v>7296</v>
      </c>
    </row>
    <row r="337">
      <c r="A337" s="13" t="s">
        <v>1359</v>
      </c>
      <c r="B337" s="13" t="s">
        <v>7297</v>
      </c>
      <c r="C337" s="13" t="s">
        <v>7298</v>
      </c>
      <c r="D337" s="13" t="s">
        <v>7299</v>
      </c>
      <c r="E337" s="13" t="s">
        <v>7300</v>
      </c>
      <c r="F337" s="13" t="s">
        <v>7301</v>
      </c>
      <c r="G337" s="14" t="s">
        <v>7302</v>
      </c>
    </row>
    <row r="338">
      <c r="A338" s="13" t="s">
        <v>1363</v>
      </c>
      <c r="B338" s="13" t="s">
        <v>7303</v>
      </c>
      <c r="C338" s="13" t="s">
        <v>7304</v>
      </c>
      <c r="D338" s="13" t="s">
        <v>7305</v>
      </c>
      <c r="E338" s="13" t="s">
        <v>7306</v>
      </c>
      <c r="F338" s="13" t="s">
        <v>7307</v>
      </c>
      <c r="G338" s="14" t="s">
        <v>7308</v>
      </c>
    </row>
    <row r="339">
      <c r="A339" s="13" t="s">
        <v>1367</v>
      </c>
      <c r="B339" s="13" t="s">
        <v>7309</v>
      </c>
      <c r="C339" s="13" t="s">
        <v>7310</v>
      </c>
      <c r="D339" s="13" t="s">
        <v>7311</v>
      </c>
      <c r="E339" s="13" t="s">
        <v>7312</v>
      </c>
      <c r="F339" s="13" t="s">
        <v>7313</v>
      </c>
      <c r="G339" s="14" t="s">
        <v>7314</v>
      </c>
    </row>
    <row r="340">
      <c r="A340" s="13" t="s">
        <v>1372</v>
      </c>
      <c r="B340" s="13" t="s">
        <v>7315</v>
      </c>
      <c r="C340" s="13" t="s">
        <v>7316</v>
      </c>
      <c r="D340" s="13" t="s">
        <v>7317</v>
      </c>
      <c r="E340" s="13" t="s">
        <v>7318</v>
      </c>
      <c r="F340" s="13" t="s">
        <v>7319</v>
      </c>
      <c r="G340" s="14" t="s">
        <v>7320</v>
      </c>
    </row>
    <row r="341">
      <c r="A341" s="13" t="s">
        <v>1377</v>
      </c>
      <c r="B341" s="13" t="s">
        <v>7321</v>
      </c>
      <c r="C341" s="13" t="s">
        <v>7322</v>
      </c>
      <c r="D341" s="13" t="s">
        <v>7323</v>
      </c>
      <c r="E341" s="13" t="s">
        <v>7324</v>
      </c>
      <c r="F341" s="13" t="s">
        <v>7325</v>
      </c>
      <c r="G341" s="14" t="s">
        <v>7326</v>
      </c>
    </row>
    <row r="342">
      <c r="A342" s="13" t="s">
        <v>1381</v>
      </c>
      <c r="B342" s="13" t="s">
        <v>7321</v>
      </c>
      <c r="C342" s="13" t="s">
        <v>7322</v>
      </c>
      <c r="D342" s="13" t="s">
        <v>7323</v>
      </c>
      <c r="E342" s="13" t="s">
        <v>7324</v>
      </c>
      <c r="F342" s="13" t="s">
        <v>7325</v>
      </c>
      <c r="G342" s="14" t="s">
        <v>7327</v>
      </c>
    </row>
    <row r="343">
      <c r="A343" s="13" t="s">
        <v>1385</v>
      </c>
      <c r="B343" s="13" t="s">
        <v>7315</v>
      </c>
      <c r="C343" s="13" t="s">
        <v>7316</v>
      </c>
      <c r="D343" s="13" t="s">
        <v>7317</v>
      </c>
      <c r="E343" s="13" t="s">
        <v>7318</v>
      </c>
      <c r="F343" s="13" t="s">
        <v>7319</v>
      </c>
      <c r="G343" s="14" t="s">
        <v>7328</v>
      </c>
    </row>
    <row r="344">
      <c r="A344" s="13" t="s">
        <v>1388</v>
      </c>
      <c r="B344" s="13" t="s">
        <v>7315</v>
      </c>
      <c r="C344" s="13" t="s">
        <v>7316</v>
      </c>
      <c r="D344" s="13" t="s">
        <v>7317</v>
      </c>
      <c r="E344" s="13" t="s">
        <v>7318</v>
      </c>
      <c r="F344" s="13" t="s">
        <v>7319</v>
      </c>
      <c r="G344" s="14" t="s">
        <v>7329</v>
      </c>
    </row>
    <row r="345">
      <c r="A345" s="13" t="s">
        <v>1391</v>
      </c>
      <c r="B345" s="13" t="s">
        <v>7330</v>
      </c>
      <c r="C345" s="13" t="s">
        <v>7331</v>
      </c>
      <c r="D345" s="13" t="s">
        <v>7332</v>
      </c>
      <c r="E345" s="13" t="s">
        <v>7333</v>
      </c>
      <c r="F345" s="13" t="s">
        <v>7334</v>
      </c>
      <c r="G345" s="14" t="s">
        <v>7335</v>
      </c>
    </row>
    <row r="346">
      <c r="A346" s="13" t="s">
        <v>1396</v>
      </c>
      <c r="B346" s="13" t="s">
        <v>7336</v>
      </c>
      <c r="C346" s="13" t="s">
        <v>7337</v>
      </c>
      <c r="D346" s="13" t="s">
        <v>7338</v>
      </c>
      <c r="E346" s="13" t="s">
        <v>7339</v>
      </c>
      <c r="F346" s="13" t="s">
        <v>7340</v>
      </c>
      <c r="G346" s="14" t="s">
        <v>7341</v>
      </c>
    </row>
    <row r="347">
      <c r="A347" s="13" t="s">
        <v>1400</v>
      </c>
      <c r="B347" s="13" t="s">
        <v>7342</v>
      </c>
      <c r="C347" s="13" t="s">
        <v>7343</v>
      </c>
      <c r="D347" s="13" t="s">
        <v>7344</v>
      </c>
      <c r="E347" s="13" t="s">
        <v>7345</v>
      </c>
      <c r="F347" s="13" t="s">
        <v>7346</v>
      </c>
      <c r="G347" s="14" t="s">
        <v>7347</v>
      </c>
    </row>
    <row r="348">
      <c r="A348" s="13" t="s">
        <v>1405</v>
      </c>
      <c r="B348" s="13" t="s">
        <v>7348</v>
      </c>
      <c r="C348" s="13" t="s">
        <v>7349</v>
      </c>
      <c r="D348" s="13" t="s">
        <v>7350</v>
      </c>
      <c r="E348" s="13" t="s">
        <v>7351</v>
      </c>
      <c r="F348" s="13" t="s">
        <v>7352</v>
      </c>
      <c r="G348" s="14" t="s">
        <v>7353</v>
      </c>
    </row>
    <row r="349">
      <c r="A349" s="13" t="s">
        <v>1409</v>
      </c>
      <c r="B349" s="13" t="s">
        <v>7354</v>
      </c>
      <c r="C349" s="13" t="s">
        <v>7355</v>
      </c>
      <c r="D349" s="13" t="s">
        <v>7356</v>
      </c>
      <c r="E349" s="13" t="s">
        <v>7357</v>
      </c>
      <c r="F349" s="13" t="s">
        <v>7358</v>
      </c>
      <c r="G349" s="14" t="s">
        <v>7359</v>
      </c>
    </row>
    <row r="350">
      <c r="A350" s="13" t="s">
        <v>1414</v>
      </c>
      <c r="B350" s="13" t="s">
        <v>7360</v>
      </c>
      <c r="C350" s="13" t="s">
        <v>7361</v>
      </c>
      <c r="D350" s="13" t="s">
        <v>7362</v>
      </c>
      <c r="E350" s="13" t="s">
        <v>7363</v>
      </c>
      <c r="F350" s="13" t="s">
        <v>7364</v>
      </c>
      <c r="G350" s="14" t="s">
        <v>7365</v>
      </c>
    </row>
    <row r="351">
      <c r="A351" s="13" t="s">
        <v>1418</v>
      </c>
      <c r="B351" s="13" t="s">
        <v>7366</v>
      </c>
      <c r="C351" s="13" t="s">
        <v>7367</v>
      </c>
      <c r="D351" s="13" t="s">
        <v>7368</v>
      </c>
      <c r="E351" s="13" t="s">
        <v>7369</v>
      </c>
      <c r="F351" s="13" t="s">
        <v>7370</v>
      </c>
      <c r="G351" s="14" t="s">
        <v>7371</v>
      </c>
    </row>
    <row r="352">
      <c r="A352" s="13" t="s">
        <v>1422</v>
      </c>
      <c r="B352" s="13" t="s">
        <v>7372</v>
      </c>
      <c r="C352" s="13" t="s">
        <v>7373</v>
      </c>
      <c r="D352" s="13" t="s">
        <v>7374</v>
      </c>
      <c r="E352" s="13" t="s">
        <v>7375</v>
      </c>
      <c r="F352" s="13" t="s">
        <v>7376</v>
      </c>
      <c r="G352" s="14" t="s">
        <v>7377</v>
      </c>
    </row>
    <row r="353">
      <c r="A353" s="13" t="s">
        <v>1426</v>
      </c>
      <c r="B353" s="13" t="s">
        <v>7378</v>
      </c>
      <c r="C353" s="13" t="s">
        <v>7379</v>
      </c>
      <c r="D353" s="13" t="s">
        <v>7380</v>
      </c>
      <c r="E353" s="13" t="s">
        <v>7381</v>
      </c>
      <c r="F353" s="13" t="s">
        <v>7382</v>
      </c>
      <c r="G353" s="14" t="s">
        <v>7383</v>
      </c>
    </row>
    <row r="354">
      <c r="A354" s="13" t="s">
        <v>1431</v>
      </c>
      <c r="B354" s="13" t="s">
        <v>7384</v>
      </c>
      <c r="C354" s="13" t="s">
        <v>7385</v>
      </c>
      <c r="D354" s="13" t="s">
        <v>7386</v>
      </c>
      <c r="E354" s="13" t="s">
        <v>7387</v>
      </c>
      <c r="F354" s="13" t="s">
        <v>7388</v>
      </c>
      <c r="G354" s="14" t="s">
        <v>7389</v>
      </c>
    </row>
    <row r="355">
      <c r="A355" s="13" t="s">
        <v>1435</v>
      </c>
      <c r="B355" s="13" t="s">
        <v>7330</v>
      </c>
      <c r="C355" s="13" t="s">
        <v>7331</v>
      </c>
      <c r="D355" s="13" t="s">
        <v>7332</v>
      </c>
      <c r="E355" s="13" t="s">
        <v>7333</v>
      </c>
      <c r="F355" s="13" t="s">
        <v>7334</v>
      </c>
      <c r="G355" s="14" t="s">
        <v>7390</v>
      </c>
    </row>
    <row r="356">
      <c r="A356" s="13" t="s">
        <v>1438</v>
      </c>
      <c r="B356" s="13" t="s">
        <v>7360</v>
      </c>
      <c r="C356" s="13" t="s">
        <v>7361</v>
      </c>
      <c r="D356" s="13" t="s">
        <v>7362</v>
      </c>
      <c r="E356" s="13" t="s">
        <v>7363</v>
      </c>
      <c r="F356" s="13" t="s">
        <v>7364</v>
      </c>
      <c r="G356" s="14" t="s">
        <v>7391</v>
      </c>
    </row>
    <row r="357">
      <c r="A357" s="13" t="s">
        <v>1441</v>
      </c>
      <c r="B357" s="13" t="s">
        <v>7392</v>
      </c>
      <c r="C357" s="13" t="s">
        <v>7393</v>
      </c>
      <c r="D357" s="13" t="s">
        <v>7394</v>
      </c>
      <c r="E357" s="13" t="s">
        <v>7395</v>
      </c>
      <c r="F357" s="13" t="s">
        <v>7396</v>
      </c>
      <c r="G357" s="14" t="s">
        <v>7397</v>
      </c>
    </row>
    <row r="358">
      <c r="A358" s="13" t="s">
        <v>1445</v>
      </c>
      <c r="B358" s="13" t="s">
        <v>7309</v>
      </c>
      <c r="C358" s="13" t="s">
        <v>7310</v>
      </c>
      <c r="D358" s="13" t="s">
        <v>7311</v>
      </c>
      <c r="E358" s="13" t="s">
        <v>7312</v>
      </c>
      <c r="F358" s="13" t="s">
        <v>7313</v>
      </c>
      <c r="G358" s="14" t="s">
        <v>7398</v>
      </c>
    </row>
    <row r="359">
      <c r="A359" s="13" t="s">
        <v>1449</v>
      </c>
      <c r="B359" s="13" t="s">
        <v>7399</v>
      </c>
      <c r="C359" s="13" t="s">
        <v>7400</v>
      </c>
      <c r="D359" s="13" t="s">
        <v>7401</v>
      </c>
      <c r="E359" s="13" t="s">
        <v>7402</v>
      </c>
      <c r="F359" s="13" t="s">
        <v>7403</v>
      </c>
      <c r="G359" s="14" t="s">
        <v>7404</v>
      </c>
    </row>
    <row r="360">
      <c r="A360" s="13" t="s">
        <v>1454</v>
      </c>
      <c r="B360" s="13" t="s">
        <v>7405</v>
      </c>
      <c r="C360" s="13" t="s">
        <v>7406</v>
      </c>
      <c r="D360" s="13" t="s">
        <v>7407</v>
      </c>
      <c r="E360" s="13" t="s">
        <v>7408</v>
      </c>
      <c r="F360" s="13" t="s">
        <v>7409</v>
      </c>
      <c r="G360" s="14" t="s">
        <v>7410</v>
      </c>
    </row>
    <row r="361">
      <c r="A361" s="13" t="s">
        <v>1459</v>
      </c>
      <c r="B361" s="13" t="s">
        <v>7411</v>
      </c>
      <c r="C361" s="13" t="s">
        <v>7412</v>
      </c>
      <c r="D361" s="13" t="s">
        <v>7413</v>
      </c>
      <c r="E361" s="13" t="s">
        <v>7414</v>
      </c>
      <c r="F361" s="13" t="s">
        <v>7415</v>
      </c>
      <c r="G361" s="14" t="s">
        <v>7416</v>
      </c>
    </row>
    <row r="362">
      <c r="A362" s="13" t="s">
        <v>1463</v>
      </c>
      <c r="B362" s="13" t="s">
        <v>7417</v>
      </c>
      <c r="C362" s="13" t="s">
        <v>7418</v>
      </c>
      <c r="D362" s="13" t="s">
        <v>7419</v>
      </c>
      <c r="E362" s="13" t="s">
        <v>7420</v>
      </c>
      <c r="F362" s="13" t="s">
        <v>7421</v>
      </c>
      <c r="G362" s="14" t="s">
        <v>7422</v>
      </c>
    </row>
    <row r="363">
      <c r="A363" s="13" t="s">
        <v>1467</v>
      </c>
      <c r="B363" s="13" t="s">
        <v>7423</v>
      </c>
      <c r="C363" s="13" t="s">
        <v>7424</v>
      </c>
      <c r="D363" s="13" t="s">
        <v>7425</v>
      </c>
      <c r="E363" s="13" t="s">
        <v>7426</v>
      </c>
      <c r="F363" s="13" t="s">
        <v>7427</v>
      </c>
      <c r="G363" s="14" t="s">
        <v>7428</v>
      </c>
    </row>
    <row r="364">
      <c r="A364" s="13" t="s">
        <v>1471</v>
      </c>
      <c r="B364" s="13" t="s">
        <v>7330</v>
      </c>
      <c r="C364" s="13" t="s">
        <v>7331</v>
      </c>
      <c r="D364" s="13" t="s">
        <v>7332</v>
      </c>
      <c r="E364" s="13" t="s">
        <v>7333</v>
      </c>
      <c r="F364" s="13" t="s">
        <v>7334</v>
      </c>
      <c r="G364" s="14" t="s">
        <v>7429</v>
      </c>
    </row>
    <row r="365">
      <c r="A365" s="13" t="s">
        <v>1475</v>
      </c>
      <c r="B365" s="13" t="s">
        <v>7430</v>
      </c>
      <c r="C365" s="13" t="s">
        <v>7431</v>
      </c>
      <c r="D365" s="13" t="s">
        <v>7432</v>
      </c>
      <c r="E365" s="13" t="s">
        <v>7433</v>
      </c>
      <c r="F365" s="13" t="s">
        <v>7434</v>
      </c>
      <c r="G365" s="14" t="s">
        <v>7435</v>
      </c>
    </row>
    <row r="366">
      <c r="A366" s="13" t="s">
        <v>1479</v>
      </c>
      <c r="B366" s="13" t="s">
        <v>7291</v>
      </c>
      <c r="C366" s="13" t="s">
        <v>7292</v>
      </c>
      <c r="D366" s="13" t="s">
        <v>7293</v>
      </c>
      <c r="E366" s="13" t="s">
        <v>7294</v>
      </c>
      <c r="F366" s="13" t="s">
        <v>7295</v>
      </c>
      <c r="G366" s="14" t="s">
        <v>7436</v>
      </c>
    </row>
    <row r="367">
      <c r="A367" s="13" t="s">
        <v>1482</v>
      </c>
      <c r="B367" s="13" t="s">
        <v>7437</v>
      </c>
      <c r="C367" s="13" t="s">
        <v>7438</v>
      </c>
      <c r="D367" s="13" t="s">
        <v>7439</v>
      </c>
      <c r="E367" s="13" t="s">
        <v>7440</v>
      </c>
      <c r="F367" s="13" t="s">
        <v>7441</v>
      </c>
      <c r="G367" s="14" t="s">
        <v>7442</v>
      </c>
    </row>
    <row r="368">
      <c r="A368" s="13" t="s">
        <v>1486</v>
      </c>
      <c r="B368" s="13" t="s">
        <v>7423</v>
      </c>
      <c r="C368" s="13" t="s">
        <v>7424</v>
      </c>
      <c r="D368" s="13" t="s">
        <v>7425</v>
      </c>
      <c r="E368" s="13" t="s">
        <v>7426</v>
      </c>
      <c r="F368" s="13" t="s">
        <v>7427</v>
      </c>
      <c r="G368" s="14" t="s">
        <v>7443</v>
      </c>
    </row>
    <row r="369">
      <c r="A369" s="13" t="s">
        <v>1490</v>
      </c>
      <c r="B369" s="13" t="s">
        <v>7444</v>
      </c>
      <c r="C369" s="13" t="s">
        <v>7445</v>
      </c>
      <c r="D369" s="13" t="s">
        <v>7446</v>
      </c>
      <c r="E369" s="13" t="s">
        <v>7447</v>
      </c>
      <c r="F369" s="13" t="s">
        <v>7448</v>
      </c>
      <c r="G369" s="14" t="s">
        <v>7449</v>
      </c>
    </row>
    <row r="370">
      <c r="A370" s="13" t="s">
        <v>1494</v>
      </c>
      <c r="B370" s="13" t="s">
        <v>7291</v>
      </c>
      <c r="C370" s="13" t="s">
        <v>7292</v>
      </c>
      <c r="D370" s="13" t="s">
        <v>7293</v>
      </c>
      <c r="E370" s="13" t="s">
        <v>7294</v>
      </c>
      <c r="F370" s="13" t="s">
        <v>7295</v>
      </c>
      <c r="G370" s="14" t="s">
        <v>7450</v>
      </c>
    </row>
    <row r="371">
      <c r="A371" s="13" t="s">
        <v>19</v>
      </c>
      <c r="B371" s="13" t="s">
        <v>5683</v>
      </c>
      <c r="C371" s="13" t="s">
        <v>5684</v>
      </c>
      <c r="D371" s="13" t="s">
        <v>5685</v>
      </c>
      <c r="E371" s="13" t="s">
        <v>5686</v>
      </c>
      <c r="F371" s="13" t="s">
        <v>6135</v>
      </c>
      <c r="G371" s="14" t="s">
        <v>7451</v>
      </c>
    </row>
    <row r="372">
      <c r="A372" s="13" t="s">
        <v>1497</v>
      </c>
      <c r="B372" s="13" t="s">
        <v>7452</v>
      </c>
      <c r="C372" s="13" t="s">
        <v>7453</v>
      </c>
      <c r="D372" s="13" t="s">
        <v>7454</v>
      </c>
      <c r="E372" s="13" t="s">
        <v>7455</v>
      </c>
      <c r="F372" s="13" t="s">
        <v>7456</v>
      </c>
      <c r="G372" s="14" t="s">
        <v>7457</v>
      </c>
    </row>
    <row r="373">
      <c r="A373" s="13" t="s">
        <v>1501</v>
      </c>
      <c r="B373" s="13" t="s">
        <v>7452</v>
      </c>
      <c r="C373" s="13" t="s">
        <v>7453</v>
      </c>
      <c r="D373" s="13" t="s">
        <v>7454</v>
      </c>
      <c r="E373" s="13" t="s">
        <v>7455</v>
      </c>
      <c r="F373" s="13" t="s">
        <v>7456</v>
      </c>
      <c r="G373" s="14" t="s">
        <v>7458</v>
      </c>
    </row>
    <row r="374">
      <c r="A374" s="13" t="s">
        <v>1505</v>
      </c>
      <c r="B374" s="13" t="s">
        <v>7291</v>
      </c>
      <c r="C374" s="13" t="s">
        <v>7292</v>
      </c>
      <c r="D374" s="13" t="s">
        <v>7293</v>
      </c>
      <c r="E374" s="13" t="s">
        <v>7294</v>
      </c>
      <c r="F374" s="13" t="s">
        <v>7295</v>
      </c>
      <c r="G374" s="14" t="s">
        <v>7459</v>
      </c>
    </row>
    <row r="375">
      <c r="A375" s="13" t="s">
        <v>1508</v>
      </c>
      <c r="B375" s="13" t="s">
        <v>7372</v>
      </c>
      <c r="C375" s="13" t="s">
        <v>7373</v>
      </c>
      <c r="D375" s="13" t="s">
        <v>7374</v>
      </c>
      <c r="E375" s="13" t="s">
        <v>7375</v>
      </c>
      <c r="F375" s="13" t="s">
        <v>7376</v>
      </c>
      <c r="G375" s="14" t="s">
        <v>7460</v>
      </c>
    </row>
    <row r="376">
      <c r="A376" s="13" t="s">
        <v>1511</v>
      </c>
      <c r="B376" s="13" t="s">
        <v>6794</v>
      </c>
      <c r="C376" s="13" t="s">
        <v>6795</v>
      </c>
      <c r="D376" s="13" t="s">
        <v>6796</v>
      </c>
      <c r="E376" s="13" t="s">
        <v>6797</v>
      </c>
      <c r="F376" s="13" t="s">
        <v>7461</v>
      </c>
      <c r="G376" s="14" t="s">
        <v>7462</v>
      </c>
    </row>
    <row r="377">
      <c r="A377" s="13" t="s">
        <v>1516</v>
      </c>
      <c r="B377" s="13" t="s">
        <v>7463</v>
      </c>
      <c r="C377" s="13" t="s">
        <v>7464</v>
      </c>
      <c r="D377" s="13" t="s">
        <v>7465</v>
      </c>
      <c r="E377" s="13" t="s">
        <v>7466</v>
      </c>
      <c r="F377" s="13" t="s">
        <v>7467</v>
      </c>
      <c r="G377" s="14" t="s">
        <v>7468</v>
      </c>
    </row>
    <row r="378">
      <c r="A378" s="13" t="s">
        <v>1520</v>
      </c>
      <c r="B378" s="13" t="s">
        <v>7469</v>
      </c>
      <c r="C378" s="13" t="s">
        <v>7470</v>
      </c>
      <c r="D378" s="13" t="s">
        <v>7471</v>
      </c>
      <c r="E378" s="13" t="s">
        <v>7472</v>
      </c>
      <c r="F378" s="13" t="s">
        <v>7473</v>
      </c>
      <c r="G378" s="14" t="s">
        <v>7474</v>
      </c>
    </row>
    <row r="379">
      <c r="A379" s="13" t="s">
        <v>24</v>
      </c>
      <c r="B379" s="13" t="s">
        <v>5689</v>
      </c>
      <c r="C379" s="13" t="s">
        <v>5690</v>
      </c>
      <c r="D379" s="13" t="s">
        <v>5691</v>
      </c>
      <c r="E379" s="13" t="s">
        <v>5692</v>
      </c>
      <c r="F379" s="13" t="s">
        <v>5693</v>
      </c>
      <c r="G379" s="14" t="s">
        <v>7475</v>
      </c>
    </row>
    <row r="380">
      <c r="A380" s="13" t="s">
        <v>1525</v>
      </c>
      <c r="B380" s="13" t="s">
        <v>7476</v>
      </c>
      <c r="C380" s="13" t="s">
        <v>7477</v>
      </c>
      <c r="D380" s="13" t="s">
        <v>7478</v>
      </c>
      <c r="E380" s="13" t="s">
        <v>7479</v>
      </c>
      <c r="F380" s="13" t="s">
        <v>7480</v>
      </c>
      <c r="G380" s="14" t="s">
        <v>7481</v>
      </c>
    </row>
    <row r="381">
      <c r="A381" s="13" t="s">
        <v>28</v>
      </c>
      <c r="B381" s="13" t="s">
        <v>5695</v>
      </c>
      <c r="C381" s="13" t="s">
        <v>5696</v>
      </c>
      <c r="D381" s="13" t="s">
        <v>5697</v>
      </c>
      <c r="E381" s="13" t="s">
        <v>5698</v>
      </c>
      <c r="F381" s="13" t="s">
        <v>7482</v>
      </c>
      <c r="G381" s="14" t="s">
        <v>7483</v>
      </c>
    </row>
    <row r="382">
      <c r="A382" s="13" t="s">
        <v>1531</v>
      </c>
      <c r="B382" s="13" t="s">
        <v>7291</v>
      </c>
      <c r="C382" s="13" t="s">
        <v>7292</v>
      </c>
      <c r="D382" s="13" t="s">
        <v>7293</v>
      </c>
      <c r="E382" s="13" t="s">
        <v>7294</v>
      </c>
      <c r="F382" s="13" t="s">
        <v>7295</v>
      </c>
      <c r="G382" s="14" t="s">
        <v>7484</v>
      </c>
    </row>
    <row r="383">
      <c r="A383" s="13" t="s">
        <v>1533</v>
      </c>
      <c r="B383" s="13" t="s">
        <v>7372</v>
      </c>
      <c r="C383" s="13" t="s">
        <v>7373</v>
      </c>
      <c r="D383" s="13" t="s">
        <v>7374</v>
      </c>
      <c r="E383" s="13" t="s">
        <v>7375</v>
      </c>
      <c r="F383" s="13" t="s">
        <v>7376</v>
      </c>
      <c r="G383" s="14" t="s">
        <v>7485</v>
      </c>
    </row>
    <row r="384">
      <c r="A384" s="13" t="s">
        <v>1536</v>
      </c>
      <c r="B384" s="13" t="s">
        <v>7486</v>
      </c>
      <c r="C384" s="13" t="s">
        <v>7487</v>
      </c>
      <c r="D384" s="13" t="s">
        <v>7488</v>
      </c>
      <c r="E384" s="13" t="s">
        <v>7489</v>
      </c>
      <c r="F384" s="13" t="s">
        <v>7490</v>
      </c>
      <c r="G384" s="14" t="s">
        <v>7491</v>
      </c>
    </row>
    <row r="385">
      <c r="A385" s="13" t="s">
        <v>1540</v>
      </c>
      <c r="B385" s="13" t="s">
        <v>7492</v>
      </c>
      <c r="C385" s="13" t="s">
        <v>7493</v>
      </c>
      <c r="D385" s="13" t="s">
        <v>7494</v>
      </c>
      <c r="E385" s="13" t="s">
        <v>7495</v>
      </c>
      <c r="F385" s="13" t="s">
        <v>7496</v>
      </c>
      <c r="G385" s="14" t="s">
        <v>7497</v>
      </c>
    </row>
    <row r="386">
      <c r="A386" s="13" t="s">
        <v>1544</v>
      </c>
      <c r="B386" s="13" t="s">
        <v>7498</v>
      </c>
      <c r="C386" s="13" t="s">
        <v>7499</v>
      </c>
      <c r="D386" s="13" t="s">
        <v>7500</v>
      </c>
      <c r="E386" s="13" t="s">
        <v>7501</v>
      </c>
      <c r="F386" s="13" t="s">
        <v>7502</v>
      </c>
      <c r="G386" s="14" t="s">
        <v>7503</v>
      </c>
    </row>
    <row r="387">
      <c r="A387" s="13" t="s">
        <v>1549</v>
      </c>
      <c r="B387" s="13" t="s">
        <v>7297</v>
      </c>
      <c r="C387" s="13" t="s">
        <v>7298</v>
      </c>
      <c r="D387" s="13" t="s">
        <v>7299</v>
      </c>
      <c r="E387" s="13" t="s">
        <v>7300</v>
      </c>
      <c r="F387" s="13" t="s">
        <v>7301</v>
      </c>
      <c r="G387" s="14" t="s">
        <v>7504</v>
      </c>
    </row>
    <row r="388">
      <c r="A388" s="13" t="s">
        <v>1552</v>
      </c>
      <c r="B388" s="13" t="s">
        <v>7505</v>
      </c>
      <c r="C388" s="13" t="s">
        <v>7506</v>
      </c>
      <c r="D388" s="13" t="s">
        <v>7507</v>
      </c>
      <c r="E388" s="13" t="s">
        <v>7508</v>
      </c>
      <c r="F388" s="13" t="s">
        <v>7509</v>
      </c>
      <c r="G388" s="14" t="s">
        <v>7510</v>
      </c>
    </row>
    <row r="389">
      <c r="A389" s="13" t="s">
        <v>1556</v>
      </c>
      <c r="B389" s="13" t="s">
        <v>7511</v>
      </c>
      <c r="C389" s="13" t="s">
        <v>7512</v>
      </c>
      <c r="D389" s="13" t="s">
        <v>7513</v>
      </c>
      <c r="E389" s="13" t="s">
        <v>7514</v>
      </c>
      <c r="F389" s="13" t="s">
        <v>7515</v>
      </c>
      <c r="G389" s="14" t="s">
        <v>7516</v>
      </c>
    </row>
    <row r="390">
      <c r="A390" s="13" t="s">
        <v>1560</v>
      </c>
      <c r="B390" s="13" t="s">
        <v>7517</v>
      </c>
      <c r="C390" s="13" t="s">
        <v>7518</v>
      </c>
      <c r="D390" s="13" t="s">
        <v>7519</v>
      </c>
      <c r="E390" s="13" t="s">
        <v>7520</v>
      </c>
      <c r="F390" s="13" t="s">
        <v>7521</v>
      </c>
      <c r="G390" s="14" t="s">
        <v>7522</v>
      </c>
    </row>
    <row r="391">
      <c r="A391" s="13" t="s">
        <v>1564</v>
      </c>
      <c r="B391" s="13" t="s">
        <v>7523</v>
      </c>
      <c r="C391" s="13" t="s">
        <v>7524</v>
      </c>
      <c r="D391" s="13" t="s">
        <v>7525</v>
      </c>
      <c r="E391" s="13" t="s">
        <v>7526</v>
      </c>
      <c r="F391" s="13" t="s">
        <v>7527</v>
      </c>
      <c r="G391" s="14" t="s">
        <v>7528</v>
      </c>
    </row>
    <row r="392">
      <c r="A392" s="13" t="s">
        <v>1568</v>
      </c>
      <c r="B392" s="13" t="s">
        <v>7411</v>
      </c>
      <c r="C392" s="13" t="s">
        <v>7412</v>
      </c>
      <c r="D392" s="13" t="s">
        <v>7413</v>
      </c>
      <c r="E392" s="13" t="s">
        <v>7414</v>
      </c>
      <c r="F392" s="13" t="s">
        <v>7415</v>
      </c>
      <c r="G392" s="14" t="s">
        <v>7529</v>
      </c>
    </row>
    <row r="393">
      <c r="A393" s="13" t="s">
        <v>1572</v>
      </c>
      <c r="B393" s="13" t="s">
        <v>7303</v>
      </c>
      <c r="C393" s="13" t="s">
        <v>7304</v>
      </c>
      <c r="D393" s="13" t="s">
        <v>7305</v>
      </c>
      <c r="E393" s="13" t="s">
        <v>7306</v>
      </c>
      <c r="F393" s="13" t="s">
        <v>7307</v>
      </c>
      <c r="G393" s="14" t="s">
        <v>7530</v>
      </c>
    </row>
    <row r="394">
      <c r="A394" s="13" t="s">
        <v>32</v>
      </c>
      <c r="B394" s="13" t="s">
        <v>5701</v>
      </c>
      <c r="C394" s="13" t="s">
        <v>5702</v>
      </c>
      <c r="D394" s="13" t="s">
        <v>5703</v>
      </c>
      <c r="E394" s="13" t="s">
        <v>5704</v>
      </c>
      <c r="F394" s="13" t="s">
        <v>5705</v>
      </c>
      <c r="G394" s="14" t="s">
        <v>7531</v>
      </c>
    </row>
    <row r="395">
      <c r="A395" s="13" t="s">
        <v>36</v>
      </c>
      <c r="B395" s="13" t="s">
        <v>5707</v>
      </c>
      <c r="C395" s="13" t="s">
        <v>5708</v>
      </c>
      <c r="D395" s="13" t="s">
        <v>5709</v>
      </c>
      <c r="E395" s="13" t="s">
        <v>5710</v>
      </c>
      <c r="F395" s="13" t="s">
        <v>5711</v>
      </c>
      <c r="G395" s="14" t="s">
        <v>7532</v>
      </c>
    </row>
    <row r="396">
      <c r="A396" s="13" t="s">
        <v>1577</v>
      </c>
      <c r="B396" s="13" t="s">
        <v>7533</v>
      </c>
      <c r="C396" s="13" t="s">
        <v>7534</v>
      </c>
      <c r="D396" s="13" t="s">
        <v>7535</v>
      </c>
      <c r="E396" s="13" t="s">
        <v>7536</v>
      </c>
      <c r="F396" s="13" t="s">
        <v>7537</v>
      </c>
      <c r="G396" s="14" t="s">
        <v>7538</v>
      </c>
    </row>
    <row r="397">
      <c r="A397" s="13" t="s">
        <v>1581</v>
      </c>
      <c r="B397" s="13" t="s">
        <v>7539</v>
      </c>
      <c r="C397" s="13" t="s">
        <v>7540</v>
      </c>
      <c r="D397" s="13" t="s">
        <v>7541</v>
      </c>
      <c r="E397" s="13" t="s">
        <v>7542</v>
      </c>
      <c r="F397" s="13" t="s">
        <v>7543</v>
      </c>
      <c r="G397" s="14" t="s">
        <v>7544</v>
      </c>
    </row>
    <row r="398">
      <c r="A398" s="13" t="s">
        <v>1585</v>
      </c>
      <c r="B398" s="13" t="s">
        <v>7545</v>
      </c>
      <c r="C398" s="13" t="s">
        <v>7546</v>
      </c>
      <c r="D398" s="13" t="s">
        <v>7547</v>
      </c>
      <c r="E398" s="13" t="s">
        <v>7548</v>
      </c>
      <c r="F398" s="13" t="s">
        <v>7549</v>
      </c>
      <c r="G398" s="14" t="s">
        <v>7550</v>
      </c>
    </row>
    <row r="399">
      <c r="A399" s="13" t="s">
        <v>1590</v>
      </c>
      <c r="B399" s="13" t="s">
        <v>7551</v>
      </c>
      <c r="C399" s="13" t="s">
        <v>7552</v>
      </c>
      <c r="D399" s="13" t="s">
        <v>7553</v>
      </c>
      <c r="E399" s="13" t="s">
        <v>7554</v>
      </c>
      <c r="F399" s="13" t="s">
        <v>7555</v>
      </c>
      <c r="G399" s="14" t="s">
        <v>7556</v>
      </c>
    </row>
    <row r="400">
      <c r="A400" s="13" t="s">
        <v>1594</v>
      </c>
      <c r="B400" s="13" t="s">
        <v>7557</v>
      </c>
      <c r="C400" s="13" t="s">
        <v>7558</v>
      </c>
      <c r="D400" s="13" t="s">
        <v>7559</v>
      </c>
      <c r="E400" s="13" t="s">
        <v>7560</v>
      </c>
      <c r="F400" s="13" t="s">
        <v>7561</v>
      </c>
      <c r="G400" s="14" t="s">
        <v>7562</v>
      </c>
    </row>
    <row r="401">
      <c r="A401" s="13" t="s">
        <v>1598</v>
      </c>
      <c r="B401" s="13" t="s">
        <v>7430</v>
      </c>
      <c r="C401" s="13" t="s">
        <v>7431</v>
      </c>
      <c r="D401" s="13" t="s">
        <v>7432</v>
      </c>
      <c r="E401" s="13" t="s">
        <v>7433</v>
      </c>
      <c r="F401" s="13" t="s">
        <v>7434</v>
      </c>
      <c r="G401" s="14" t="s">
        <v>7563</v>
      </c>
    </row>
    <row r="402">
      <c r="A402" s="13" t="s">
        <v>1602</v>
      </c>
      <c r="B402" s="13" t="s">
        <v>7384</v>
      </c>
      <c r="C402" s="13" t="s">
        <v>7385</v>
      </c>
      <c r="D402" s="13" t="s">
        <v>7386</v>
      </c>
      <c r="E402" s="13" t="s">
        <v>7387</v>
      </c>
      <c r="F402" s="13" t="s">
        <v>7388</v>
      </c>
      <c r="G402" s="14" t="s">
        <v>7564</v>
      </c>
    </row>
    <row r="403">
      <c r="A403" s="13" t="s">
        <v>1606</v>
      </c>
      <c r="B403" s="13" t="s">
        <v>7476</v>
      </c>
      <c r="C403" s="13" t="s">
        <v>7477</v>
      </c>
      <c r="D403" s="13" t="s">
        <v>7478</v>
      </c>
      <c r="E403" s="13" t="s">
        <v>7479</v>
      </c>
      <c r="F403" s="13" t="s">
        <v>7480</v>
      </c>
      <c r="G403" s="14" t="s">
        <v>7565</v>
      </c>
    </row>
    <row r="404">
      <c r="A404" s="13" t="s">
        <v>1610</v>
      </c>
      <c r="B404" s="13" t="s">
        <v>7566</v>
      </c>
      <c r="C404" s="13" t="s">
        <v>7567</v>
      </c>
      <c r="D404" s="13" t="s">
        <v>7568</v>
      </c>
      <c r="E404" s="13" t="s">
        <v>7569</v>
      </c>
      <c r="F404" s="13" t="s">
        <v>7570</v>
      </c>
      <c r="G404" s="14" t="s">
        <v>7571</v>
      </c>
    </row>
    <row r="405">
      <c r="A405" s="13" t="s">
        <v>40</v>
      </c>
      <c r="B405" s="13" t="s">
        <v>7572</v>
      </c>
      <c r="C405" s="13" t="s">
        <v>7573</v>
      </c>
      <c r="D405" s="13" t="s">
        <v>7574</v>
      </c>
      <c r="E405" s="13" t="s">
        <v>7575</v>
      </c>
      <c r="F405" s="13" t="s">
        <v>7576</v>
      </c>
      <c r="G405" s="14" t="s">
        <v>7577</v>
      </c>
    </row>
    <row r="406">
      <c r="A406" s="13" t="s">
        <v>1615</v>
      </c>
      <c r="B406" s="13" t="s">
        <v>7578</v>
      </c>
      <c r="C406" s="13" t="s">
        <v>7579</v>
      </c>
      <c r="D406" s="13" t="s">
        <v>7580</v>
      </c>
      <c r="E406" s="13" t="s">
        <v>7581</v>
      </c>
      <c r="F406" s="13" t="s">
        <v>7582</v>
      </c>
      <c r="G406" s="14" t="s">
        <v>7583</v>
      </c>
    </row>
    <row r="407">
      <c r="A407" s="13" t="s">
        <v>1620</v>
      </c>
      <c r="B407" s="13" t="s">
        <v>7584</v>
      </c>
      <c r="C407" s="13" t="s">
        <v>7585</v>
      </c>
      <c r="D407" s="13" t="s">
        <v>7586</v>
      </c>
      <c r="E407" s="13" t="s">
        <v>7587</v>
      </c>
      <c r="F407" s="13" t="s">
        <v>7588</v>
      </c>
      <c r="G407" s="14" t="s">
        <v>7589</v>
      </c>
    </row>
    <row r="408">
      <c r="A408" s="13" t="s">
        <v>1624</v>
      </c>
      <c r="B408" s="13" t="s">
        <v>7321</v>
      </c>
      <c r="C408" s="13" t="s">
        <v>7322</v>
      </c>
      <c r="D408" s="13" t="s">
        <v>7323</v>
      </c>
      <c r="E408" s="13" t="s">
        <v>7324</v>
      </c>
      <c r="F408" s="13" t="s">
        <v>7325</v>
      </c>
      <c r="G408" s="14" t="s">
        <v>7326</v>
      </c>
    </row>
    <row r="409">
      <c r="A409" s="13" t="s">
        <v>1628</v>
      </c>
      <c r="B409" s="13" t="s">
        <v>7590</v>
      </c>
      <c r="C409" s="13" t="s">
        <v>7591</v>
      </c>
      <c r="D409" s="13" t="s">
        <v>7592</v>
      </c>
      <c r="E409" s="13" t="s">
        <v>7593</v>
      </c>
      <c r="F409" s="13" t="s">
        <v>7594</v>
      </c>
      <c r="G409" s="14" t="s">
        <v>7595</v>
      </c>
    </row>
    <row r="410">
      <c r="A410" s="13" t="s">
        <v>1633</v>
      </c>
      <c r="B410" s="13" t="s">
        <v>7596</v>
      </c>
      <c r="C410" s="13" t="s">
        <v>7597</v>
      </c>
      <c r="D410" s="13" t="s">
        <v>7598</v>
      </c>
      <c r="E410" s="13" t="s">
        <v>7599</v>
      </c>
      <c r="F410" s="13" t="s">
        <v>7600</v>
      </c>
      <c r="G410" s="14" t="s">
        <v>7601</v>
      </c>
    </row>
    <row r="411">
      <c r="A411" s="13" t="s">
        <v>1637</v>
      </c>
      <c r="B411" s="13" t="s">
        <v>7430</v>
      </c>
      <c r="C411" s="13" t="s">
        <v>7431</v>
      </c>
      <c r="D411" s="13" t="s">
        <v>7432</v>
      </c>
      <c r="E411" s="13" t="s">
        <v>7433</v>
      </c>
      <c r="F411" s="13" t="s">
        <v>7434</v>
      </c>
      <c r="G411" s="14" t="s">
        <v>7435</v>
      </c>
    </row>
    <row r="412">
      <c r="A412" s="13" t="s">
        <v>1641</v>
      </c>
      <c r="B412" s="13" t="s">
        <v>7602</v>
      </c>
      <c r="C412" s="13" t="s">
        <v>7603</v>
      </c>
      <c r="D412" s="13" t="s">
        <v>7604</v>
      </c>
      <c r="E412" s="13" t="s">
        <v>7605</v>
      </c>
      <c r="F412" s="13" t="s">
        <v>7606</v>
      </c>
      <c r="G412" s="14" t="s">
        <v>7607</v>
      </c>
    </row>
    <row r="413">
      <c r="A413" s="13" t="s">
        <v>1645</v>
      </c>
      <c r="B413" s="13" t="s">
        <v>7423</v>
      </c>
      <c r="C413" s="13" t="s">
        <v>7424</v>
      </c>
      <c r="D413" s="13" t="s">
        <v>7425</v>
      </c>
      <c r="E413" s="13" t="s">
        <v>7426</v>
      </c>
      <c r="F413" s="13" t="s">
        <v>7427</v>
      </c>
      <c r="G413" s="14" t="s">
        <v>7443</v>
      </c>
    </row>
    <row r="414">
      <c r="A414" s="13" t="s">
        <v>1647</v>
      </c>
      <c r="B414" s="13" t="s">
        <v>7608</v>
      </c>
      <c r="C414" s="13" t="s">
        <v>7609</v>
      </c>
      <c r="D414" s="13" t="s">
        <v>7610</v>
      </c>
      <c r="E414" s="13" t="s">
        <v>7611</v>
      </c>
      <c r="F414" s="13" t="s">
        <v>7612</v>
      </c>
      <c r="G414" s="14" t="s">
        <v>7613</v>
      </c>
    </row>
    <row r="415">
      <c r="A415" s="13" t="s">
        <v>1651</v>
      </c>
      <c r="B415" s="13" t="s">
        <v>7614</v>
      </c>
      <c r="C415" s="13" t="s">
        <v>7615</v>
      </c>
      <c r="D415" s="13" t="s">
        <v>7616</v>
      </c>
      <c r="E415" s="13" t="s">
        <v>7617</v>
      </c>
      <c r="F415" s="13" t="s">
        <v>7618</v>
      </c>
      <c r="G415" s="14" t="s">
        <v>7619</v>
      </c>
    </row>
    <row r="416">
      <c r="A416" s="13" t="s">
        <v>1655</v>
      </c>
      <c r="B416" s="13" t="s">
        <v>7342</v>
      </c>
      <c r="C416" s="13" t="s">
        <v>7343</v>
      </c>
      <c r="D416" s="13" t="s">
        <v>7344</v>
      </c>
      <c r="E416" s="13" t="s">
        <v>7345</v>
      </c>
      <c r="F416" s="13" t="s">
        <v>7346</v>
      </c>
      <c r="G416" s="14" t="s">
        <v>7620</v>
      </c>
    </row>
    <row r="417">
      <c r="A417" s="13" t="s">
        <v>1658</v>
      </c>
      <c r="B417" s="13" t="s">
        <v>7621</v>
      </c>
      <c r="C417" s="13" t="s">
        <v>7622</v>
      </c>
      <c r="D417" s="13" t="s">
        <v>7623</v>
      </c>
      <c r="E417" s="13" t="s">
        <v>7624</v>
      </c>
      <c r="F417" s="13" t="s">
        <v>7625</v>
      </c>
      <c r="G417" s="14" t="s">
        <v>7626</v>
      </c>
    </row>
    <row r="418">
      <c r="A418" s="13" t="s">
        <v>1662</v>
      </c>
      <c r="B418" s="13" t="s">
        <v>7551</v>
      </c>
      <c r="C418" s="13" t="s">
        <v>7552</v>
      </c>
      <c r="D418" s="13" t="s">
        <v>7553</v>
      </c>
      <c r="E418" s="13" t="s">
        <v>7554</v>
      </c>
      <c r="F418" s="13" t="s">
        <v>7555</v>
      </c>
      <c r="G418" s="14" t="s">
        <v>7627</v>
      </c>
    </row>
    <row r="419">
      <c r="A419" s="13" t="s">
        <v>1665</v>
      </c>
      <c r="B419" s="13" t="s">
        <v>7628</v>
      </c>
      <c r="C419" s="13" t="s">
        <v>7629</v>
      </c>
      <c r="D419" s="13" t="s">
        <v>7630</v>
      </c>
      <c r="E419" s="13" t="s">
        <v>7631</v>
      </c>
      <c r="F419" s="13" t="s">
        <v>7632</v>
      </c>
      <c r="G419" s="14" t="s">
        <v>7633</v>
      </c>
    </row>
    <row r="420">
      <c r="A420" s="13" t="s">
        <v>44</v>
      </c>
      <c r="B420" s="13" t="s">
        <v>5719</v>
      </c>
      <c r="C420" s="13" t="s">
        <v>5720</v>
      </c>
      <c r="D420" s="13" t="s">
        <v>5721</v>
      </c>
      <c r="E420" s="13" t="s">
        <v>5722</v>
      </c>
      <c r="F420" s="13" t="s">
        <v>5723</v>
      </c>
      <c r="G420" s="14" t="s">
        <v>7634</v>
      </c>
    </row>
    <row r="421">
      <c r="A421" s="13" t="s">
        <v>1670</v>
      </c>
      <c r="B421" s="13" t="s">
        <v>7430</v>
      </c>
      <c r="C421" s="13" t="s">
        <v>7431</v>
      </c>
      <c r="D421" s="13" t="s">
        <v>7432</v>
      </c>
      <c r="E421" s="13" t="s">
        <v>7433</v>
      </c>
      <c r="F421" s="13" t="s">
        <v>7434</v>
      </c>
      <c r="G421" s="14" t="s">
        <v>7635</v>
      </c>
    </row>
    <row r="422">
      <c r="A422" s="13" t="s">
        <v>1673</v>
      </c>
      <c r="B422" s="13" t="s">
        <v>7636</v>
      </c>
      <c r="C422" s="13" t="s">
        <v>7637</v>
      </c>
      <c r="D422" s="13" t="s">
        <v>7638</v>
      </c>
      <c r="E422" s="13" t="s">
        <v>7639</v>
      </c>
      <c r="F422" s="13" t="s">
        <v>7640</v>
      </c>
      <c r="G422" s="14" t="s">
        <v>7641</v>
      </c>
    </row>
    <row r="423">
      <c r="A423" s="13" t="s">
        <v>1676</v>
      </c>
      <c r="B423" s="13" t="s">
        <v>7303</v>
      </c>
      <c r="C423" s="13" t="s">
        <v>7304</v>
      </c>
      <c r="D423" s="13" t="s">
        <v>7305</v>
      </c>
      <c r="E423" s="13" t="s">
        <v>7306</v>
      </c>
      <c r="F423" s="13" t="s">
        <v>7307</v>
      </c>
      <c r="G423" s="14" t="s">
        <v>7642</v>
      </c>
    </row>
    <row r="424">
      <c r="A424" s="13" t="s">
        <v>48</v>
      </c>
      <c r="B424" s="13" t="s">
        <v>5725</v>
      </c>
      <c r="C424" s="13" t="s">
        <v>5726</v>
      </c>
      <c r="D424" s="13" t="s">
        <v>5727</v>
      </c>
      <c r="E424" s="13" t="s">
        <v>5728</v>
      </c>
      <c r="F424" s="13" t="s">
        <v>5729</v>
      </c>
      <c r="G424" s="14" t="s">
        <v>7643</v>
      </c>
    </row>
    <row r="425">
      <c r="A425" s="13" t="s">
        <v>57</v>
      </c>
      <c r="B425" s="13" t="s">
        <v>5689</v>
      </c>
      <c r="C425" s="13" t="s">
        <v>5690</v>
      </c>
      <c r="D425" s="13" t="s">
        <v>5691</v>
      </c>
      <c r="E425" s="13" t="s">
        <v>5692</v>
      </c>
      <c r="F425" s="13" t="s">
        <v>5693</v>
      </c>
      <c r="G425" s="14" t="s">
        <v>7644</v>
      </c>
    </row>
    <row r="426">
      <c r="A426" s="13" t="s">
        <v>1681</v>
      </c>
      <c r="B426" s="13" t="s">
        <v>7645</v>
      </c>
      <c r="C426" s="13" t="s">
        <v>7646</v>
      </c>
      <c r="D426" s="13" t="s">
        <v>7647</v>
      </c>
      <c r="E426" s="13" t="s">
        <v>7648</v>
      </c>
      <c r="F426" s="13" t="s">
        <v>7649</v>
      </c>
      <c r="G426" s="14" t="s">
        <v>7650</v>
      </c>
    </row>
    <row r="427">
      <c r="A427" s="13" t="s">
        <v>1685</v>
      </c>
      <c r="B427" s="13" t="s">
        <v>7430</v>
      </c>
      <c r="C427" s="13" t="s">
        <v>7431</v>
      </c>
      <c r="D427" s="13" t="s">
        <v>7432</v>
      </c>
      <c r="E427" s="13" t="s">
        <v>7433</v>
      </c>
      <c r="F427" s="13" t="s">
        <v>7434</v>
      </c>
      <c r="G427" s="14" t="s">
        <v>7563</v>
      </c>
    </row>
    <row r="428">
      <c r="A428" s="13" t="s">
        <v>1687</v>
      </c>
      <c r="B428" s="13" t="s">
        <v>7651</v>
      </c>
      <c r="C428" s="13" t="s">
        <v>7652</v>
      </c>
      <c r="D428" s="13" t="s">
        <v>7653</v>
      </c>
      <c r="E428" s="13" t="s">
        <v>7654</v>
      </c>
      <c r="F428" s="13" t="s">
        <v>7655</v>
      </c>
      <c r="G428" s="14" t="s">
        <v>7656</v>
      </c>
    </row>
    <row r="429">
      <c r="A429" s="13" t="s">
        <v>1692</v>
      </c>
      <c r="B429" s="13" t="s">
        <v>7657</v>
      </c>
      <c r="C429" s="13" t="s">
        <v>7658</v>
      </c>
      <c r="D429" s="13" t="s">
        <v>7659</v>
      </c>
      <c r="E429" s="13" t="s">
        <v>7660</v>
      </c>
      <c r="F429" s="13" t="s">
        <v>7661</v>
      </c>
      <c r="G429" s="14" t="s">
        <v>7662</v>
      </c>
    </row>
    <row r="430">
      <c r="A430" s="13" t="s">
        <v>61</v>
      </c>
      <c r="B430" s="13" t="s">
        <v>5738</v>
      </c>
      <c r="C430" s="13" t="s">
        <v>5739</v>
      </c>
      <c r="D430" s="13" t="s">
        <v>5740</v>
      </c>
      <c r="E430" s="13" t="s">
        <v>5741</v>
      </c>
      <c r="F430" s="13" t="s">
        <v>5742</v>
      </c>
      <c r="G430" s="14" t="s">
        <v>5743</v>
      </c>
    </row>
    <row r="431">
      <c r="A431" s="13" t="s">
        <v>1697</v>
      </c>
      <c r="B431" s="13" t="s">
        <v>7511</v>
      </c>
      <c r="C431" s="13" t="s">
        <v>7512</v>
      </c>
      <c r="D431" s="13" t="s">
        <v>7513</v>
      </c>
      <c r="E431" s="13" t="s">
        <v>7514</v>
      </c>
      <c r="F431" s="13" t="s">
        <v>7515</v>
      </c>
      <c r="G431" s="14" t="s">
        <v>7663</v>
      </c>
    </row>
    <row r="432">
      <c r="A432" s="13" t="s">
        <v>1701</v>
      </c>
      <c r="B432" s="13" t="s">
        <v>7664</v>
      </c>
      <c r="C432" s="13" t="s">
        <v>7665</v>
      </c>
      <c r="D432" s="13" t="s">
        <v>7666</v>
      </c>
      <c r="E432" s="13" t="s">
        <v>7667</v>
      </c>
      <c r="F432" s="13" t="s">
        <v>7668</v>
      </c>
      <c r="G432" s="14" t="s">
        <v>7669</v>
      </c>
    </row>
    <row r="433">
      <c r="A433" s="13" t="s">
        <v>1705</v>
      </c>
      <c r="B433" s="13" t="s">
        <v>7670</v>
      </c>
      <c r="C433" s="13" t="s">
        <v>7671</v>
      </c>
      <c r="D433" s="13" t="s">
        <v>7672</v>
      </c>
      <c r="E433" s="13" t="s">
        <v>7673</v>
      </c>
      <c r="F433" s="13" t="s">
        <v>7674</v>
      </c>
      <c r="G433" s="14" t="s">
        <v>7675</v>
      </c>
    </row>
    <row r="434">
      <c r="A434" s="13" t="s">
        <v>1709</v>
      </c>
      <c r="B434" s="13" t="s">
        <v>7676</v>
      </c>
      <c r="C434" s="13" t="s">
        <v>7677</v>
      </c>
      <c r="D434" s="13" t="s">
        <v>7678</v>
      </c>
      <c r="E434" s="13" t="s">
        <v>7679</v>
      </c>
      <c r="F434" s="13" t="s">
        <v>7680</v>
      </c>
      <c r="G434" s="14" t="s">
        <v>7681</v>
      </c>
    </row>
    <row r="435">
      <c r="A435" s="13" t="s">
        <v>1713</v>
      </c>
      <c r="B435" s="13" t="s">
        <v>7682</v>
      </c>
      <c r="C435" s="13" t="s">
        <v>7683</v>
      </c>
      <c r="D435" s="13" t="s">
        <v>7684</v>
      </c>
      <c r="E435" s="13" t="s">
        <v>7685</v>
      </c>
      <c r="F435" s="13" t="s">
        <v>7686</v>
      </c>
      <c r="G435" s="14" t="s">
        <v>7687</v>
      </c>
    </row>
    <row r="436">
      <c r="A436" s="13" t="s">
        <v>1717</v>
      </c>
      <c r="B436" s="13" t="s">
        <v>7476</v>
      </c>
      <c r="C436" s="13" t="s">
        <v>7477</v>
      </c>
      <c r="D436" s="13" t="s">
        <v>7478</v>
      </c>
      <c r="E436" s="13" t="s">
        <v>7479</v>
      </c>
      <c r="F436" s="13" t="s">
        <v>7480</v>
      </c>
      <c r="G436" s="14" t="s">
        <v>7565</v>
      </c>
    </row>
    <row r="437">
      <c r="A437" s="13" t="s">
        <v>1721</v>
      </c>
      <c r="B437" s="13" t="s">
        <v>7476</v>
      </c>
      <c r="C437" s="13" t="s">
        <v>7477</v>
      </c>
      <c r="D437" s="13" t="s">
        <v>7478</v>
      </c>
      <c r="E437" s="13" t="s">
        <v>7479</v>
      </c>
      <c r="F437" s="13" t="s">
        <v>7480</v>
      </c>
      <c r="G437" s="14" t="s">
        <v>7688</v>
      </c>
    </row>
    <row r="438">
      <c r="A438" s="13" t="s">
        <v>1724</v>
      </c>
      <c r="B438" s="13" t="s">
        <v>7511</v>
      </c>
      <c r="C438" s="13" t="s">
        <v>7512</v>
      </c>
      <c r="D438" s="13" t="s">
        <v>7513</v>
      </c>
      <c r="E438" s="13" t="s">
        <v>7514</v>
      </c>
      <c r="F438" s="13" t="s">
        <v>7515</v>
      </c>
      <c r="G438" s="14" t="s">
        <v>7516</v>
      </c>
    </row>
    <row r="439">
      <c r="A439" s="13" t="s">
        <v>1728</v>
      </c>
      <c r="B439" s="13" t="s">
        <v>7689</v>
      </c>
      <c r="C439" s="13" t="s">
        <v>7690</v>
      </c>
      <c r="D439" s="13" t="s">
        <v>7691</v>
      </c>
      <c r="E439" s="13" t="s">
        <v>7692</v>
      </c>
      <c r="F439" s="13" t="s">
        <v>7693</v>
      </c>
      <c r="G439" s="14" t="s">
        <v>7694</v>
      </c>
    </row>
    <row r="440">
      <c r="A440" s="13" t="s">
        <v>1732</v>
      </c>
      <c r="B440" s="13" t="s">
        <v>7695</v>
      </c>
      <c r="C440" s="13" t="s">
        <v>7696</v>
      </c>
      <c r="D440" s="13" t="s">
        <v>7697</v>
      </c>
      <c r="E440" s="13" t="s">
        <v>7698</v>
      </c>
      <c r="F440" s="13" t="s">
        <v>7699</v>
      </c>
      <c r="G440" s="14" t="s">
        <v>7700</v>
      </c>
    </row>
    <row r="441">
      <c r="A441" s="13" t="s">
        <v>1736</v>
      </c>
      <c r="B441" s="13" t="s">
        <v>7701</v>
      </c>
      <c r="C441" s="13" t="s">
        <v>7702</v>
      </c>
      <c r="D441" s="13" t="s">
        <v>7703</v>
      </c>
      <c r="E441" s="13" t="s">
        <v>7704</v>
      </c>
      <c r="F441" s="13" t="s">
        <v>7705</v>
      </c>
      <c r="G441" s="14" t="s">
        <v>7706</v>
      </c>
    </row>
    <row r="442">
      <c r="A442" s="13" t="s">
        <v>1740</v>
      </c>
      <c r="B442" s="13" t="s">
        <v>7309</v>
      </c>
      <c r="C442" s="13" t="s">
        <v>7310</v>
      </c>
      <c r="D442" s="13" t="s">
        <v>7311</v>
      </c>
      <c r="E442" s="13" t="s">
        <v>7312</v>
      </c>
      <c r="F442" s="13" t="s">
        <v>7313</v>
      </c>
      <c r="G442" s="14" t="s">
        <v>7707</v>
      </c>
    </row>
    <row r="443">
      <c r="A443" s="13" t="s">
        <v>1744</v>
      </c>
      <c r="B443" s="13" t="s">
        <v>7342</v>
      </c>
      <c r="C443" s="13" t="s">
        <v>7343</v>
      </c>
      <c r="D443" s="13" t="s">
        <v>7344</v>
      </c>
      <c r="E443" s="13" t="s">
        <v>7345</v>
      </c>
      <c r="F443" s="13" t="s">
        <v>7346</v>
      </c>
      <c r="G443" s="14" t="s">
        <v>7708</v>
      </c>
    </row>
    <row r="444">
      <c r="A444" s="13" t="s">
        <v>1748</v>
      </c>
      <c r="B444" s="13" t="s">
        <v>7476</v>
      </c>
      <c r="C444" s="13" t="s">
        <v>7477</v>
      </c>
      <c r="D444" s="13" t="s">
        <v>7478</v>
      </c>
      <c r="E444" s="13" t="s">
        <v>7479</v>
      </c>
      <c r="F444" s="13" t="s">
        <v>7480</v>
      </c>
      <c r="G444" s="14" t="s">
        <v>7709</v>
      </c>
    </row>
    <row r="445">
      <c r="A445" s="13" t="s">
        <v>65</v>
      </c>
      <c r="B445" s="13" t="s">
        <v>5701</v>
      </c>
      <c r="C445" s="13" t="s">
        <v>5702</v>
      </c>
      <c r="D445" s="13" t="s">
        <v>5703</v>
      </c>
      <c r="E445" s="13" t="s">
        <v>5704</v>
      </c>
      <c r="F445" s="13" t="s">
        <v>5705</v>
      </c>
      <c r="G445" s="14" t="s">
        <v>7710</v>
      </c>
    </row>
    <row r="446">
      <c r="A446" s="13" t="s">
        <v>1752</v>
      </c>
      <c r="B446" s="13" t="s">
        <v>7614</v>
      </c>
      <c r="C446" s="13" t="s">
        <v>7615</v>
      </c>
      <c r="D446" s="13" t="s">
        <v>7616</v>
      </c>
      <c r="E446" s="13" t="s">
        <v>7617</v>
      </c>
      <c r="F446" s="13" t="s">
        <v>7618</v>
      </c>
      <c r="G446" s="14" t="s">
        <v>7711</v>
      </c>
    </row>
    <row r="447">
      <c r="A447" s="13" t="s">
        <v>1756</v>
      </c>
      <c r="B447" s="13" t="s">
        <v>7430</v>
      </c>
      <c r="C447" s="13" t="s">
        <v>7431</v>
      </c>
      <c r="D447" s="13" t="s">
        <v>7432</v>
      </c>
      <c r="E447" s="13" t="s">
        <v>7433</v>
      </c>
      <c r="F447" s="13" t="s">
        <v>7434</v>
      </c>
      <c r="G447" s="14" t="s">
        <v>7712</v>
      </c>
    </row>
    <row r="448">
      <c r="A448" s="13" t="s">
        <v>1759</v>
      </c>
      <c r="B448" s="13" t="s">
        <v>7505</v>
      </c>
      <c r="C448" s="13" t="s">
        <v>7506</v>
      </c>
      <c r="D448" s="13" t="s">
        <v>7507</v>
      </c>
      <c r="E448" s="13" t="s">
        <v>7508</v>
      </c>
      <c r="F448" s="13" t="s">
        <v>7509</v>
      </c>
      <c r="G448" s="14" t="s">
        <v>7713</v>
      </c>
    </row>
    <row r="449">
      <c r="A449" s="13" t="s">
        <v>1763</v>
      </c>
      <c r="B449" s="13" t="s">
        <v>7714</v>
      </c>
      <c r="C449" s="13" t="s">
        <v>7715</v>
      </c>
      <c r="D449" s="13" t="s">
        <v>7716</v>
      </c>
      <c r="E449" s="13" t="s">
        <v>7717</v>
      </c>
      <c r="F449" s="13" t="s">
        <v>7718</v>
      </c>
      <c r="G449" s="14" t="s">
        <v>7719</v>
      </c>
    </row>
    <row r="450">
      <c r="A450" s="13" t="s">
        <v>1768</v>
      </c>
      <c r="B450" s="13" t="s">
        <v>7720</v>
      </c>
      <c r="C450" s="13" t="s">
        <v>7721</v>
      </c>
      <c r="D450" s="13" t="s">
        <v>7722</v>
      </c>
      <c r="E450" s="13" t="s">
        <v>7723</v>
      </c>
      <c r="F450" s="13" t="s">
        <v>7724</v>
      </c>
      <c r="G450" s="14" t="s">
        <v>7725</v>
      </c>
    </row>
    <row r="451">
      <c r="A451" s="13" t="s">
        <v>1772</v>
      </c>
      <c r="B451" s="13" t="s">
        <v>7342</v>
      </c>
      <c r="C451" s="13" t="s">
        <v>7343</v>
      </c>
      <c r="D451" s="13" t="s">
        <v>7344</v>
      </c>
      <c r="E451" s="13" t="s">
        <v>7345</v>
      </c>
      <c r="F451" s="13" t="s">
        <v>7346</v>
      </c>
      <c r="G451" s="14" t="s">
        <v>7347</v>
      </c>
    </row>
    <row r="452">
      <c r="A452" s="13" t="s">
        <v>1775</v>
      </c>
      <c r="B452" s="13" t="s">
        <v>7726</v>
      </c>
      <c r="C452" s="13" t="s">
        <v>7727</v>
      </c>
      <c r="D452" s="13" t="s">
        <v>7728</v>
      </c>
      <c r="E452" s="13" t="s">
        <v>7729</v>
      </c>
      <c r="F452" s="13" t="s">
        <v>7730</v>
      </c>
      <c r="G452" s="14" t="s">
        <v>7731</v>
      </c>
    </row>
    <row r="453">
      <c r="A453" s="13" t="s">
        <v>1779</v>
      </c>
      <c r="B453" s="13" t="s">
        <v>7732</v>
      </c>
      <c r="C453" s="13" t="s">
        <v>7733</v>
      </c>
      <c r="D453" s="13" t="s">
        <v>7734</v>
      </c>
      <c r="E453" s="13" t="s">
        <v>7735</v>
      </c>
      <c r="F453" s="13" t="s">
        <v>7736</v>
      </c>
      <c r="G453" s="14" t="s">
        <v>7737</v>
      </c>
    </row>
    <row r="454">
      <c r="A454" s="13" t="s">
        <v>1783</v>
      </c>
      <c r="B454" s="13" t="s">
        <v>7738</v>
      </c>
      <c r="C454" s="13" t="s">
        <v>7739</v>
      </c>
      <c r="D454" s="13" t="s">
        <v>7740</v>
      </c>
      <c r="E454" s="13" t="s">
        <v>7741</v>
      </c>
      <c r="F454" s="13" t="s">
        <v>7742</v>
      </c>
      <c r="G454" s="14" t="s">
        <v>7743</v>
      </c>
    </row>
    <row r="455">
      <c r="A455" s="13" t="s">
        <v>1787</v>
      </c>
      <c r="B455" s="13" t="s">
        <v>7444</v>
      </c>
      <c r="C455" s="13" t="s">
        <v>7445</v>
      </c>
      <c r="D455" s="13" t="s">
        <v>7446</v>
      </c>
      <c r="E455" s="13" t="s">
        <v>7447</v>
      </c>
      <c r="F455" s="13" t="s">
        <v>7448</v>
      </c>
      <c r="G455" s="14" t="s">
        <v>7449</v>
      </c>
    </row>
    <row r="456">
      <c r="A456" s="13" t="s">
        <v>74</v>
      </c>
      <c r="B456" s="13" t="s">
        <v>5751</v>
      </c>
      <c r="C456" s="13" t="s">
        <v>5752</v>
      </c>
      <c r="D456" s="13" t="s">
        <v>5753</v>
      </c>
      <c r="E456" s="13" t="s">
        <v>5754</v>
      </c>
      <c r="F456" s="13" t="s">
        <v>5755</v>
      </c>
      <c r="G456" s="14" t="s">
        <v>7744</v>
      </c>
    </row>
    <row r="457">
      <c r="A457" s="13" t="s">
        <v>1792</v>
      </c>
      <c r="B457" s="13" t="s">
        <v>7745</v>
      </c>
      <c r="C457" s="13" t="s">
        <v>7746</v>
      </c>
      <c r="D457" s="13" t="s">
        <v>7747</v>
      </c>
      <c r="E457" s="13" t="s">
        <v>7748</v>
      </c>
      <c r="F457" s="13" t="s">
        <v>7749</v>
      </c>
      <c r="G457" s="14" t="s">
        <v>7750</v>
      </c>
    </row>
    <row r="458">
      <c r="A458" s="13" t="s">
        <v>78</v>
      </c>
      <c r="B458" s="13" t="s">
        <v>5757</v>
      </c>
      <c r="C458" s="13" t="s">
        <v>5758</v>
      </c>
      <c r="D458" s="13" t="s">
        <v>5759</v>
      </c>
      <c r="E458" s="13" t="s">
        <v>5760</v>
      </c>
      <c r="F458" s="13" t="s">
        <v>5761</v>
      </c>
      <c r="G458" s="14" t="s">
        <v>7751</v>
      </c>
    </row>
    <row r="459">
      <c r="A459" s="13" t="s">
        <v>1797</v>
      </c>
      <c r="B459" s="13" t="s">
        <v>7348</v>
      </c>
      <c r="C459" s="13" t="s">
        <v>7349</v>
      </c>
      <c r="D459" s="13" t="s">
        <v>7350</v>
      </c>
      <c r="E459" s="13" t="s">
        <v>7351</v>
      </c>
      <c r="F459" s="13" t="s">
        <v>7352</v>
      </c>
      <c r="G459" s="14" t="s">
        <v>7752</v>
      </c>
    </row>
    <row r="460">
      <c r="A460" s="13" t="s">
        <v>1800</v>
      </c>
      <c r="B460" s="13" t="s">
        <v>7303</v>
      </c>
      <c r="C460" s="13" t="s">
        <v>7304</v>
      </c>
      <c r="D460" s="13" t="s">
        <v>7305</v>
      </c>
      <c r="E460" s="13" t="s">
        <v>7306</v>
      </c>
      <c r="F460" s="13" t="s">
        <v>7307</v>
      </c>
      <c r="G460" s="14" t="s">
        <v>7753</v>
      </c>
    </row>
    <row r="461">
      <c r="A461" s="13" t="s">
        <v>1803</v>
      </c>
      <c r="B461" s="13" t="s">
        <v>7754</v>
      </c>
      <c r="C461" s="13" t="s">
        <v>7755</v>
      </c>
      <c r="D461" s="13" t="s">
        <v>7756</v>
      </c>
      <c r="E461" s="13" t="s">
        <v>7757</v>
      </c>
      <c r="F461" s="13" t="s">
        <v>7758</v>
      </c>
      <c r="G461" s="14" t="s">
        <v>7759</v>
      </c>
    </row>
    <row r="462">
      <c r="A462" s="13" t="s">
        <v>1807</v>
      </c>
      <c r="B462" s="13" t="s">
        <v>7760</v>
      </c>
      <c r="C462" s="13" t="s">
        <v>7761</v>
      </c>
      <c r="D462" s="13" t="s">
        <v>7762</v>
      </c>
      <c r="E462" s="13" t="s">
        <v>7763</v>
      </c>
      <c r="F462" s="13" t="s">
        <v>7764</v>
      </c>
      <c r="G462" s="14" t="s">
        <v>7765</v>
      </c>
    </row>
    <row r="463">
      <c r="A463" s="13" t="s">
        <v>1812</v>
      </c>
      <c r="B463" s="13" t="s">
        <v>7766</v>
      </c>
      <c r="C463" s="13" t="s">
        <v>7767</v>
      </c>
      <c r="D463" s="13" t="s">
        <v>7768</v>
      </c>
      <c r="E463" s="13" t="s">
        <v>7769</v>
      </c>
      <c r="F463" s="13" t="s">
        <v>7770</v>
      </c>
      <c r="G463" s="14" t="s">
        <v>7771</v>
      </c>
    </row>
    <row r="464">
      <c r="A464" s="13" t="s">
        <v>1816</v>
      </c>
      <c r="B464" s="13" t="s">
        <v>7772</v>
      </c>
      <c r="C464" s="13" t="s">
        <v>7773</v>
      </c>
      <c r="D464" s="13" t="s">
        <v>7774</v>
      </c>
      <c r="E464" s="13" t="s">
        <v>7775</v>
      </c>
      <c r="F464" s="13" t="s">
        <v>7776</v>
      </c>
      <c r="G464" s="14" t="s">
        <v>7777</v>
      </c>
    </row>
    <row r="465">
      <c r="A465" s="13" t="s">
        <v>1820</v>
      </c>
      <c r="B465" s="13" t="s">
        <v>7778</v>
      </c>
      <c r="C465" s="13" t="s">
        <v>7779</v>
      </c>
      <c r="D465" s="13" t="s">
        <v>7780</v>
      </c>
      <c r="E465" s="13" t="s">
        <v>7781</v>
      </c>
      <c r="F465" s="13" t="s">
        <v>7782</v>
      </c>
      <c r="G465" s="14" t="s">
        <v>7783</v>
      </c>
    </row>
    <row r="466">
      <c r="A466" s="13" t="s">
        <v>81</v>
      </c>
      <c r="B466" s="13" t="s">
        <v>5763</v>
      </c>
      <c r="C466" s="13" t="s">
        <v>5764</v>
      </c>
      <c r="D466" s="13" t="s">
        <v>5765</v>
      </c>
      <c r="E466" s="13" t="s">
        <v>5766</v>
      </c>
      <c r="F466" s="13" t="s">
        <v>7784</v>
      </c>
      <c r="G466" s="14" t="s">
        <v>7785</v>
      </c>
    </row>
    <row r="467">
      <c r="A467" s="13" t="s">
        <v>1825</v>
      </c>
      <c r="B467" s="13" t="s">
        <v>7444</v>
      </c>
      <c r="C467" s="13" t="s">
        <v>7445</v>
      </c>
      <c r="D467" s="13" t="s">
        <v>7446</v>
      </c>
      <c r="E467" s="13" t="s">
        <v>7447</v>
      </c>
      <c r="F467" s="13" t="s">
        <v>7448</v>
      </c>
      <c r="G467" s="14" t="s">
        <v>7786</v>
      </c>
    </row>
    <row r="468">
      <c r="A468" s="13" t="s">
        <v>1828</v>
      </c>
      <c r="B468" s="13" t="s">
        <v>7787</v>
      </c>
      <c r="C468" s="13" t="s">
        <v>7788</v>
      </c>
      <c r="D468" s="13" t="s">
        <v>7789</v>
      </c>
      <c r="E468" s="13" t="s">
        <v>7790</v>
      </c>
      <c r="F468" s="13" t="s">
        <v>7791</v>
      </c>
      <c r="G468" s="14" t="s">
        <v>7792</v>
      </c>
    </row>
    <row r="469">
      <c r="A469" s="13" t="s">
        <v>102</v>
      </c>
      <c r="B469" s="13" t="s">
        <v>5788</v>
      </c>
      <c r="C469" s="13" t="s">
        <v>5789</v>
      </c>
      <c r="D469" s="13" t="s">
        <v>5790</v>
      </c>
      <c r="E469" s="13" t="s">
        <v>5791</v>
      </c>
      <c r="F469" s="13" t="s">
        <v>5792</v>
      </c>
      <c r="G469" s="14" t="s">
        <v>7793</v>
      </c>
    </row>
    <row r="470">
      <c r="A470" s="13" t="s">
        <v>1833</v>
      </c>
      <c r="B470" s="13" t="s">
        <v>7794</v>
      </c>
      <c r="C470" s="13" t="s">
        <v>7795</v>
      </c>
      <c r="D470" s="13" t="s">
        <v>7796</v>
      </c>
      <c r="E470" s="13" t="s">
        <v>7797</v>
      </c>
      <c r="F470" s="13" t="s">
        <v>7798</v>
      </c>
      <c r="G470" s="14" t="s">
        <v>7799</v>
      </c>
    </row>
    <row r="471">
      <c r="A471" s="13" t="s">
        <v>1837</v>
      </c>
      <c r="B471" s="13" t="s">
        <v>7360</v>
      </c>
      <c r="C471" s="13" t="s">
        <v>7361</v>
      </c>
      <c r="D471" s="13" t="s">
        <v>7362</v>
      </c>
      <c r="E471" s="13" t="s">
        <v>7363</v>
      </c>
      <c r="F471" s="13" t="s">
        <v>7364</v>
      </c>
      <c r="G471" s="14" t="s">
        <v>7365</v>
      </c>
    </row>
    <row r="472">
      <c r="A472" s="13" t="s">
        <v>90</v>
      </c>
      <c r="B472" s="13" t="s">
        <v>5689</v>
      </c>
      <c r="C472" s="13" t="s">
        <v>5690</v>
      </c>
      <c r="D472" s="13" t="s">
        <v>5691</v>
      </c>
      <c r="E472" s="13" t="s">
        <v>5692</v>
      </c>
      <c r="F472" s="13" t="s">
        <v>5693</v>
      </c>
      <c r="G472" s="14" t="s">
        <v>7800</v>
      </c>
    </row>
    <row r="473">
      <c r="A473" s="13" t="s">
        <v>1841</v>
      </c>
      <c r="B473" s="13" t="s">
        <v>7801</v>
      </c>
      <c r="C473" s="13" t="s">
        <v>7802</v>
      </c>
      <c r="D473" s="13" t="s">
        <v>7803</v>
      </c>
      <c r="E473" s="13" t="s">
        <v>7804</v>
      </c>
      <c r="F473" s="13" t="s">
        <v>7805</v>
      </c>
      <c r="G473" s="14" t="s">
        <v>7806</v>
      </c>
    </row>
    <row r="474">
      <c r="A474" s="13" t="s">
        <v>94</v>
      </c>
      <c r="B474" s="13" t="s">
        <v>7807</v>
      </c>
      <c r="C474" s="13" t="s">
        <v>7808</v>
      </c>
      <c r="D474" s="13" t="s">
        <v>7809</v>
      </c>
      <c r="E474" s="13" t="s">
        <v>7810</v>
      </c>
      <c r="F474" s="13" t="s">
        <v>7811</v>
      </c>
      <c r="G474" s="14" t="s">
        <v>7812</v>
      </c>
    </row>
    <row r="475">
      <c r="A475" s="13" t="s">
        <v>1847</v>
      </c>
      <c r="B475" s="13" t="s">
        <v>7452</v>
      </c>
      <c r="C475" s="13" t="s">
        <v>7453</v>
      </c>
      <c r="D475" s="13" t="s">
        <v>7454</v>
      </c>
      <c r="E475" s="13" t="s">
        <v>7455</v>
      </c>
      <c r="F475" s="13" t="s">
        <v>7456</v>
      </c>
      <c r="G475" s="14" t="s">
        <v>7813</v>
      </c>
    </row>
    <row r="476">
      <c r="A476" s="13" t="s">
        <v>1851</v>
      </c>
      <c r="B476" s="13" t="s">
        <v>7814</v>
      </c>
      <c r="C476" s="13" t="s">
        <v>7815</v>
      </c>
      <c r="D476" s="13" t="s">
        <v>7816</v>
      </c>
      <c r="E476" s="13" t="s">
        <v>7817</v>
      </c>
      <c r="F476" s="13" t="s">
        <v>7818</v>
      </c>
      <c r="G476" s="14" t="s">
        <v>7819</v>
      </c>
    </row>
    <row r="477">
      <c r="A477" s="13" t="s">
        <v>1855</v>
      </c>
      <c r="B477" s="13" t="s">
        <v>7820</v>
      </c>
      <c r="C477" s="13" t="s">
        <v>7821</v>
      </c>
      <c r="D477" s="13" t="s">
        <v>7822</v>
      </c>
      <c r="E477" s="13" t="s">
        <v>7823</v>
      </c>
      <c r="F477" s="13" t="s">
        <v>7824</v>
      </c>
      <c r="G477" s="14" t="s">
        <v>7825</v>
      </c>
    </row>
    <row r="478">
      <c r="A478" s="13" t="s">
        <v>1860</v>
      </c>
      <c r="B478" s="13" t="s">
        <v>7826</v>
      </c>
      <c r="C478" s="13" t="s">
        <v>7827</v>
      </c>
      <c r="D478" s="13" t="s">
        <v>7828</v>
      </c>
      <c r="E478" s="13" t="s">
        <v>7829</v>
      </c>
      <c r="F478" s="13" t="s">
        <v>7830</v>
      </c>
      <c r="G478" s="14" t="s">
        <v>7831</v>
      </c>
    </row>
    <row r="479">
      <c r="A479" s="13" t="s">
        <v>1864</v>
      </c>
      <c r="B479" s="13" t="s">
        <v>7832</v>
      </c>
      <c r="C479" s="13" t="s">
        <v>7833</v>
      </c>
      <c r="D479" s="13" t="s">
        <v>7834</v>
      </c>
      <c r="E479" s="13" t="s">
        <v>7835</v>
      </c>
      <c r="F479" s="13" t="s">
        <v>7836</v>
      </c>
      <c r="G479" s="14" t="s">
        <v>7837</v>
      </c>
    </row>
    <row r="480">
      <c r="A480" s="13" t="s">
        <v>114</v>
      </c>
      <c r="B480" s="13" t="s">
        <v>5806</v>
      </c>
      <c r="C480" s="13" t="s">
        <v>5807</v>
      </c>
      <c r="D480" s="13" t="s">
        <v>5808</v>
      </c>
      <c r="E480" s="13" t="s">
        <v>5809</v>
      </c>
      <c r="F480" s="13" t="s">
        <v>5810</v>
      </c>
      <c r="G480" s="14" t="s">
        <v>7838</v>
      </c>
    </row>
    <row r="481">
      <c r="A481" s="13" t="s">
        <v>1869</v>
      </c>
      <c r="B481" s="13" t="s">
        <v>7354</v>
      </c>
      <c r="C481" s="13" t="s">
        <v>7355</v>
      </c>
      <c r="D481" s="13" t="s">
        <v>7356</v>
      </c>
      <c r="E481" s="13" t="s">
        <v>7357</v>
      </c>
      <c r="F481" s="13" t="s">
        <v>7358</v>
      </c>
      <c r="G481" s="14" t="s">
        <v>7839</v>
      </c>
    </row>
    <row r="482">
      <c r="A482" s="13" t="s">
        <v>1873</v>
      </c>
      <c r="B482" s="13" t="s">
        <v>7840</v>
      </c>
      <c r="C482" s="13" t="s">
        <v>7841</v>
      </c>
      <c r="D482" s="13" t="s">
        <v>7842</v>
      </c>
      <c r="E482" s="13" t="s">
        <v>7843</v>
      </c>
      <c r="F482" s="13" t="s">
        <v>7844</v>
      </c>
      <c r="G482" s="14" t="s">
        <v>7845</v>
      </c>
    </row>
    <row r="483">
      <c r="A483" s="13" t="s">
        <v>1877</v>
      </c>
      <c r="B483" s="13" t="s">
        <v>7430</v>
      </c>
      <c r="C483" s="13" t="s">
        <v>7431</v>
      </c>
      <c r="D483" s="13" t="s">
        <v>7432</v>
      </c>
      <c r="E483" s="13" t="s">
        <v>7433</v>
      </c>
      <c r="F483" s="13" t="s">
        <v>7434</v>
      </c>
      <c r="G483" s="14" t="s">
        <v>7563</v>
      </c>
    </row>
    <row r="484">
      <c r="A484" s="13" t="s">
        <v>1879</v>
      </c>
      <c r="B484" s="13" t="s">
        <v>7840</v>
      </c>
      <c r="C484" s="13" t="s">
        <v>7841</v>
      </c>
      <c r="D484" s="13" t="s">
        <v>7842</v>
      </c>
      <c r="E484" s="13" t="s">
        <v>7843</v>
      </c>
      <c r="F484" s="13" t="s">
        <v>7844</v>
      </c>
      <c r="G484" s="14" t="s">
        <v>7846</v>
      </c>
    </row>
    <row r="485">
      <c r="A485" s="13" t="s">
        <v>1883</v>
      </c>
      <c r="B485" s="13" t="s">
        <v>7847</v>
      </c>
      <c r="C485" s="13" t="s">
        <v>7848</v>
      </c>
      <c r="D485" s="13" t="s">
        <v>7849</v>
      </c>
      <c r="E485" s="13" t="s">
        <v>7850</v>
      </c>
      <c r="F485" s="13" t="s">
        <v>7851</v>
      </c>
      <c r="G485" s="14" t="s">
        <v>7852</v>
      </c>
    </row>
    <row r="486">
      <c r="A486" s="13" t="s">
        <v>1887</v>
      </c>
      <c r="B486" s="13" t="s">
        <v>7437</v>
      </c>
      <c r="C486" s="13" t="s">
        <v>7438</v>
      </c>
      <c r="D486" s="13" t="s">
        <v>7439</v>
      </c>
      <c r="E486" s="13" t="s">
        <v>7440</v>
      </c>
      <c r="F486" s="13" t="s">
        <v>7441</v>
      </c>
      <c r="G486" s="14" t="s">
        <v>7853</v>
      </c>
    </row>
    <row r="487">
      <c r="A487" s="13" t="s">
        <v>1890</v>
      </c>
      <c r="B487" s="13" t="s">
        <v>7854</v>
      </c>
      <c r="C487" s="13" t="s">
        <v>7855</v>
      </c>
      <c r="D487" s="13" t="s">
        <v>7856</v>
      </c>
      <c r="E487" s="13" t="s">
        <v>7857</v>
      </c>
      <c r="F487" s="13" t="s">
        <v>7858</v>
      </c>
      <c r="G487" s="14" t="s">
        <v>7859</v>
      </c>
    </row>
    <row r="488">
      <c r="A488" s="13" t="s">
        <v>1894</v>
      </c>
      <c r="B488" s="13" t="s">
        <v>5806</v>
      </c>
      <c r="C488" s="13" t="s">
        <v>5807</v>
      </c>
      <c r="D488" s="13" t="s">
        <v>5808</v>
      </c>
      <c r="E488" s="13" t="s">
        <v>5809</v>
      </c>
      <c r="F488" s="13" t="s">
        <v>5810</v>
      </c>
      <c r="G488" s="14" t="s">
        <v>7860</v>
      </c>
    </row>
    <row r="489">
      <c r="A489" s="13" t="s">
        <v>1897</v>
      </c>
      <c r="B489" s="13" t="s">
        <v>7861</v>
      </c>
      <c r="C489" s="13" t="s">
        <v>7862</v>
      </c>
      <c r="D489" s="13" t="s">
        <v>7863</v>
      </c>
      <c r="E489" s="13" t="s">
        <v>7864</v>
      </c>
      <c r="F489" s="13" t="s">
        <v>7865</v>
      </c>
      <c r="G489" s="14" t="s">
        <v>7866</v>
      </c>
    </row>
    <row r="490">
      <c r="A490" s="13" t="s">
        <v>1901</v>
      </c>
      <c r="B490" s="13" t="s">
        <v>7867</v>
      </c>
      <c r="C490" s="13" t="s">
        <v>7868</v>
      </c>
      <c r="D490" s="13" t="s">
        <v>7869</v>
      </c>
      <c r="E490" s="13" t="s">
        <v>7870</v>
      </c>
      <c r="F490" s="13" t="s">
        <v>7871</v>
      </c>
      <c r="G490" s="14" t="s">
        <v>7872</v>
      </c>
    </row>
    <row r="491">
      <c r="A491" s="13" t="s">
        <v>1905</v>
      </c>
      <c r="B491" s="13" t="s">
        <v>7476</v>
      </c>
      <c r="C491" s="13" t="s">
        <v>7477</v>
      </c>
      <c r="D491" s="13" t="s">
        <v>7478</v>
      </c>
      <c r="E491" s="13" t="s">
        <v>7479</v>
      </c>
      <c r="F491" s="13" t="s">
        <v>7480</v>
      </c>
      <c r="G491" s="14" t="s">
        <v>7709</v>
      </c>
    </row>
    <row r="492">
      <c r="A492" s="13" t="s">
        <v>1908</v>
      </c>
      <c r="B492" s="13" t="s">
        <v>7873</v>
      </c>
      <c r="C492" s="13" t="s">
        <v>7874</v>
      </c>
      <c r="D492" s="13" t="s">
        <v>7875</v>
      </c>
      <c r="E492" s="13" t="s">
        <v>7876</v>
      </c>
      <c r="F492" s="13" t="s">
        <v>7877</v>
      </c>
      <c r="G492" s="14" t="s">
        <v>7878</v>
      </c>
    </row>
    <row r="493">
      <c r="A493" s="13" t="s">
        <v>1912</v>
      </c>
      <c r="B493" s="13" t="s">
        <v>7879</v>
      </c>
      <c r="C493" s="13" t="s">
        <v>7880</v>
      </c>
      <c r="D493" s="13" t="s">
        <v>7881</v>
      </c>
      <c r="E493" s="13" t="s">
        <v>7882</v>
      </c>
      <c r="F493" s="13" t="s">
        <v>7883</v>
      </c>
      <c r="G493" s="14" t="s">
        <v>7884</v>
      </c>
    </row>
    <row r="494">
      <c r="A494" s="13" t="s">
        <v>1916</v>
      </c>
      <c r="B494" s="13" t="s">
        <v>7778</v>
      </c>
      <c r="C494" s="13" t="s">
        <v>7779</v>
      </c>
      <c r="D494" s="13" t="s">
        <v>7780</v>
      </c>
      <c r="E494" s="13" t="s">
        <v>7781</v>
      </c>
      <c r="F494" s="13" t="s">
        <v>7782</v>
      </c>
      <c r="G494" s="14" t="s">
        <v>7885</v>
      </c>
    </row>
    <row r="495">
      <c r="A495" s="13" t="s">
        <v>1920</v>
      </c>
      <c r="B495" s="13" t="s">
        <v>7886</v>
      </c>
      <c r="C495" s="13" t="s">
        <v>7887</v>
      </c>
      <c r="D495" s="13" t="s">
        <v>7888</v>
      </c>
      <c r="E495" s="13" t="s">
        <v>7889</v>
      </c>
      <c r="F495" s="13" t="s">
        <v>7890</v>
      </c>
      <c r="G495" s="14" t="s">
        <v>7891</v>
      </c>
    </row>
    <row r="496">
      <c r="A496" s="13" t="s">
        <v>1924</v>
      </c>
      <c r="B496" s="13" t="s">
        <v>7892</v>
      </c>
      <c r="C496" s="13" t="s">
        <v>7893</v>
      </c>
      <c r="D496" s="13" t="s">
        <v>7894</v>
      </c>
      <c r="E496" s="13" t="s">
        <v>7895</v>
      </c>
      <c r="F496" s="13" t="s">
        <v>7896</v>
      </c>
      <c r="G496" s="14" t="s">
        <v>7897</v>
      </c>
    </row>
    <row r="497">
      <c r="A497" s="13" t="s">
        <v>1928</v>
      </c>
      <c r="B497" s="13" t="s">
        <v>7898</v>
      </c>
      <c r="C497" s="13" t="s">
        <v>7899</v>
      </c>
      <c r="D497" s="13" t="s">
        <v>7900</v>
      </c>
      <c r="E497" s="13" t="s">
        <v>7901</v>
      </c>
      <c r="F497" s="13" t="s">
        <v>7902</v>
      </c>
      <c r="G497" s="14" t="s">
        <v>7903</v>
      </c>
    </row>
    <row r="498">
      <c r="A498" s="13" t="s">
        <v>1932</v>
      </c>
      <c r="B498" s="13" t="s">
        <v>7348</v>
      </c>
      <c r="C498" s="13" t="s">
        <v>7349</v>
      </c>
      <c r="D498" s="13" t="s">
        <v>7350</v>
      </c>
      <c r="E498" s="13" t="s">
        <v>7351</v>
      </c>
      <c r="F498" s="13" t="s">
        <v>7352</v>
      </c>
      <c r="G498" s="14" t="s">
        <v>7904</v>
      </c>
    </row>
    <row r="499">
      <c r="A499" s="13" t="s">
        <v>1935</v>
      </c>
      <c r="B499" s="13" t="s">
        <v>7726</v>
      </c>
      <c r="C499" s="13" t="s">
        <v>7727</v>
      </c>
      <c r="D499" s="13" t="s">
        <v>7728</v>
      </c>
      <c r="E499" s="13" t="s">
        <v>7729</v>
      </c>
      <c r="F499" s="13" t="s">
        <v>7730</v>
      </c>
      <c r="G499" s="14" t="s">
        <v>7905</v>
      </c>
    </row>
    <row r="500">
      <c r="A500" s="13" t="s">
        <v>1938</v>
      </c>
      <c r="B500" s="13" t="s">
        <v>7906</v>
      </c>
      <c r="C500" s="13" t="s">
        <v>7907</v>
      </c>
      <c r="D500" s="13" t="s">
        <v>7908</v>
      </c>
      <c r="E500" s="13" t="s">
        <v>7909</v>
      </c>
      <c r="F500" s="13" t="s">
        <v>7910</v>
      </c>
      <c r="G500" s="14" t="s">
        <v>7911</v>
      </c>
    </row>
    <row r="501">
      <c r="A501" s="13" t="s">
        <v>1942</v>
      </c>
      <c r="B501" s="13" t="s">
        <v>7912</v>
      </c>
      <c r="C501" s="13" t="s">
        <v>7913</v>
      </c>
      <c r="D501" s="13" t="s">
        <v>7914</v>
      </c>
      <c r="E501" s="13" t="s">
        <v>7915</v>
      </c>
      <c r="F501" s="13" t="s">
        <v>7916</v>
      </c>
      <c r="G501" s="14" t="s">
        <v>7917</v>
      </c>
    </row>
    <row r="502">
      <c r="A502" s="13" t="s">
        <v>1946</v>
      </c>
      <c r="B502" s="13" t="s">
        <v>7726</v>
      </c>
      <c r="C502" s="13" t="s">
        <v>7727</v>
      </c>
      <c r="D502" s="13" t="s">
        <v>7728</v>
      </c>
      <c r="E502" s="13" t="s">
        <v>7729</v>
      </c>
      <c r="F502" s="13" t="s">
        <v>7730</v>
      </c>
      <c r="G502" s="14" t="s">
        <v>7731</v>
      </c>
    </row>
    <row r="503">
      <c r="A503" s="13" t="s">
        <v>1950</v>
      </c>
      <c r="B503" s="13" t="s">
        <v>7657</v>
      </c>
      <c r="C503" s="13" t="s">
        <v>7658</v>
      </c>
      <c r="D503" s="13" t="s">
        <v>7659</v>
      </c>
      <c r="E503" s="13" t="s">
        <v>7660</v>
      </c>
      <c r="F503" s="13" t="s">
        <v>7661</v>
      </c>
      <c r="G503" s="14" t="s">
        <v>7918</v>
      </c>
    </row>
    <row r="504">
      <c r="A504" s="13" t="s">
        <v>1954</v>
      </c>
      <c r="B504" s="13" t="s">
        <v>7919</v>
      </c>
      <c r="C504" s="13" t="s">
        <v>7920</v>
      </c>
      <c r="D504" s="13" t="s">
        <v>7921</v>
      </c>
      <c r="E504" s="13" t="s">
        <v>7922</v>
      </c>
      <c r="F504" s="13" t="s">
        <v>7923</v>
      </c>
      <c r="G504" s="14" t="s">
        <v>7924</v>
      </c>
    </row>
    <row r="505">
      <c r="A505" s="13" t="s">
        <v>138</v>
      </c>
      <c r="B505" s="13" t="s">
        <v>7925</v>
      </c>
      <c r="C505" s="13" t="s">
        <v>7926</v>
      </c>
      <c r="D505" s="13" t="s">
        <v>7927</v>
      </c>
      <c r="E505" s="13" t="s">
        <v>7928</v>
      </c>
      <c r="F505" s="13" t="s">
        <v>7929</v>
      </c>
      <c r="G505" s="14" t="s">
        <v>7930</v>
      </c>
    </row>
    <row r="506">
      <c r="A506" s="13" t="s">
        <v>134</v>
      </c>
      <c r="B506" s="13" t="s">
        <v>5836</v>
      </c>
      <c r="C506" s="13" t="s">
        <v>5837</v>
      </c>
      <c r="D506" s="13" t="s">
        <v>5838</v>
      </c>
      <c r="E506" s="13" t="s">
        <v>5839</v>
      </c>
      <c r="F506" s="13" t="s">
        <v>5840</v>
      </c>
      <c r="G506" s="14" t="s">
        <v>7931</v>
      </c>
    </row>
    <row r="507">
      <c r="A507" s="13" t="s">
        <v>1960</v>
      </c>
      <c r="B507" s="13" t="s">
        <v>7932</v>
      </c>
      <c r="C507" s="13" t="s">
        <v>7933</v>
      </c>
      <c r="D507" s="13" t="s">
        <v>7934</v>
      </c>
      <c r="E507" s="13" t="s">
        <v>7935</v>
      </c>
      <c r="F507" s="13" t="s">
        <v>7936</v>
      </c>
      <c r="G507" s="14" t="s">
        <v>7937</v>
      </c>
    </row>
    <row r="508">
      <c r="A508" s="13" t="s">
        <v>1964</v>
      </c>
      <c r="B508" s="13" t="s">
        <v>7778</v>
      </c>
      <c r="C508" s="13" t="s">
        <v>7779</v>
      </c>
      <c r="D508" s="13" t="s">
        <v>7780</v>
      </c>
      <c r="E508" s="13" t="s">
        <v>7781</v>
      </c>
      <c r="F508" s="13" t="s">
        <v>7782</v>
      </c>
      <c r="G508" s="14" t="s">
        <v>7938</v>
      </c>
    </row>
    <row r="509">
      <c r="A509" s="13" t="s">
        <v>1968</v>
      </c>
      <c r="B509" s="13" t="s">
        <v>7330</v>
      </c>
      <c r="C509" s="13" t="s">
        <v>7331</v>
      </c>
      <c r="D509" s="13" t="s">
        <v>7332</v>
      </c>
      <c r="E509" s="13" t="s">
        <v>7333</v>
      </c>
      <c r="F509" s="13" t="s">
        <v>7334</v>
      </c>
      <c r="G509" s="14" t="s">
        <v>7939</v>
      </c>
    </row>
    <row r="510">
      <c r="A510" s="13" t="s">
        <v>1972</v>
      </c>
      <c r="B510" s="13" t="s">
        <v>7297</v>
      </c>
      <c r="C510" s="13" t="s">
        <v>7298</v>
      </c>
      <c r="D510" s="13" t="s">
        <v>7299</v>
      </c>
      <c r="E510" s="13" t="s">
        <v>7300</v>
      </c>
      <c r="F510" s="13" t="s">
        <v>7301</v>
      </c>
      <c r="G510" s="14" t="s">
        <v>7940</v>
      </c>
    </row>
    <row r="511">
      <c r="A511" s="13" t="s">
        <v>1974</v>
      </c>
      <c r="B511" s="13" t="s">
        <v>7657</v>
      </c>
      <c r="C511" s="13" t="s">
        <v>7658</v>
      </c>
      <c r="D511" s="13" t="s">
        <v>7659</v>
      </c>
      <c r="E511" s="13" t="s">
        <v>7660</v>
      </c>
      <c r="F511" s="13" t="s">
        <v>7661</v>
      </c>
      <c r="G511" s="14" t="s">
        <v>7662</v>
      </c>
    </row>
    <row r="512">
      <c r="A512" s="13" t="s">
        <v>1977</v>
      </c>
      <c r="B512" s="13" t="s">
        <v>7941</v>
      </c>
      <c r="C512" s="13" t="s">
        <v>7942</v>
      </c>
      <c r="D512" s="13" t="s">
        <v>7943</v>
      </c>
      <c r="E512" s="13" t="s">
        <v>7944</v>
      </c>
      <c r="F512" s="13" t="s">
        <v>7945</v>
      </c>
      <c r="G512" s="14" t="s">
        <v>7946</v>
      </c>
    </row>
    <row r="513">
      <c r="A513" s="13" t="s">
        <v>1981</v>
      </c>
      <c r="B513" s="13" t="s">
        <v>7912</v>
      </c>
      <c r="C513" s="13" t="s">
        <v>7913</v>
      </c>
      <c r="D513" s="13" t="s">
        <v>7914</v>
      </c>
      <c r="E513" s="13" t="s">
        <v>7915</v>
      </c>
      <c r="F513" s="13" t="s">
        <v>7916</v>
      </c>
      <c r="G513" s="14" t="s">
        <v>7947</v>
      </c>
    </row>
    <row r="514">
      <c r="A514" s="13" t="s">
        <v>1985</v>
      </c>
      <c r="B514" s="13" t="s">
        <v>7948</v>
      </c>
      <c r="C514" s="13" t="s">
        <v>7949</v>
      </c>
      <c r="D514" s="13" t="s">
        <v>7950</v>
      </c>
      <c r="E514" s="13" t="s">
        <v>7951</v>
      </c>
      <c r="F514" s="13" t="s">
        <v>7952</v>
      </c>
      <c r="G514" s="14" t="s">
        <v>7953</v>
      </c>
    </row>
    <row r="515">
      <c r="A515" s="13" t="s">
        <v>1989</v>
      </c>
      <c r="B515" s="13" t="s">
        <v>7954</v>
      </c>
      <c r="C515" s="13" t="s">
        <v>7955</v>
      </c>
      <c r="D515" s="13" t="s">
        <v>7956</v>
      </c>
      <c r="E515" s="13" t="s">
        <v>7957</v>
      </c>
      <c r="F515" s="13" t="s">
        <v>7958</v>
      </c>
      <c r="G515" s="14" t="s">
        <v>7959</v>
      </c>
    </row>
    <row r="516">
      <c r="A516" s="13" t="s">
        <v>162</v>
      </c>
      <c r="B516" s="13" t="s">
        <v>7572</v>
      </c>
      <c r="C516" s="13" t="s">
        <v>7573</v>
      </c>
      <c r="D516" s="13" t="s">
        <v>7574</v>
      </c>
      <c r="E516" s="13" t="s">
        <v>7575</v>
      </c>
      <c r="F516" s="13" t="s">
        <v>7576</v>
      </c>
      <c r="G516" s="14" t="s">
        <v>7960</v>
      </c>
    </row>
    <row r="517">
      <c r="A517" s="13" t="s">
        <v>1994</v>
      </c>
      <c r="B517" s="13" t="s">
        <v>7961</v>
      </c>
      <c r="C517" s="13" t="s">
        <v>7962</v>
      </c>
      <c r="D517" s="13" t="s">
        <v>7963</v>
      </c>
      <c r="E517" s="13" t="s">
        <v>7964</v>
      </c>
      <c r="F517" s="13" t="s">
        <v>7965</v>
      </c>
      <c r="G517" s="14" t="s">
        <v>7966</v>
      </c>
    </row>
    <row r="518">
      <c r="A518" s="13" t="s">
        <v>1998</v>
      </c>
      <c r="B518" s="13" t="s">
        <v>7745</v>
      </c>
      <c r="C518" s="13" t="s">
        <v>7746</v>
      </c>
      <c r="D518" s="13" t="s">
        <v>7747</v>
      </c>
      <c r="E518" s="13" t="s">
        <v>7748</v>
      </c>
      <c r="F518" s="13" t="s">
        <v>7749</v>
      </c>
      <c r="G518" s="14" t="s">
        <v>7967</v>
      </c>
    </row>
    <row r="519">
      <c r="A519" s="13" t="s">
        <v>2002</v>
      </c>
      <c r="B519" s="13" t="s">
        <v>7417</v>
      </c>
      <c r="C519" s="13" t="s">
        <v>7418</v>
      </c>
      <c r="D519" s="13" t="s">
        <v>7419</v>
      </c>
      <c r="E519" s="13" t="s">
        <v>7420</v>
      </c>
      <c r="F519" s="13" t="s">
        <v>7421</v>
      </c>
      <c r="G519" s="14" t="s">
        <v>7968</v>
      </c>
    </row>
    <row r="520">
      <c r="A520" s="13" t="s">
        <v>166</v>
      </c>
      <c r="B520" s="13" t="s">
        <v>5880</v>
      </c>
      <c r="C520" s="13" t="s">
        <v>5881</v>
      </c>
      <c r="D520" s="13" t="s">
        <v>5882</v>
      </c>
      <c r="E520" s="13" t="s">
        <v>5883</v>
      </c>
      <c r="F520" s="13" t="s">
        <v>5884</v>
      </c>
      <c r="G520" s="14" t="s">
        <v>7969</v>
      </c>
    </row>
    <row r="521">
      <c r="A521" s="13" t="s">
        <v>2007</v>
      </c>
      <c r="B521" s="13" t="s">
        <v>7970</v>
      </c>
      <c r="C521" s="13" t="s">
        <v>7971</v>
      </c>
      <c r="D521" s="13" t="s">
        <v>7972</v>
      </c>
      <c r="E521" s="13" t="s">
        <v>7973</v>
      </c>
      <c r="F521" s="13" t="s">
        <v>7974</v>
      </c>
      <c r="G521" s="14" t="s">
        <v>7975</v>
      </c>
    </row>
    <row r="522">
      <c r="A522" s="13" t="s">
        <v>2011</v>
      </c>
      <c r="B522" s="13" t="s">
        <v>7976</v>
      </c>
      <c r="C522" s="13" t="s">
        <v>7977</v>
      </c>
      <c r="D522" s="13" t="s">
        <v>7978</v>
      </c>
      <c r="E522" s="13" t="s">
        <v>7979</v>
      </c>
      <c r="F522" s="13" t="s">
        <v>7980</v>
      </c>
      <c r="G522" s="14" t="s">
        <v>7981</v>
      </c>
    </row>
    <row r="523">
      <c r="A523" s="13" t="s">
        <v>2015</v>
      </c>
      <c r="B523" s="13" t="s">
        <v>7854</v>
      </c>
      <c r="C523" s="13" t="s">
        <v>7855</v>
      </c>
      <c r="D523" s="13" t="s">
        <v>7856</v>
      </c>
      <c r="E523" s="13" t="s">
        <v>7857</v>
      </c>
      <c r="F523" s="13" t="s">
        <v>7858</v>
      </c>
      <c r="G523" s="14" t="s">
        <v>7982</v>
      </c>
    </row>
    <row r="524">
      <c r="A524" s="13" t="s">
        <v>2019</v>
      </c>
      <c r="B524" s="13" t="s">
        <v>7983</v>
      </c>
      <c r="C524" s="13" t="s">
        <v>7984</v>
      </c>
      <c r="D524" s="13" t="s">
        <v>7985</v>
      </c>
      <c r="E524" s="13" t="s">
        <v>7986</v>
      </c>
      <c r="F524" s="13" t="s">
        <v>7987</v>
      </c>
      <c r="G524" s="14" t="s">
        <v>7988</v>
      </c>
    </row>
    <row r="525">
      <c r="A525" s="13" t="s">
        <v>2022</v>
      </c>
      <c r="B525" s="13" t="s">
        <v>7787</v>
      </c>
      <c r="C525" s="13" t="s">
        <v>7788</v>
      </c>
      <c r="D525" s="13" t="s">
        <v>7789</v>
      </c>
      <c r="E525" s="13" t="s">
        <v>7790</v>
      </c>
      <c r="F525" s="13" t="s">
        <v>7791</v>
      </c>
      <c r="G525" s="14" t="s">
        <v>7989</v>
      </c>
    </row>
    <row r="526">
      <c r="A526" s="13" t="s">
        <v>2026</v>
      </c>
      <c r="B526" s="13" t="s">
        <v>7990</v>
      </c>
      <c r="C526" s="13" t="s">
        <v>7991</v>
      </c>
      <c r="D526" s="13" t="s">
        <v>7992</v>
      </c>
      <c r="E526" s="13" t="s">
        <v>7993</v>
      </c>
      <c r="F526" s="13" t="s">
        <v>7994</v>
      </c>
      <c r="G526" s="14" t="s">
        <v>7995</v>
      </c>
    </row>
    <row r="527">
      <c r="A527" s="13" t="s">
        <v>2030</v>
      </c>
      <c r="B527" s="13" t="s">
        <v>7772</v>
      </c>
      <c r="C527" s="13" t="s">
        <v>7773</v>
      </c>
      <c r="D527" s="13" t="s">
        <v>7774</v>
      </c>
      <c r="E527" s="13" t="s">
        <v>7775</v>
      </c>
      <c r="F527" s="13" t="s">
        <v>7776</v>
      </c>
      <c r="G527" s="14" t="s">
        <v>7996</v>
      </c>
    </row>
    <row r="528">
      <c r="A528" s="13" t="s">
        <v>2034</v>
      </c>
      <c r="B528" s="13" t="s">
        <v>7997</v>
      </c>
      <c r="C528" s="13" t="s">
        <v>7998</v>
      </c>
      <c r="D528" s="13" t="s">
        <v>7999</v>
      </c>
      <c r="E528" s="13" t="s">
        <v>8000</v>
      </c>
      <c r="F528" s="13" t="s">
        <v>8001</v>
      </c>
      <c r="G528" s="14" t="s">
        <v>8002</v>
      </c>
    </row>
    <row r="529">
      <c r="A529" s="13" t="s">
        <v>2039</v>
      </c>
      <c r="B529" s="13" t="s">
        <v>8003</v>
      </c>
      <c r="C529" s="13" t="s">
        <v>8004</v>
      </c>
      <c r="D529" s="13" t="s">
        <v>8005</v>
      </c>
      <c r="E529" s="13" t="s">
        <v>8006</v>
      </c>
      <c r="F529" s="13" t="s">
        <v>8007</v>
      </c>
      <c r="G529" s="14" t="s">
        <v>8008</v>
      </c>
    </row>
    <row r="530">
      <c r="A530" s="13" t="s">
        <v>2043</v>
      </c>
      <c r="B530" s="13" t="s">
        <v>8009</v>
      </c>
      <c r="C530" s="13" t="s">
        <v>8010</v>
      </c>
      <c r="D530" s="13" t="s">
        <v>8011</v>
      </c>
      <c r="E530" s="13" t="s">
        <v>8012</v>
      </c>
      <c r="F530" s="13" t="s">
        <v>8013</v>
      </c>
      <c r="G530" s="14" t="s">
        <v>8014</v>
      </c>
    </row>
    <row r="531">
      <c r="A531" s="13" t="s">
        <v>2047</v>
      </c>
      <c r="B531" s="13" t="s">
        <v>8015</v>
      </c>
      <c r="C531" s="13" t="s">
        <v>8016</v>
      </c>
      <c r="D531" s="13" t="s">
        <v>8017</v>
      </c>
      <c r="E531" s="13" t="s">
        <v>8018</v>
      </c>
      <c r="F531" s="13" t="s">
        <v>8019</v>
      </c>
      <c r="G531" s="14" t="s">
        <v>8020</v>
      </c>
    </row>
    <row r="532">
      <c r="A532" s="13" t="s">
        <v>2051</v>
      </c>
      <c r="B532" s="13" t="s">
        <v>8021</v>
      </c>
      <c r="C532" s="13" t="s">
        <v>8022</v>
      </c>
      <c r="D532" s="13" t="s">
        <v>8023</v>
      </c>
      <c r="E532" s="13" t="s">
        <v>8024</v>
      </c>
      <c r="F532" s="13" t="s">
        <v>8025</v>
      </c>
      <c r="G532" s="14" t="s">
        <v>8026</v>
      </c>
    </row>
    <row r="533">
      <c r="A533" s="13" t="s">
        <v>2055</v>
      </c>
      <c r="B533" s="13" t="s">
        <v>8027</v>
      </c>
      <c r="C533" s="13" t="s">
        <v>8028</v>
      </c>
      <c r="D533" s="13" t="s">
        <v>8029</v>
      </c>
      <c r="E533" s="13" t="s">
        <v>8030</v>
      </c>
      <c r="F533" s="13" t="s">
        <v>8031</v>
      </c>
      <c r="G533" s="14" t="s">
        <v>8032</v>
      </c>
    </row>
    <row r="534">
      <c r="A534" s="13" t="s">
        <v>2059</v>
      </c>
      <c r="B534" s="13" t="s">
        <v>7912</v>
      </c>
      <c r="C534" s="13" t="s">
        <v>7913</v>
      </c>
      <c r="D534" s="13" t="s">
        <v>7914</v>
      </c>
      <c r="E534" s="13" t="s">
        <v>7915</v>
      </c>
      <c r="F534" s="13" t="s">
        <v>7916</v>
      </c>
      <c r="G534" s="14" t="s">
        <v>8033</v>
      </c>
    </row>
    <row r="535">
      <c r="A535" s="13" t="s">
        <v>2063</v>
      </c>
      <c r="B535" s="13" t="s">
        <v>8034</v>
      </c>
      <c r="C535" s="13" t="s">
        <v>8035</v>
      </c>
      <c r="D535" s="13" t="s">
        <v>8036</v>
      </c>
      <c r="E535" s="13" t="s">
        <v>8037</v>
      </c>
      <c r="F535" s="13" t="s">
        <v>8038</v>
      </c>
      <c r="G535" s="14" t="s">
        <v>8039</v>
      </c>
    </row>
    <row r="536">
      <c r="A536" s="13" t="s">
        <v>2067</v>
      </c>
      <c r="B536" s="13" t="s">
        <v>8040</v>
      </c>
      <c r="C536" s="13" t="s">
        <v>8041</v>
      </c>
      <c r="D536" s="13" t="s">
        <v>8042</v>
      </c>
      <c r="E536" s="13" t="s">
        <v>8043</v>
      </c>
      <c r="F536" s="13" t="s">
        <v>8044</v>
      </c>
      <c r="G536" s="14" t="s">
        <v>8045</v>
      </c>
    </row>
    <row r="537">
      <c r="A537" s="13" t="s">
        <v>2071</v>
      </c>
      <c r="B537" s="13" t="s">
        <v>8046</v>
      </c>
      <c r="C537" s="13" t="s">
        <v>8047</v>
      </c>
      <c r="D537" s="13" t="s">
        <v>8048</v>
      </c>
      <c r="E537" s="13" t="s">
        <v>8049</v>
      </c>
      <c r="F537" s="13" t="s">
        <v>8050</v>
      </c>
      <c r="G537" s="14" t="s">
        <v>8051</v>
      </c>
    </row>
    <row r="538">
      <c r="A538" s="13" t="s">
        <v>2075</v>
      </c>
      <c r="B538" s="13" t="s">
        <v>8052</v>
      </c>
      <c r="C538" s="13" t="s">
        <v>8053</v>
      </c>
      <c r="D538" s="13" t="s">
        <v>8054</v>
      </c>
      <c r="E538" s="13" t="s">
        <v>8055</v>
      </c>
      <c r="F538" s="13" t="s">
        <v>8056</v>
      </c>
      <c r="G538" s="14" t="s">
        <v>8057</v>
      </c>
    </row>
    <row r="539">
      <c r="A539" s="13" t="s">
        <v>2080</v>
      </c>
      <c r="B539" s="13" t="s">
        <v>7330</v>
      </c>
      <c r="C539" s="13" t="s">
        <v>7331</v>
      </c>
      <c r="D539" s="13" t="s">
        <v>7332</v>
      </c>
      <c r="E539" s="13" t="s">
        <v>7333</v>
      </c>
      <c r="F539" s="13" t="s">
        <v>7334</v>
      </c>
      <c r="G539" s="14" t="s">
        <v>7335</v>
      </c>
    </row>
    <row r="540">
      <c r="A540" s="13" t="s">
        <v>2084</v>
      </c>
      <c r="B540" s="13" t="s">
        <v>8058</v>
      </c>
      <c r="C540" s="13" t="s">
        <v>8059</v>
      </c>
      <c r="D540" s="13" t="s">
        <v>8060</v>
      </c>
      <c r="E540" s="13" t="s">
        <v>8061</v>
      </c>
      <c r="F540" s="13" t="s">
        <v>8062</v>
      </c>
      <c r="G540" s="14" t="s">
        <v>8063</v>
      </c>
    </row>
    <row r="541">
      <c r="A541" s="13" t="s">
        <v>2088</v>
      </c>
      <c r="B541" s="13" t="s">
        <v>8064</v>
      </c>
      <c r="C541" s="13" t="s">
        <v>8065</v>
      </c>
      <c r="D541" s="13" t="s">
        <v>8066</v>
      </c>
      <c r="E541" s="13" t="s">
        <v>8067</v>
      </c>
      <c r="F541" s="13" t="s">
        <v>8068</v>
      </c>
      <c r="G541" s="14" t="s">
        <v>8069</v>
      </c>
    </row>
    <row r="542">
      <c r="A542" s="13" t="s">
        <v>231</v>
      </c>
      <c r="B542" s="13" t="s">
        <v>5956</v>
      </c>
      <c r="C542" s="13" t="s">
        <v>5957</v>
      </c>
      <c r="D542" s="13" t="s">
        <v>5958</v>
      </c>
      <c r="E542" s="13" t="s">
        <v>5959</v>
      </c>
      <c r="F542" s="13" t="s">
        <v>5960</v>
      </c>
      <c r="G542" s="14" t="s">
        <v>8070</v>
      </c>
    </row>
    <row r="543">
      <c r="A543" s="13" t="s">
        <v>2094</v>
      </c>
      <c r="B543" s="13" t="s">
        <v>8071</v>
      </c>
      <c r="C543" s="13" t="s">
        <v>8072</v>
      </c>
      <c r="D543" s="13" t="s">
        <v>8073</v>
      </c>
      <c r="E543" s="13" t="s">
        <v>8074</v>
      </c>
      <c r="F543" s="13" t="s">
        <v>8075</v>
      </c>
      <c r="G543" s="14" t="s">
        <v>8076</v>
      </c>
    </row>
    <row r="544">
      <c r="A544" s="13" t="s">
        <v>2098</v>
      </c>
      <c r="B544" s="13" t="s">
        <v>8077</v>
      </c>
      <c r="C544" s="13" t="s">
        <v>8078</v>
      </c>
      <c r="D544" s="13" t="s">
        <v>8079</v>
      </c>
      <c r="E544" s="13" t="s">
        <v>8080</v>
      </c>
      <c r="F544" s="13" t="s">
        <v>8081</v>
      </c>
      <c r="G544" s="14" t="s">
        <v>8082</v>
      </c>
    </row>
    <row r="545">
      <c r="A545" s="13" t="s">
        <v>2102</v>
      </c>
      <c r="B545" s="13" t="s">
        <v>8083</v>
      </c>
      <c r="C545" s="13" t="s">
        <v>8084</v>
      </c>
      <c r="D545" s="13" t="s">
        <v>8085</v>
      </c>
      <c r="E545" s="13" t="s">
        <v>8086</v>
      </c>
      <c r="F545" s="13" t="s">
        <v>8087</v>
      </c>
      <c r="G545" s="14" t="s">
        <v>8088</v>
      </c>
    </row>
    <row r="546">
      <c r="A546" s="13" t="s">
        <v>2106</v>
      </c>
      <c r="B546" s="13" t="s">
        <v>8089</v>
      </c>
      <c r="C546" s="13" t="s">
        <v>8090</v>
      </c>
      <c r="D546" s="13" t="s">
        <v>8091</v>
      </c>
      <c r="E546" s="13" t="s">
        <v>8092</v>
      </c>
      <c r="F546" s="13" t="s">
        <v>8093</v>
      </c>
      <c r="G546" s="14" t="s">
        <v>8094</v>
      </c>
    </row>
    <row r="547">
      <c r="A547" s="13" t="s">
        <v>2110</v>
      </c>
      <c r="B547" s="13" t="s">
        <v>8095</v>
      </c>
      <c r="C547" s="13" t="s">
        <v>8096</v>
      </c>
      <c r="D547" s="13" t="s">
        <v>8097</v>
      </c>
      <c r="E547" s="13" t="s">
        <v>8098</v>
      </c>
      <c r="F547" s="13" t="s">
        <v>8099</v>
      </c>
      <c r="G547" s="14" t="s">
        <v>8100</v>
      </c>
    </row>
    <row r="548">
      <c r="A548" s="13" t="s">
        <v>2114</v>
      </c>
      <c r="B548" s="13" t="s">
        <v>8101</v>
      </c>
      <c r="C548" s="13" t="s">
        <v>8102</v>
      </c>
      <c r="D548" s="13" t="s">
        <v>8103</v>
      </c>
      <c r="E548" s="13" t="s">
        <v>8104</v>
      </c>
      <c r="F548" s="13" t="s">
        <v>8105</v>
      </c>
      <c r="G548" s="14" t="s">
        <v>8106</v>
      </c>
    </row>
    <row r="549">
      <c r="A549" s="13" t="s">
        <v>2118</v>
      </c>
      <c r="B549" s="13" t="s">
        <v>8107</v>
      </c>
      <c r="C549" s="13" t="s">
        <v>8108</v>
      </c>
      <c r="D549" s="13" t="s">
        <v>8109</v>
      </c>
      <c r="E549" s="13" t="s">
        <v>8110</v>
      </c>
      <c r="F549" s="13" t="s">
        <v>8111</v>
      </c>
      <c r="G549" s="14" t="s">
        <v>8112</v>
      </c>
    </row>
    <row r="550">
      <c r="A550" s="13" t="s">
        <v>2122</v>
      </c>
      <c r="B550" s="13" t="s">
        <v>8113</v>
      </c>
      <c r="C550" s="13" t="s">
        <v>8114</v>
      </c>
      <c r="D550" s="13" t="s">
        <v>8115</v>
      </c>
      <c r="E550" s="13" t="s">
        <v>8116</v>
      </c>
      <c r="F550" s="13" t="s">
        <v>8117</v>
      </c>
      <c r="G550" s="14" t="s">
        <v>8118</v>
      </c>
    </row>
    <row r="551">
      <c r="A551" s="13" t="s">
        <v>2126</v>
      </c>
      <c r="B551" s="13" t="s">
        <v>8119</v>
      </c>
      <c r="C551" s="13" t="s">
        <v>8120</v>
      </c>
      <c r="D551" s="13" t="s">
        <v>8121</v>
      </c>
      <c r="E551" s="13" t="s">
        <v>8122</v>
      </c>
      <c r="F551" s="13" t="s">
        <v>8123</v>
      </c>
      <c r="G551" s="14" t="s">
        <v>8124</v>
      </c>
    </row>
    <row r="552">
      <c r="A552" s="13" t="s">
        <v>2130</v>
      </c>
      <c r="B552" s="13" t="s">
        <v>8125</v>
      </c>
      <c r="C552" s="13" t="s">
        <v>8126</v>
      </c>
      <c r="D552" s="13" t="s">
        <v>8127</v>
      </c>
      <c r="E552" s="13" t="s">
        <v>8128</v>
      </c>
      <c r="F552" s="13" t="s">
        <v>8129</v>
      </c>
      <c r="G552" s="14" t="s">
        <v>8130</v>
      </c>
    </row>
    <row r="553">
      <c r="A553" s="13" t="s">
        <v>2134</v>
      </c>
      <c r="B553" s="13" t="s">
        <v>8131</v>
      </c>
      <c r="C553" s="13" t="s">
        <v>8132</v>
      </c>
      <c r="D553" s="13" t="s">
        <v>8133</v>
      </c>
      <c r="E553" s="13" t="s">
        <v>8134</v>
      </c>
      <c r="F553" s="13" t="s">
        <v>8135</v>
      </c>
      <c r="G553" s="14" t="s">
        <v>8136</v>
      </c>
    </row>
    <row r="554">
      <c r="A554" s="13" t="s">
        <v>2138</v>
      </c>
      <c r="B554" s="13" t="s">
        <v>8137</v>
      </c>
      <c r="C554" s="13" t="s">
        <v>8138</v>
      </c>
      <c r="D554" s="13" t="s">
        <v>8139</v>
      </c>
      <c r="E554" s="13" t="s">
        <v>8140</v>
      </c>
      <c r="F554" s="13" t="s">
        <v>8141</v>
      </c>
      <c r="G554" s="14" t="s">
        <v>8142</v>
      </c>
    </row>
    <row r="555">
      <c r="A555" s="13" t="s">
        <v>2143</v>
      </c>
      <c r="B555" s="13" t="s">
        <v>8143</v>
      </c>
      <c r="C555" s="13" t="s">
        <v>8144</v>
      </c>
      <c r="D555" s="13" t="s">
        <v>8145</v>
      </c>
      <c r="E555" s="13" t="s">
        <v>8146</v>
      </c>
      <c r="F555" s="13" t="s">
        <v>8147</v>
      </c>
      <c r="G555" s="14" t="s">
        <v>8148</v>
      </c>
    </row>
    <row r="556">
      <c r="A556" s="13" t="s">
        <v>2147</v>
      </c>
      <c r="B556" s="13" t="s">
        <v>7657</v>
      </c>
      <c r="C556" s="13" t="s">
        <v>7658</v>
      </c>
      <c r="D556" s="13" t="s">
        <v>7659</v>
      </c>
      <c r="E556" s="13" t="s">
        <v>7660</v>
      </c>
      <c r="F556" s="13" t="s">
        <v>7661</v>
      </c>
      <c r="G556" s="14" t="s">
        <v>7918</v>
      </c>
    </row>
    <row r="557">
      <c r="A557" s="13" t="s">
        <v>2149</v>
      </c>
      <c r="B557" s="13" t="s">
        <v>8149</v>
      </c>
      <c r="C557" s="13" t="s">
        <v>8150</v>
      </c>
      <c r="D557" s="13" t="s">
        <v>8151</v>
      </c>
      <c r="E557" s="13" t="s">
        <v>8152</v>
      </c>
      <c r="F557" s="13" t="s">
        <v>8153</v>
      </c>
      <c r="G557" s="14" t="s">
        <v>8154</v>
      </c>
    </row>
    <row r="558">
      <c r="A558" s="13" t="s">
        <v>2153</v>
      </c>
      <c r="B558" s="13" t="s">
        <v>7664</v>
      </c>
      <c r="C558" s="13" t="s">
        <v>7665</v>
      </c>
      <c r="D558" s="13" t="s">
        <v>7666</v>
      </c>
      <c r="E558" s="13" t="s">
        <v>7667</v>
      </c>
      <c r="F558" s="13" t="s">
        <v>7668</v>
      </c>
      <c r="G558" s="14" t="s">
        <v>8155</v>
      </c>
    </row>
    <row r="559">
      <c r="A559" s="13" t="s">
        <v>2157</v>
      </c>
      <c r="B559" s="13" t="s">
        <v>8156</v>
      </c>
      <c r="C559" s="13" t="s">
        <v>8157</v>
      </c>
      <c r="D559" s="13" t="s">
        <v>8158</v>
      </c>
      <c r="E559" s="13" t="s">
        <v>8159</v>
      </c>
      <c r="F559" s="13" t="s">
        <v>8160</v>
      </c>
      <c r="G559" s="14" t="s">
        <v>8161</v>
      </c>
    </row>
    <row r="560">
      <c r="A560" s="13" t="s">
        <v>2162</v>
      </c>
      <c r="B560" s="13" t="s">
        <v>8162</v>
      </c>
      <c r="C560" s="13" t="s">
        <v>8163</v>
      </c>
      <c r="D560" s="13" t="s">
        <v>8164</v>
      </c>
      <c r="E560" s="13" t="s">
        <v>8165</v>
      </c>
      <c r="F560" s="13" t="s">
        <v>8166</v>
      </c>
      <c r="G560" s="14" t="s">
        <v>8167</v>
      </c>
    </row>
    <row r="561">
      <c r="A561" s="13" t="s">
        <v>2166</v>
      </c>
      <c r="B561" s="13" t="s">
        <v>7417</v>
      </c>
      <c r="C561" s="13" t="s">
        <v>7418</v>
      </c>
      <c r="D561" s="13" t="s">
        <v>7419</v>
      </c>
      <c r="E561" s="13" t="s">
        <v>7420</v>
      </c>
      <c r="F561" s="13" t="s">
        <v>7421</v>
      </c>
      <c r="G561" s="14" t="s">
        <v>8168</v>
      </c>
    </row>
    <row r="562">
      <c r="A562" s="13" t="s">
        <v>2170</v>
      </c>
      <c r="B562" s="13" t="s">
        <v>8169</v>
      </c>
      <c r="C562" s="13" t="s">
        <v>8170</v>
      </c>
      <c r="D562" s="13" t="s">
        <v>8171</v>
      </c>
      <c r="E562" s="13" t="s">
        <v>8172</v>
      </c>
      <c r="F562" s="13" t="s">
        <v>8173</v>
      </c>
      <c r="G562" s="14" t="s">
        <v>8174</v>
      </c>
    </row>
    <row r="563">
      <c r="A563" s="13" t="s">
        <v>2174</v>
      </c>
      <c r="B563" s="13" t="s">
        <v>8175</v>
      </c>
      <c r="C563" s="13" t="s">
        <v>8176</v>
      </c>
      <c r="D563" s="13" t="s">
        <v>8177</v>
      </c>
      <c r="E563" s="13" t="s">
        <v>8178</v>
      </c>
      <c r="F563" s="13" t="s">
        <v>8179</v>
      </c>
      <c r="G563" s="14" t="s">
        <v>8180</v>
      </c>
    </row>
    <row r="564">
      <c r="A564" s="13" t="s">
        <v>301</v>
      </c>
      <c r="B564" s="13" t="s">
        <v>6043</v>
      </c>
      <c r="C564" s="13" t="s">
        <v>6044</v>
      </c>
      <c r="D564" s="13" t="s">
        <v>6045</v>
      </c>
      <c r="E564" s="13" t="s">
        <v>6046</v>
      </c>
      <c r="F564" s="13" t="s">
        <v>6047</v>
      </c>
      <c r="G564" s="14" t="s">
        <v>8181</v>
      </c>
    </row>
    <row r="565">
      <c r="A565" s="13" t="s">
        <v>2179</v>
      </c>
      <c r="B565" s="13" t="s">
        <v>8182</v>
      </c>
      <c r="C565" s="13" t="s">
        <v>8183</v>
      </c>
      <c r="D565" s="13" t="s">
        <v>8184</v>
      </c>
      <c r="E565" s="13" t="s">
        <v>8185</v>
      </c>
      <c r="F565" s="13" t="s">
        <v>8186</v>
      </c>
      <c r="G565" s="14" t="s">
        <v>8187</v>
      </c>
    </row>
    <row r="566">
      <c r="A566" s="13" t="s">
        <v>317</v>
      </c>
      <c r="B566" s="13" t="s">
        <v>6062</v>
      </c>
      <c r="C566" s="13" t="s">
        <v>6063</v>
      </c>
      <c r="D566" s="13" t="s">
        <v>6064</v>
      </c>
      <c r="E566" s="13" t="s">
        <v>6065</v>
      </c>
      <c r="F566" s="13" t="s">
        <v>6066</v>
      </c>
      <c r="G566" s="14" t="s">
        <v>8188</v>
      </c>
    </row>
    <row r="567">
      <c r="A567" s="13" t="s">
        <v>2184</v>
      </c>
      <c r="B567" s="13" t="s">
        <v>7970</v>
      </c>
      <c r="C567" s="13" t="s">
        <v>7971</v>
      </c>
      <c r="D567" s="13" t="s">
        <v>7972</v>
      </c>
      <c r="E567" s="13" t="s">
        <v>7973</v>
      </c>
      <c r="F567" s="13" t="s">
        <v>7974</v>
      </c>
      <c r="G567" s="14" t="s">
        <v>8189</v>
      </c>
    </row>
    <row r="568">
      <c r="A568" s="13" t="s">
        <v>2188</v>
      </c>
      <c r="B568" s="13" t="s">
        <v>7452</v>
      </c>
      <c r="C568" s="13" t="s">
        <v>7453</v>
      </c>
      <c r="D568" s="13" t="s">
        <v>7454</v>
      </c>
      <c r="E568" s="13" t="s">
        <v>7455</v>
      </c>
      <c r="F568" s="13" t="s">
        <v>7456</v>
      </c>
      <c r="G568" s="14" t="s">
        <v>7458</v>
      </c>
    </row>
    <row r="569">
      <c r="A569" s="13" t="s">
        <v>2192</v>
      </c>
      <c r="B569" s="13" t="s">
        <v>8190</v>
      </c>
      <c r="C569" s="13" t="s">
        <v>8191</v>
      </c>
      <c r="D569" s="13" t="s">
        <v>8192</v>
      </c>
      <c r="E569" s="13" t="s">
        <v>8193</v>
      </c>
      <c r="F569" s="13" t="s">
        <v>8194</v>
      </c>
      <c r="G569" s="14" t="s">
        <v>8195</v>
      </c>
    </row>
    <row r="570">
      <c r="A570" s="13" t="s">
        <v>2196</v>
      </c>
      <c r="B570" s="13" t="s">
        <v>8196</v>
      </c>
      <c r="C570" s="13" t="s">
        <v>8197</v>
      </c>
      <c r="D570" s="13" t="s">
        <v>8198</v>
      </c>
      <c r="E570" s="13" t="s">
        <v>8199</v>
      </c>
      <c r="F570" s="13" t="s">
        <v>8200</v>
      </c>
      <c r="G570" s="14" t="s">
        <v>8201</v>
      </c>
    </row>
    <row r="571">
      <c r="A571" s="13" t="s">
        <v>325</v>
      </c>
      <c r="B571" s="13" t="s">
        <v>6074</v>
      </c>
      <c r="C571" s="13" t="s">
        <v>6075</v>
      </c>
      <c r="D571" s="13" t="s">
        <v>6076</v>
      </c>
      <c r="E571" s="13" t="s">
        <v>6077</v>
      </c>
      <c r="F571" s="13" t="s">
        <v>6078</v>
      </c>
      <c r="G571" s="14" t="s">
        <v>8202</v>
      </c>
    </row>
    <row r="572">
      <c r="A572" s="13" t="s">
        <v>329</v>
      </c>
      <c r="B572" s="13" t="s">
        <v>6080</v>
      </c>
      <c r="C572" s="13" t="s">
        <v>6081</v>
      </c>
      <c r="D572" s="13" t="s">
        <v>6082</v>
      </c>
      <c r="E572" s="13" t="s">
        <v>6083</v>
      </c>
      <c r="F572" s="13" t="s">
        <v>6084</v>
      </c>
      <c r="G572" s="14" t="s">
        <v>8203</v>
      </c>
    </row>
    <row r="573">
      <c r="A573" s="13" t="s">
        <v>2202</v>
      </c>
      <c r="B573" s="13" t="s">
        <v>8204</v>
      </c>
      <c r="C573" s="13" t="s">
        <v>8205</v>
      </c>
      <c r="D573" s="13" t="s">
        <v>8206</v>
      </c>
      <c r="E573" s="13" t="s">
        <v>8207</v>
      </c>
      <c r="F573" s="13" t="s">
        <v>8208</v>
      </c>
      <c r="G573" s="14" t="s">
        <v>8209</v>
      </c>
    </row>
    <row r="574">
      <c r="A574" s="13" t="s">
        <v>2206</v>
      </c>
      <c r="B574" s="13" t="s">
        <v>8210</v>
      </c>
      <c r="C574" s="13" t="s">
        <v>8211</v>
      </c>
      <c r="D574" s="13" t="s">
        <v>8212</v>
      </c>
      <c r="E574" s="13" t="s">
        <v>8213</v>
      </c>
      <c r="F574" s="13" t="s">
        <v>8214</v>
      </c>
      <c r="G574" s="14" t="s">
        <v>8215</v>
      </c>
    </row>
    <row r="575">
      <c r="A575" s="13" t="s">
        <v>2210</v>
      </c>
      <c r="B575" s="13" t="s">
        <v>8216</v>
      </c>
      <c r="C575" s="13" t="s">
        <v>8217</v>
      </c>
      <c r="D575" s="13" t="s">
        <v>8218</v>
      </c>
      <c r="E575" s="13" t="s">
        <v>8219</v>
      </c>
      <c r="F575" s="13" t="s">
        <v>8220</v>
      </c>
      <c r="G575" s="14" t="s">
        <v>8221</v>
      </c>
    </row>
    <row r="576">
      <c r="A576" s="13" t="s">
        <v>2214</v>
      </c>
      <c r="B576" s="13" t="s">
        <v>7463</v>
      </c>
      <c r="C576" s="13" t="s">
        <v>7464</v>
      </c>
      <c r="D576" s="13" t="s">
        <v>7465</v>
      </c>
      <c r="E576" s="13" t="s">
        <v>7466</v>
      </c>
      <c r="F576" s="13" t="s">
        <v>7467</v>
      </c>
      <c r="G576" s="14" t="s">
        <v>8222</v>
      </c>
    </row>
    <row r="577">
      <c r="A577" s="13" t="s">
        <v>2217</v>
      </c>
      <c r="B577" s="13" t="s">
        <v>8223</v>
      </c>
      <c r="C577" s="13" t="s">
        <v>8224</v>
      </c>
      <c r="D577" s="13" t="s">
        <v>8225</v>
      </c>
      <c r="E577" s="13" t="s">
        <v>8226</v>
      </c>
      <c r="F577" s="13" t="s">
        <v>8227</v>
      </c>
      <c r="G577" s="14" t="s">
        <v>8228</v>
      </c>
    </row>
    <row r="578">
      <c r="A578" s="13" t="s">
        <v>2221</v>
      </c>
      <c r="B578" s="13" t="s">
        <v>8229</v>
      </c>
      <c r="C578" s="13" t="s">
        <v>8230</v>
      </c>
      <c r="D578" s="13" t="s">
        <v>8231</v>
      </c>
      <c r="E578" s="13" t="s">
        <v>8232</v>
      </c>
      <c r="F578" s="13" t="s">
        <v>8233</v>
      </c>
      <c r="G578" s="14" t="s">
        <v>8234</v>
      </c>
    </row>
    <row r="579">
      <c r="A579" s="13" t="s">
        <v>2225</v>
      </c>
      <c r="B579" s="13" t="s">
        <v>8235</v>
      </c>
      <c r="C579" s="13" t="s">
        <v>8236</v>
      </c>
      <c r="D579" s="13" t="s">
        <v>8237</v>
      </c>
      <c r="E579" s="13" t="s">
        <v>8238</v>
      </c>
      <c r="F579" s="13" t="s">
        <v>8239</v>
      </c>
      <c r="G579" s="14" t="s">
        <v>8240</v>
      </c>
    </row>
    <row r="580">
      <c r="A580" s="13" t="s">
        <v>2229</v>
      </c>
      <c r="B580" s="13" t="s">
        <v>8241</v>
      </c>
      <c r="C580" s="13" t="s">
        <v>8242</v>
      </c>
      <c r="D580" s="13" t="s">
        <v>8243</v>
      </c>
      <c r="E580" s="13" t="s">
        <v>8244</v>
      </c>
      <c r="F580" s="13" t="s">
        <v>8245</v>
      </c>
      <c r="G580" s="14" t="s">
        <v>8246</v>
      </c>
    </row>
    <row r="581">
      <c r="A581" s="13" t="s">
        <v>2234</v>
      </c>
      <c r="B581" s="13" t="s">
        <v>8247</v>
      </c>
      <c r="C581" s="13" t="s">
        <v>8248</v>
      </c>
      <c r="D581" s="13" t="s">
        <v>8249</v>
      </c>
      <c r="E581" s="13" t="s">
        <v>8250</v>
      </c>
      <c r="F581" s="13" t="s">
        <v>8251</v>
      </c>
      <c r="G581" s="14" t="s">
        <v>8252</v>
      </c>
    </row>
    <row r="582">
      <c r="A582" s="13" t="s">
        <v>2238</v>
      </c>
      <c r="B582" s="13" t="s">
        <v>7826</v>
      </c>
      <c r="C582" s="13" t="s">
        <v>7827</v>
      </c>
      <c r="D582" s="13" t="s">
        <v>7828</v>
      </c>
      <c r="E582" s="13" t="s">
        <v>7829</v>
      </c>
      <c r="F582" s="13" t="s">
        <v>7830</v>
      </c>
      <c r="G582" s="14" t="s">
        <v>8253</v>
      </c>
    </row>
    <row r="583">
      <c r="A583" s="13" t="s">
        <v>2242</v>
      </c>
      <c r="B583" s="13" t="s">
        <v>7430</v>
      </c>
      <c r="C583" s="13" t="s">
        <v>7431</v>
      </c>
      <c r="D583" s="13" t="s">
        <v>7432</v>
      </c>
      <c r="E583" s="13" t="s">
        <v>7433</v>
      </c>
      <c r="F583" s="13" t="s">
        <v>7434</v>
      </c>
      <c r="G583" s="14" t="s">
        <v>8254</v>
      </c>
    </row>
    <row r="584">
      <c r="A584" s="13" t="s">
        <v>2245</v>
      </c>
      <c r="B584" s="13" t="s">
        <v>8255</v>
      </c>
      <c r="C584" s="13" t="s">
        <v>8256</v>
      </c>
      <c r="D584" s="13" t="s">
        <v>8257</v>
      </c>
      <c r="E584" s="13" t="s">
        <v>8258</v>
      </c>
      <c r="F584" s="13" t="s">
        <v>8259</v>
      </c>
      <c r="G584" s="14" t="s">
        <v>8260</v>
      </c>
    </row>
    <row r="585">
      <c r="A585" s="13" t="s">
        <v>2249</v>
      </c>
      <c r="B585" s="13" t="s">
        <v>8261</v>
      </c>
      <c r="C585" s="13" t="s">
        <v>8262</v>
      </c>
      <c r="D585" s="13" t="s">
        <v>8263</v>
      </c>
      <c r="E585" s="13" t="s">
        <v>8264</v>
      </c>
      <c r="F585" s="13" t="s">
        <v>8265</v>
      </c>
      <c r="G585" s="14" t="s">
        <v>8266</v>
      </c>
    </row>
    <row r="586">
      <c r="A586" s="13" t="s">
        <v>2253</v>
      </c>
      <c r="B586" s="13" t="s">
        <v>7384</v>
      </c>
      <c r="C586" s="13" t="s">
        <v>7385</v>
      </c>
      <c r="D586" s="13" t="s">
        <v>7386</v>
      </c>
      <c r="E586" s="13" t="s">
        <v>7387</v>
      </c>
      <c r="F586" s="13" t="s">
        <v>7388</v>
      </c>
      <c r="G586" s="14" t="s">
        <v>8267</v>
      </c>
    </row>
    <row r="587">
      <c r="A587" s="13" t="s">
        <v>2256</v>
      </c>
      <c r="B587" s="13" t="s">
        <v>8268</v>
      </c>
      <c r="C587" s="13" t="s">
        <v>8269</v>
      </c>
      <c r="D587" s="13" t="s">
        <v>8270</v>
      </c>
      <c r="E587" s="13" t="s">
        <v>8271</v>
      </c>
      <c r="F587" s="13" t="s">
        <v>8272</v>
      </c>
      <c r="G587" s="14" t="s">
        <v>8273</v>
      </c>
    </row>
    <row r="588">
      <c r="A588" s="13" t="s">
        <v>1359</v>
      </c>
      <c r="B588" s="13" t="s">
        <v>7297</v>
      </c>
      <c r="C588" s="13" t="s">
        <v>7298</v>
      </c>
      <c r="D588" s="13" t="s">
        <v>7299</v>
      </c>
      <c r="E588" s="13" t="s">
        <v>7300</v>
      </c>
      <c r="F588" s="13" t="s">
        <v>7301</v>
      </c>
      <c r="G588" s="14" t="s">
        <v>8274</v>
      </c>
    </row>
    <row r="589">
      <c r="A589" s="13" t="s">
        <v>1363</v>
      </c>
      <c r="B589" s="13" t="s">
        <v>7303</v>
      </c>
      <c r="C589" s="13" t="s">
        <v>7304</v>
      </c>
      <c r="D589" s="13" t="s">
        <v>7305</v>
      </c>
      <c r="E589" s="13" t="s">
        <v>7306</v>
      </c>
      <c r="F589" s="13" t="s">
        <v>7307</v>
      </c>
      <c r="G589" s="14" t="s">
        <v>8275</v>
      </c>
    </row>
    <row r="590">
      <c r="A590" s="13" t="s">
        <v>2262</v>
      </c>
      <c r="B590" s="13" t="s">
        <v>8276</v>
      </c>
      <c r="C590" s="13" t="s">
        <v>8277</v>
      </c>
      <c r="D590" s="13" t="s">
        <v>8278</v>
      </c>
      <c r="E590" s="13" t="s">
        <v>8279</v>
      </c>
      <c r="F590" s="13" t="s">
        <v>8280</v>
      </c>
      <c r="G590" s="14" t="s">
        <v>8281</v>
      </c>
    </row>
    <row r="591">
      <c r="A591" s="13" t="s">
        <v>2267</v>
      </c>
      <c r="B591" s="13" t="s">
        <v>8282</v>
      </c>
      <c r="C591" s="13" t="s">
        <v>8283</v>
      </c>
      <c r="D591" s="13" t="s">
        <v>8284</v>
      </c>
      <c r="E591" s="13" t="s">
        <v>8285</v>
      </c>
      <c r="F591" s="13" t="s">
        <v>8286</v>
      </c>
      <c r="G591" s="14" t="s">
        <v>8287</v>
      </c>
    </row>
    <row r="592">
      <c r="A592" s="13" t="s">
        <v>2272</v>
      </c>
      <c r="B592" s="13" t="s">
        <v>8288</v>
      </c>
      <c r="C592" s="13" t="s">
        <v>8289</v>
      </c>
      <c r="D592" s="13" t="s">
        <v>8290</v>
      </c>
      <c r="E592" s="13" t="s">
        <v>8291</v>
      </c>
      <c r="F592" s="13" t="s">
        <v>8292</v>
      </c>
      <c r="G592" s="14" t="s">
        <v>8293</v>
      </c>
    </row>
    <row r="593">
      <c r="A593" s="13" t="s">
        <v>2277</v>
      </c>
      <c r="B593" s="13" t="s">
        <v>8294</v>
      </c>
      <c r="C593" s="13" t="s">
        <v>8295</v>
      </c>
      <c r="D593" s="13" t="s">
        <v>8296</v>
      </c>
      <c r="E593" s="13" t="s">
        <v>8297</v>
      </c>
      <c r="F593" s="13" t="s">
        <v>8298</v>
      </c>
      <c r="G593" s="14" t="s">
        <v>8299</v>
      </c>
    </row>
    <row r="594">
      <c r="A594" s="13" t="s">
        <v>2281</v>
      </c>
      <c r="B594" s="13" t="s">
        <v>8300</v>
      </c>
      <c r="C594" s="13" t="s">
        <v>8301</v>
      </c>
      <c r="D594" s="13" t="s">
        <v>8302</v>
      </c>
      <c r="E594" s="13" t="s">
        <v>8303</v>
      </c>
      <c r="F594" s="13" t="s">
        <v>8304</v>
      </c>
      <c r="G594" s="14" t="s">
        <v>8305</v>
      </c>
    </row>
    <row r="595">
      <c r="A595" s="13" t="s">
        <v>1391</v>
      </c>
      <c r="B595" s="13" t="s">
        <v>7330</v>
      </c>
      <c r="C595" s="13" t="s">
        <v>7331</v>
      </c>
      <c r="D595" s="13" t="s">
        <v>7332</v>
      </c>
      <c r="E595" s="13" t="s">
        <v>7333</v>
      </c>
      <c r="F595" s="13" t="s">
        <v>7334</v>
      </c>
      <c r="G595" s="14" t="s">
        <v>8306</v>
      </c>
    </row>
    <row r="596">
      <c r="A596" s="13" t="s">
        <v>1396</v>
      </c>
      <c r="B596" s="13" t="s">
        <v>7336</v>
      </c>
      <c r="C596" s="13" t="s">
        <v>7337</v>
      </c>
      <c r="D596" s="13" t="s">
        <v>7338</v>
      </c>
      <c r="E596" s="13" t="s">
        <v>7339</v>
      </c>
      <c r="F596" s="13" t="s">
        <v>7340</v>
      </c>
      <c r="G596" s="14" t="s">
        <v>8307</v>
      </c>
    </row>
    <row r="597">
      <c r="A597" s="13" t="s">
        <v>2288</v>
      </c>
      <c r="B597" s="13" t="s">
        <v>8308</v>
      </c>
      <c r="C597" s="13" t="s">
        <v>8309</v>
      </c>
      <c r="D597" s="13" t="s">
        <v>8310</v>
      </c>
      <c r="E597" s="13" t="s">
        <v>8311</v>
      </c>
      <c r="F597" s="13" t="s">
        <v>8312</v>
      </c>
      <c r="G597" s="14" t="s">
        <v>8313</v>
      </c>
    </row>
    <row r="598">
      <c r="A598" s="13" t="s">
        <v>2292</v>
      </c>
      <c r="B598" s="13" t="s">
        <v>8314</v>
      </c>
      <c r="C598" s="13" t="s">
        <v>8315</v>
      </c>
      <c r="D598" s="13" t="s">
        <v>8316</v>
      </c>
      <c r="E598" s="13" t="s">
        <v>8317</v>
      </c>
      <c r="F598" s="13" t="s">
        <v>8318</v>
      </c>
      <c r="G598" s="14" t="s">
        <v>8319</v>
      </c>
    </row>
    <row r="599">
      <c r="A599" s="13" t="s">
        <v>2297</v>
      </c>
      <c r="B599" s="13" t="s">
        <v>8320</v>
      </c>
      <c r="C599" s="13" t="s">
        <v>8321</v>
      </c>
      <c r="D599" s="13" t="s">
        <v>8322</v>
      </c>
      <c r="E599" s="13" t="s">
        <v>8323</v>
      </c>
      <c r="F599" s="13" t="s">
        <v>8324</v>
      </c>
      <c r="G599" s="14" t="s">
        <v>8325</v>
      </c>
    </row>
    <row r="600">
      <c r="A600" s="13" t="s">
        <v>1409</v>
      </c>
      <c r="B600" s="13" t="s">
        <v>7354</v>
      </c>
      <c r="C600" s="13" t="s">
        <v>7355</v>
      </c>
      <c r="D600" s="13" t="s">
        <v>7356</v>
      </c>
      <c r="E600" s="13" t="s">
        <v>7357</v>
      </c>
      <c r="F600" s="13" t="s">
        <v>7358</v>
      </c>
      <c r="G600" s="14" t="s">
        <v>8326</v>
      </c>
    </row>
    <row r="601">
      <c r="A601" s="13" t="s">
        <v>2302</v>
      </c>
      <c r="B601" s="13" t="s">
        <v>8327</v>
      </c>
      <c r="C601" s="13" t="s">
        <v>8328</v>
      </c>
      <c r="D601" s="13" t="s">
        <v>8329</v>
      </c>
      <c r="E601" s="13" t="s">
        <v>8330</v>
      </c>
      <c r="F601" s="13" t="s">
        <v>8331</v>
      </c>
      <c r="G601" s="14" t="s">
        <v>8332</v>
      </c>
    </row>
    <row r="602">
      <c r="A602" s="13" t="s">
        <v>1405</v>
      </c>
      <c r="B602" s="13" t="s">
        <v>8333</v>
      </c>
      <c r="C602" s="13" t="s">
        <v>8334</v>
      </c>
      <c r="D602" s="13" t="s">
        <v>8335</v>
      </c>
      <c r="E602" s="13" t="s">
        <v>8336</v>
      </c>
      <c r="F602" s="13" t="s">
        <v>8337</v>
      </c>
      <c r="G602" s="14" t="s">
        <v>8338</v>
      </c>
    </row>
    <row r="603">
      <c r="A603" s="13" t="s">
        <v>2307</v>
      </c>
      <c r="B603" s="13" t="s">
        <v>8339</v>
      </c>
      <c r="C603" s="13" t="s">
        <v>8340</v>
      </c>
      <c r="D603" s="13" t="s">
        <v>8341</v>
      </c>
      <c r="E603" s="13" t="s">
        <v>8342</v>
      </c>
      <c r="F603" s="13" t="s">
        <v>8343</v>
      </c>
      <c r="G603" s="14" t="s">
        <v>8344</v>
      </c>
    </row>
    <row r="604">
      <c r="A604" s="13" t="s">
        <v>2311</v>
      </c>
      <c r="B604" s="13" t="s">
        <v>8345</v>
      </c>
      <c r="C604" s="13" t="s">
        <v>8346</v>
      </c>
      <c r="D604" s="13" t="s">
        <v>8347</v>
      </c>
      <c r="E604" s="13" t="s">
        <v>8348</v>
      </c>
      <c r="F604" s="13" t="s">
        <v>8349</v>
      </c>
      <c r="G604" s="14" t="s">
        <v>8350</v>
      </c>
    </row>
    <row r="605">
      <c r="A605" s="13" t="s">
        <v>1426</v>
      </c>
      <c r="B605" s="13" t="s">
        <v>7378</v>
      </c>
      <c r="C605" s="13" t="s">
        <v>7379</v>
      </c>
      <c r="D605" s="13" t="s">
        <v>7380</v>
      </c>
      <c r="E605" s="13" t="s">
        <v>7381</v>
      </c>
      <c r="F605" s="13" t="s">
        <v>7382</v>
      </c>
      <c r="G605" s="14" t="s">
        <v>8351</v>
      </c>
    </row>
    <row r="606">
      <c r="A606" s="13" t="s">
        <v>2315</v>
      </c>
      <c r="B606" s="13" t="s">
        <v>8352</v>
      </c>
      <c r="C606" s="13" t="s">
        <v>8353</v>
      </c>
      <c r="D606" s="13" t="s">
        <v>8354</v>
      </c>
      <c r="E606" s="13" t="s">
        <v>8355</v>
      </c>
      <c r="F606" s="13" t="s">
        <v>8356</v>
      </c>
      <c r="G606" s="14" t="s">
        <v>8357</v>
      </c>
    </row>
    <row r="607">
      <c r="A607" s="13" t="s">
        <v>2319</v>
      </c>
      <c r="B607" s="13" t="s">
        <v>8358</v>
      </c>
      <c r="C607" s="13" t="s">
        <v>8359</v>
      </c>
      <c r="D607" s="13" t="s">
        <v>8360</v>
      </c>
      <c r="E607" s="13" t="s">
        <v>8361</v>
      </c>
      <c r="F607" s="13" t="s">
        <v>8362</v>
      </c>
      <c r="G607" s="14" t="s">
        <v>8363</v>
      </c>
    </row>
    <row r="608">
      <c r="A608" s="13" t="s">
        <v>2323</v>
      </c>
      <c r="B608" s="13" t="s">
        <v>8364</v>
      </c>
      <c r="C608" s="13" t="s">
        <v>8365</v>
      </c>
      <c r="D608" s="13" t="s">
        <v>8366</v>
      </c>
      <c r="E608" s="13" t="s">
        <v>8367</v>
      </c>
      <c r="F608" s="13" t="s">
        <v>8368</v>
      </c>
      <c r="G608" s="14" t="s">
        <v>8369</v>
      </c>
    </row>
    <row r="609">
      <c r="A609" s="13" t="s">
        <v>1459</v>
      </c>
      <c r="B609" s="13" t="s">
        <v>8216</v>
      </c>
      <c r="C609" s="13" t="s">
        <v>8217</v>
      </c>
      <c r="D609" s="13" t="s">
        <v>8218</v>
      </c>
      <c r="E609" s="13" t="s">
        <v>8219</v>
      </c>
      <c r="F609" s="13" t="s">
        <v>8220</v>
      </c>
      <c r="G609" s="14" t="s">
        <v>8370</v>
      </c>
    </row>
    <row r="610">
      <c r="A610" s="13" t="s">
        <v>1463</v>
      </c>
      <c r="B610" s="13" t="s">
        <v>7417</v>
      </c>
      <c r="C610" s="13" t="s">
        <v>7418</v>
      </c>
      <c r="D610" s="13" t="s">
        <v>7419</v>
      </c>
      <c r="E610" s="13" t="s">
        <v>7420</v>
      </c>
      <c r="F610" s="13" t="s">
        <v>7421</v>
      </c>
      <c r="G610" s="14" t="s">
        <v>8371</v>
      </c>
    </row>
    <row r="611">
      <c r="A611" s="13" t="s">
        <v>2329</v>
      </c>
      <c r="B611" s="13" t="s">
        <v>8372</v>
      </c>
      <c r="C611" s="13" t="s">
        <v>8373</v>
      </c>
      <c r="D611" s="13" t="s">
        <v>8374</v>
      </c>
      <c r="E611" s="13" t="s">
        <v>8375</v>
      </c>
      <c r="F611" s="13" t="s">
        <v>8376</v>
      </c>
      <c r="G611" s="14" t="s">
        <v>8377</v>
      </c>
    </row>
    <row r="612">
      <c r="A612" s="13" t="s">
        <v>2333</v>
      </c>
      <c r="B612" s="13" t="s">
        <v>8378</v>
      </c>
      <c r="C612" s="13" t="s">
        <v>8379</v>
      </c>
      <c r="D612" s="13" t="s">
        <v>8380</v>
      </c>
      <c r="E612" s="13" t="s">
        <v>8381</v>
      </c>
      <c r="F612" s="13" t="s">
        <v>8382</v>
      </c>
      <c r="G612" s="14" t="s">
        <v>8383</v>
      </c>
    </row>
    <row r="613">
      <c r="A613" s="13" t="s">
        <v>1482</v>
      </c>
      <c r="B613" s="13" t="s">
        <v>8384</v>
      </c>
      <c r="C613" s="13" t="s">
        <v>8385</v>
      </c>
      <c r="D613" s="13" t="s">
        <v>8386</v>
      </c>
      <c r="E613" s="13" t="s">
        <v>8387</v>
      </c>
      <c r="F613" s="13" t="s">
        <v>8388</v>
      </c>
      <c r="G613" s="14" t="s">
        <v>8389</v>
      </c>
    </row>
    <row r="614">
      <c r="A614" s="13" t="s">
        <v>2339</v>
      </c>
      <c r="B614" s="13" t="s">
        <v>8390</v>
      </c>
      <c r="C614" s="13" t="s">
        <v>8391</v>
      </c>
      <c r="D614" s="13" t="s">
        <v>8392</v>
      </c>
      <c r="E614" s="13" t="s">
        <v>8393</v>
      </c>
      <c r="F614" s="13" t="s">
        <v>8394</v>
      </c>
      <c r="G614" s="14" t="s">
        <v>8395</v>
      </c>
    </row>
    <row r="615">
      <c r="A615" s="13" t="s">
        <v>2343</v>
      </c>
      <c r="B615" s="13" t="s">
        <v>8396</v>
      </c>
      <c r="C615" s="13" t="s">
        <v>8397</v>
      </c>
      <c r="D615" s="13" t="s">
        <v>8398</v>
      </c>
      <c r="E615" s="13" t="s">
        <v>8399</v>
      </c>
      <c r="F615" s="13" t="s">
        <v>8400</v>
      </c>
      <c r="G615" s="14" t="s">
        <v>8401</v>
      </c>
    </row>
    <row r="616">
      <c r="A616" s="13" t="s">
        <v>19</v>
      </c>
      <c r="B616" s="13" t="s">
        <v>5683</v>
      </c>
      <c r="C616" s="13" t="s">
        <v>5684</v>
      </c>
      <c r="D616" s="13" t="s">
        <v>5685</v>
      </c>
      <c r="E616" s="13" t="s">
        <v>5686</v>
      </c>
      <c r="F616" s="13" t="s">
        <v>6104</v>
      </c>
      <c r="G616" s="14" t="s">
        <v>8402</v>
      </c>
    </row>
    <row r="617">
      <c r="A617" s="13" t="s">
        <v>2349</v>
      </c>
      <c r="B617" s="13" t="s">
        <v>8403</v>
      </c>
      <c r="C617" s="13" t="s">
        <v>8404</v>
      </c>
      <c r="D617" s="13" t="s">
        <v>8405</v>
      </c>
      <c r="E617" s="13" t="s">
        <v>8406</v>
      </c>
      <c r="F617" s="13" t="s">
        <v>8407</v>
      </c>
      <c r="G617" s="14" t="s">
        <v>8408</v>
      </c>
    </row>
    <row r="618">
      <c r="A618" s="13" t="s">
        <v>2354</v>
      </c>
      <c r="B618" s="13" t="s">
        <v>8409</v>
      </c>
      <c r="C618" s="13" t="s">
        <v>8410</v>
      </c>
      <c r="D618" s="13" t="s">
        <v>8411</v>
      </c>
      <c r="E618" s="13" t="s">
        <v>8412</v>
      </c>
      <c r="F618" s="13" t="s">
        <v>8413</v>
      </c>
      <c r="G618" s="14" t="s">
        <v>8414</v>
      </c>
    </row>
    <row r="619">
      <c r="A619" s="13" t="s">
        <v>2359</v>
      </c>
      <c r="B619" s="13" t="s">
        <v>8415</v>
      </c>
      <c r="C619" s="13" t="s">
        <v>8416</v>
      </c>
      <c r="D619" s="13" t="s">
        <v>8417</v>
      </c>
      <c r="E619" s="13" t="s">
        <v>8418</v>
      </c>
      <c r="F619" s="13" t="s">
        <v>8419</v>
      </c>
      <c r="G619" s="14" t="s">
        <v>8420</v>
      </c>
    </row>
    <row r="620">
      <c r="A620" s="13" t="s">
        <v>2364</v>
      </c>
      <c r="B620" s="13" t="s">
        <v>8421</v>
      </c>
      <c r="C620" s="13" t="s">
        <v>8422</v>
      </c>
      <c r="D620" s="13" t="s">
        <v>8423</v>
      </c>
      <c r="E620" s="13" t="s">
        <v>8424</v>
      </c>
      <c r="F620" s="13" t="s">
        <v>8425</v>
      </c>
      <c r="G620" s="14" t="s">
        <v>8426</v>
      </c>
    </row>
    <row r="621">
      <c r="A621" s="13" t="s">
        <v>1516</v>
      </c>
      <c r="B621" s="13" t="s">
        <v>7463</v>
      </c>
      <c r="C621" s="13" t="s">
        <v>7464</v>
      </c>
      <c r="D621" s="13" t="s">
        <v>7465</v>
      </c>
      <c r="E621" s="13" t="s">
        <v>7466</v>
      </c>
      <c r="F621" s="13" t="s">
        <v>7467</v>
      </c>
      <c r="G621" s="14" t="s">
        <v>8427</v>
      </c>
    </row>
    <row r="622">
      <c r="A622" s="13" t="s">
        <v>2369</v>
      </c>
      <c r="B622" s="13" t="s">
        <v>8428</v>
      </c>
      <c r="C622" s="13" t="s">
        <v>8429</v>
      </c>
      <c r="D622" s="13" t="s">
        <v>8430</v>
      </c>
      <c r="E622" s="13" t="s">
        <v>8431</v>
      </c>
      <c r="F622" s="13" t="s">
        <v>8432</v>
      </c>
      <c r="G622" s="14" t="s">
        <v>8433</v>
      </c>
    </row>
    <row r="623">
      <c r="A623" s="13" t="s">
        <v>2373</v>
      </c>
      <c r="B623" s="13" t="s">
        <v>8434</v>
      </c>
      <c r="C623" s="13" t="s">
        <v>8435</v>
      </c>
      <c r="D623" s="13" t="s">
        <v>8436</v>
      </c>
      <c r="E623" s="13" t="s">
        <v>8437</v>
      </c>
      <c r="F623" s="13" t="s">
        <v>8438</v>
      </c>
      <c r="G623" s="14" t="s">
        <v>8439</v>
      </c>
    </row>
    <row r="624">
      <c r="A624" s="13" t="s">
        <v>24</v>
      </c>
      <c r="B624" s="13" t="s">
        <v>5689</v>
      </c>
      <c r="C624" s="13" t="s">
        <v>5690</v>
      </c>
      <c r="D624" s="13" t="s">
        <v>5691</v>
      </c>
      <c r="E624" s="13" t="s">
        <v>5692</v>
      </c>
      <c r="F624" s="13" t="s">
        <v>5693</v>
      </c>
      <c r="G624" s="14" t="s">
        <v>5694</v>
      </c>
    </row>
    <row r="625">
      <c r="A625" s="13" t="s">
        <v>28</v>
      </c>
      <c r="B625" s="13" t="s">
        <v>5695</v>
      </c>
      <c r="C625" s="13" t="s">
        <v>5696</v>
      </c>
      <c r="D625" s="13" t="s">
        <v>5697</v>
      </c>
      <c r="E625" s="13" t="s">
        <v>5698</v>
      </c>
      <c r="F625" s="13" t="s">
        <v>5699</v>
      </c>
      <c r="G625" s="14" t="s">
        <v>5700</v>
      </c>
    </row>
    <row r="626">
      <c r="A626" s="13" t="s">
        <v>1520</v>
      </c>
      <c r="B626" s="13" t="s">
        <v>8440</v>
      </c>
      <c r="C626" s="13" t="s">
        <v>8441</v>
      </c>
      <c r="D626" s="13" t="s">
        <v>8442</v>
      </c>
      <c r="E626" s="13" t="s">
        <v>8443</v>
      </c>
      <c r="F626" s="13" t="s">
        <v>8444</v>
      </c>
      <c r="G626" s="14" t="s">
        <v>8445</v>
      </c>
    </row>
    <row r="627">
      <c r="A627" s="13" t="s">
        <v>2381</v>
      </c>
      <c r="B627" s="13" t="s">
        <v>8446</v>
      </c>
      <c r="C627" s="13" t="s">
        <v>8447</v>
      </c>
      <c r="D627" s="13" t="s">
        <v>8448</v>
      </c>
      <c r="E627" s="13" t="s">
        <v>8449</v>
      </c>
      <c r="F627" s="13" t="s">
        <v>8450</v>
      </c>
      <c r="G627" s="14" t="s">
        <v>8451</v>
      </c>
    </row>
    <row r="628">
      <c r="A628" s="13" t="s">
        <v>2386</v>
      </c>
      <c r="B628" s="13" t="s">
        <v>8452</v>
      </c>
      <c r="C628" s="13" t="s">
        <v>8453</v>
      </c>
      <c r="D628" s="13" t="s">
        <v>8454</v>
      </c>
      <c r="E628" s="13" t="s">
        <v>8455</v>
      </c>
      <c r="F628" s="13" t="s">
        <v>8456</v>
      </c>
      <c r="G628" s="14" t="s">
        <v>8457</v>
      </c>
    </row>
    <row r="629">
      <c r="A629" s="13" t="s">
        <v>2391</v>
      </c>
      <c r="B629" s="13" t="s">
        <v>8458</v>
      </c>
      <c r="C629" s="13" t="s">
        <v>8459</v>
      </c>
      <c r="D629" s="13" t="s">
        <v>8460</v>
      </c>
      <c r="E629" s="13" t="s">
        <v>8461</v>
      </c>
      <c r="F629" s="13" t="s">
        <v>8462</v>
      </c>
      <c r="G629" s="14" t="s">
        <v>8463</v>
      </c>
    </row>
    <row r="630">
      <c r="A630" s="13" t="s">
        <v>32</v>
      </c>
      <c r="B630" s="13" t="s">
        <v>5701</v>
      </c>
      <c r="C630" s="13" t="s">
        <v>5702</v>
      </c>
      <c r="D630" s="13" t="s">
        <v>5703</v>
      </c>
      <c r="E630" s="13" t="s">
        <v>5704</v>
      </c>
      <c r="F630" s="13" t="s">
        <v>5705</v>
      </c>
      <c r="G630" s="14" t="s">
        <v>8464</v>
      </c>
    </row>
    <row r="631">
      <c r="A631" s="13" t="s">
        <v>2396</v>
      </c>
      <c r="B631" s="13" t="s">
        <v>8465</v>
      </c>
      <c r="C631" s="13" t="s">
        <v>8466</v>
      </c>
      <c r="D631" s="13" t="s">
        <v>8467</v>
      </c>
      <c r="E631" s="13" t="s">
        <v>8468</v>
      </c>
      <c r="F631" s="13" t="s">
        <v>8469</v>
      </c>
      <c r="G631" s="14" t="s">
        <v>8470</v>
      </c>
    </row>
    <row r="632">
      <c r="A632" s="13" t="s">
        <v>2400</v>
      </c>
      <c r="B632" s="13" t="s">
        <v>8471</v>
      </c>
      <c r="C632" s="13" t="s">
        <v>8472</v>
      </c>
      <c r="D632" s="13" t="s">
        <v>8473</v>
      </c>
      <c r="E632" s="13" t="s">
        <v>8474</v>
      </c>
      <c r="F632" s="13" t="s">
        <v>8475</v>
      </c>
      <c r="G632" s="14" t="s">
        <v>8476</v>
      </c>
    </row>
    <row r="633">
      <c r="A633" s="13" t="s">
        <v>2405</v>
      </c>
      <c r="B633" s="13" t="s">
        <v>8477</v>
      </c>
      <c r="C633" s="13" t="s">
        <v>8478</v>
      </c>
      <c r="D633" s="13" t="s">
        <v>8479</v>
      </c>
      <c r="E633" s="13" t="s">
        <v>8480</v>
      </c>
      <c r="F633" s="13" t="s">
        <v>8481</v>
      </c>
      <c r="G633" s="14" t="s">
        <v>8482</v>
      </c>
    </row>
    <row r="634">
      <c r="A634" s="13" t="s">
        <v>36</v>
      </c>
      <c r="B634" s="13" t="s">
        <v>5707</v>
      </c>
      <c r="C634" s="13" t="s">
        <v>5708</v>
      </c>
      <c r="D634" s="13" t="s">
        <v>5709</v>
      </c>
      <c r="E634" s="13" t="s">
        <v>5710</v>
      </c>
      <c r="F634" s="13" t="s">
        <v>5711</v>
      </c>
      <c r="G634" s="14" t="s">
        <v>8483</v>
      </c>
    </row>
    <row r="635">
      <c r="A635" s="13" t="s">
        <v>2410</v>
      </c>
      <c r="B635" s="13" t="s">
        <v>8484</v>
      </c>
      <c r="C635" s="13" t="s">
        <v>8485</v>
      </c>
      <c r="D635" s="13" t="s">
        <v>8486</v>
      </c>
      <c r="E635" s="13" t="s">
        <v>8487</v>
      </c>
      <c r="F635" s="13" t="s">
        <v>8488</v>
      </c>
      <c r="G635" s="14" t="s">
        <v>8489</v>
      </c>
    </row>
    <row r="636">
      <c r="A636" s="13" t="s">
        <v>1581</v>
      </c>
      <c r="B636" s="13" t="s">
        <v>7539</v>
      </c>
      <c r="C636" s="13" t="s">
        <v>7540</v>
      </c>
      <c r="D636" s="13" t="s">
        <v>7541</v>
      </c>
      <c r="E636" s="13" t="s">
        <v>7542</v>
      </c>
      <c r="F636" s="13" t="s">
        <v>7543</v>
      </c>
      <c r="G636" s="14" t="s">
        <v>8490</v>
      </c>
    </row>
    <row r="637">
      <c r="A637" s="13" t="s">
        <v>1585</v>
      </c>
      <c r="B637" s="13" t="s">
        <v>7545</v>
      </c>
      <c r="C637" s="13" t="s">
        <v>7546</v>
      </c>
      <c r="D637" s="13" t="s">
        <v>7547</v>
      </c>
      <c r="E637" s="13" t="s">
        <v>7548</v>
      </c>
      <c r="F637" s="13" t="s">
        <v>7549</v>
      </c>
      <c r="G637" s="14" t="s">
        <v>8491</v>
      </c>
    </row>
    <row r="638">
      <c r="A638" s="13" t="s">
        <v>2416</v>
      </c>
      <c r="B638" s="13" t="s">
        <v>8492</v>
      </c>
      <c r="C638" s="13" t="s">
        <v>8493</v>
      </c>
      <c r="D638" s="13" t="s">
        <v>8494</v>
      </c>
      <c r="E638" s="13" t="s">
        <v>8495</v>
      </c>
      <c r="F638" s="13" t="s">
        <v>8496</v>
      </c>
      <c r="G638" s="14" t="s">
        <v>8497</v>
      </c>
    </row>
    <row r="639">
      <c r="A639" s="13" t="s">
        <v>2420</v>
      </c>
      <c r="B639" s="13" t="s">
        <v>8498</v>
      </c>
      <c r="C639" s="13" t="s">
        <v>8499</v>
      </c>
      <c r="D639" s="13" t="s">
        <v>8500</v>
      </c>
      <c r="E639" s="13" t="s">
        <v>8501</v>
      </c>
      <c r="F639" s="13" t="s">
        <v>8502</v>
      </c>
      <c r="G639" s="14" t="s">
        <v>8503</v>
      </c>
    </row>
    <row r="640">
      <c r="A640" s="13" t="s">
        <v>2425</v>
      </c>
      <c r="B640" s="13" t="s">
        <v>8504</v>
      </c>
      <c r="C640" s="13" t="s">
        <v>8505</v>
      </c>
      <c r="D640" s="13" t="s">
        <v>8506</v>
      </c>
      <c r="E640" s="13" t="s">
        <v>8507</v>
      </c>
      <c r="F640" s="13" t="s">
        <v>8508</v>
      </c>
      <c r="G640" s="14" t="s">
        <v>8509</v>
      </c>
    </row>
    <row r="641">
      <c r="A641" s="13" t="s">
        <v>2430</v>
      </c>
      <c r="B641" s="13" t="s">
        <v>8510</v>
      </c>
      <c r="C641" s="13" t="s">
        <v>8511</v>
      </c>
      <c r="D641" s="13" t="s">
        <v>8512</v>
      </c>
      <c r="E641" s="13" t="s">
        <v>8513</v>
      </c>
      <c r="F641" s="13" t="s">
        <v>8514</v>
      </c>
      <c r="G641" s="14" t="s">
        <v>8515</v>
      </c>
    </row>
    <row r="642">
      <c r="A642" s="13" t="s">
        <v>2434</v>
      </c>
      <c r="B642" s="13" t="s">
        <v>8516</v>
      </c>
      <c r="C642" s="13" t="s">
        <v>8517</v>
      </c>
      <c r="D642" s="13" t="s">
        <v>8518</v>
      </c>
      <c r="E642" s="13" t="s">
        <v>8519</v>
      </c>
      <c r="F642" s="13" t="s">
        <v>8520</v>
      </c>
      <c r="G642" s="14" t="s">
        <v>8521</v>
      </c>
    </row>
    <row r="643">
      <c r="A643" s="13" t="s">
        <v>1590</v>
      </c>
      <c r="B643" s="13" t="s">
        <v>8522</v>
      </c>
      <c r="C643" s="13" t="s">
        <v>8523</v>
      </c>
      <c r="D643" s="13" t="s">
        <v>8524</v>
      </c>
      <c r="E643" s="13" t="s">
        <v>8525</v>
      </c>
      <c r="F643" s="13" t="s">
        <v>8526</v>
      </c>
      <c r="G643" s="14" t="s">
        <v>8527</v>
      </c>
    </row>
    <row r="644">
      <c r="A644" s="13" t="s">
        <v>40</v>
      </c>
      <c r="B644" s="13" t="s">
        <v>5713</v>
      </c>
      <c r="C644" s="13" t="s">
        <v>5714</v>
      </c>
      <c r="D644" s="13" t="s">
        <v>5715</v>
      </c>
      <c r="E644" s="13" t="s">
        <v>5716</v>
      </c>
      <c r="F644" s="13" t="s">
        <v>5717</v>
      </c>
      <c r="G644" s="14" t="s">
        <v>5718</v>
      </c>
    </row>
    <row r="645">
      <c r="A645" s="13" t="s">
        <v>2441</v>
      </c>
      <c r="B645" s="13" t="s">
        <v>8528</v>
      </c>
      <c r="C645" s="13" t="s">
        <v>8529</v>
      </c>
      <c r="D645" s="13" t="s">
        <v>8530</v>
      </c>
      <c r="E645" s="13" t="s">
        <v>8531</v>
      </c>
      <c r="F645" s="13" t="s">
        <v>8532</v>
      </c>
      <c r="G645" s="14" t="s">
        <v>8533</v>
      </c>
    </row>
    <row r="646">
      <c r="A646" s="13" t="s">
        <v>1628</v>
      </c>
      <c r="B646" s="13" t="s">
        <v>7590</v>
      </c>
      <c r="C646" s="13" t="s">
        <v>7591</v>
      </c>
      <c r="D646" s="13" t="s">
        <v>7592</v>
      </c>
      <c r="E646" s="13" t="s">
        <v>7593</v>
      </c>
      <c r="F646" s="13" t="s">
        <v>7594</v>
      </c>
      <c r="G646" s="14" t="s">
        <v>8534</v>
      </c>
    </row>
    <row r="647">
      <c r="A647" s="13" t="s">
        <v>2447</v>
      </c>
      <c r="B647" s="13" t="s">
        <v>8535</v>
      </c>
      <c r="C647" s="13" t="s">
        <v>8536</v>
      </c>
      <c r="D647" s="13" t="s">
        <v>8537</v>
      </c>
      <c r="E647" s="13" t="s">
        <v>8538</v>
      </c>
      <c r="F647" s="13" t="s">
        <v>8539</v>
      </c>
      <c r="G647" s="14" t="s">
        <v>8540</v>
      </c>
    </row>
    <row r="648">
      <c r="A648" s="13" t="s">
        <v>2452</v>
      </c>
      <c r="B648" s="13" t="s">
        <v>8541</v>
      </c>
      <c r="C648" s="13" t="s">
        <v>8542</v>
      </c>
      <c r="D648" s="13" t="s">
        <v>8543</v>
      </c>
      <c r="E648" s="13" t="s">
        <v>8544</v>
      </c>
      <c r="F648" s="13" t="s">
        <v>8545</v>
      </c>
      <c r="G648" s="14" t="s">
        <v>8546</v>
      </c>
    </row>
    <row r="649">
      <c r="A649" s="13" t="s">
        <v>2456</v>
      </c>
      <c r="B649" s="13" t="s">
        <v>8547</v>
      </c>
      <c r="C649" s="13" t="s">
        <v>8548</v>
      </c>
      <c r="D649" s="13" t="s">
        <v>8549</v>
      </c>
      <c r="E649" s="13" t="s">
        <v>8550</v>
      </c>
      <c r="F649" s="13" t="s">
        <v>8551</v>
      </c>
      <c r="G649" s="14" t="s">
        <v>8552</v>
      </c>
    </row>
    <row r="650">
      <c r="A650" s="13" t="s">
        <v>2460</v>
      </c>
      <c r="B650" s="13" t="s">
        <v>8553</v>
      </c>
      <c r="C650" s="13" t="s">
        <v>8554</v>
      </c>
      <c r="D650" s="13" t="s">
        <v>8555</v>
      </c>
      <c r="E650" s="13" t="s">
        <v>8556</v>
      </c>
      <c r="F650" s="13" t="s">
        <v>8557</v>
      </c>
      <c r="G650" s="14" t="s">
        <v>8558</v>
      </c>
    </row>
    <row r="651">
      <c r="A651" s="13" t="s">
        <v>2464</v>
      </c>
      <c r="B651" s="13" t="s">
        <v>8559</v>
      </c>
      <c r="C651" s="13" t="s">
        <v>8560</v>
      </c>
      <c r="D651" s="13" t="s">
        <v>8561</v>
      </c>
      <c r="E651" s="13" t="s">
        <v>8562</v>
      </c>
      <c r="F651" s="13" t="s">
        <v>8563</v>
      </c>
      <c r="G651" s="14" t="s">
        <v>8564</v>
      </c>
    </row>
    <row r="652">
      <c r="A652" s="13" t="s">
        <v>2468</v>
      </c>
      <c r="B652" s="13" t="s">
        <v>8565</v>
      </c>
      <c r="C652" s="13" t="s">
        <v>8566</v>
      </c>
      <c r="D652" s="13" t="s">
        <v>8567</v>
      </c>
      <c r="E652" s="13" t="s">
        <v>8568</v>
      </c>
      <c r="F652" s="13" t="s">
        <v>8569</v>
      </c>
      <c r="G652" s="14" t="s">
        <v>8570</v>
      </c>
    </row>
    <row r="653">
      <c r="A653" s="13" t="s">
        <v>2472</v>
      </c>
      <c r="B653" s="13" t="s">
        <v>8571</v>
      </c>
      <c r="C653" s="13" t="s">
        <v>8572</v>
      </c>
      <c r="D653" s="13" t="s">
        <v>8573</v>
      </c>
      <c r="E653" s="13" t="s">
        <v>8574</v>
      </c>
      <c r="F653" s="13" t="s">
        <v>8575</v>
      </c>
      <c r="G653" s="14" t="s">
        <v>8576</v>
      </c>
    </row>
    <row r="654">
      <c r="A654" s="13" t="s">
        <v>2477</v>
      </c>
      <c r="B654" s="13" t="s">
        <v>8577</v>
      </c>
      <c r="C654" s="13" t="s">
        <v>8578</v>
      </c>
      <c r="D654" s="13" t="s">
        <v>8579</v>
      </c>
      <c r="E654" s="13" t="s">
        <v>8580</v>
      </c>
      <c r="F654" s="13" t="s">
        <v>8581</v>
      </c>
      <c r="G654" s="14" t="s">
        <v>8582</v>
      </c>
    </row>
    <row r="655">
      <c r="A655" s="13" t="s">
        <v>2482</v>
      </c>
      <c r="B655" s="13" t="s">
        <v>8583</v>
      </c>
      <c r="C655" s="13" t="s">
        <v>8584</v>
      </c>
      <c r="D655" s="13" t="s">
        <v>8585</v>
      </c>
      <c r="E655" s="13" t="s">
        <v>8586</v>
      </c>
      <c r="F655" s="13" t="s">
        <v>8587</v>
      </c>
      <c r="G655" s="14" t="s">
        <v>8588</v>
      </c>
    </row>
    <row r="656">
      <c r="A656" s="13" t="s">
        <v>2487</v>
      </c>
      <c r="B656" s="13" t="s">
        <v>8589</v>
      </c>
      <c r="C656" s="13" t="s">
        <v>8590</v>
      </c>
      <c r="D656" s="13" t="s">
        <v>8591</v>
      </c>
      <c r="E656" s="13" t="s">
        <v>8592</v>
      </c>
      <c r="F656" s="13" t="s">
        <v>8593</v>
      </c>
      <c r="G656" s="14" t="s">
        <v>8594</v>
      </c>
    </row>
    <row r="657">
      <c r="A657" s="13" t="s">
        <v>2492</v>
      </c>
      <c r="B657" s="13" t="s">
        <v>8595</v>
      </c>
      <c r="C657" s="13" t="s">
        <v>8596</v>
      </c>
      <c r="D657" s="13" t="s">
        <v>8597</v>
      </c>
      <c r="E657" s="13" t="s">
        <v>8598</v>
      </c>
      <c r="F657" s="13" t="s">
        <v>8599</v>
      </c>
      <c r="G657" s="14" t="s">
        <v>8600</v>
      </c>
    </row>
    <row r="658">
      <c r="A658" s="13" t="s">
        <v>2496</v>
      </c>
      <c r="B658" s="13" t="s">
        <v>8601</v>
      </c>
      <c r="C658" s="13" t="s">
        <v>8602</v>
      </c>
      <c r="D658" s="13" t="s">
        <v>8603</v>
      </c>
      <c r="E658" s="13" t="s">
        <v>8604</v>
      </c>
      <c r="F658" s="13" t="s">
        <v>8605</v>
      </c>
      <c r="G658" s="14" t="s">
        <v>8606</v>
      </c>
    </row>
    <row r="659">
      <c r="A659" s="13" t="s">
        <v>1665</v>
      </c>
      <c r="B659" s="13" t="s">
        <v>7628</v>
      </c>
      <c r="C659" s="13" t="s">
        <v>7629</v>
      </c>
      <c r="D659" s="13" t="s">
        <v>7630</v>
      </c>
      <c r="E659" s="13" t="s">
        <v>7631</v>
      </c>
      <c r="F659" s="13" t="s">
        <v>7632</v>
      </c>
      <c r="G659" s="14" t="s">
        <v>8607</v>
      </c>
    </row>
    <row r="660">
      <c r="A660" s="13" t="s">
        <v>44</v>
      </c>
      <c r="B660" s="13" t="s">
        <v>5719</v>
      </c>
      <c r="C660" s="13" t="s">
        <v>5720</v>
      </c>
      <c r="D660" s="13" t="s">
        <v>5721</v>
      </c>
      <c r="E660" s="13" t="s">
        <v>5722</v>
      </c>
      <c r="F660" s="13" t="s">
        <v>5723</v>
      </c>
      <c r="G660" s="14" t="s">
        <v>5724</v>
      </c>
    </row>
    <row r="661">
      <c r="A661" s="13" t="s">
        <v>2502</v>
      </c>
      <c r="B661" s="13" t="s">
        <v>8608</v>
      </c>
      <c r="C661" s="13" t="s">
        <v>8609</v>
      </c>
      <c r="D661" s="13" t="s">
        <v>8610</v>
      </c>
      <c r="E661" s="13" t="s">
        <v>8611</v>
      </c>
      <c r="F661" s="13" t="s">
        <v>8612</v>
      </c>
      <c r="G661" s="14" t="s">
        <v>8613</v>
      </c>
    </row>
    <row r="662">
      <c r="A662" s="13" t="s">
        <v>2506</v>
      </c>
      <c r="B662" s="13" t="s">
        <v>8614</v>
      </c>
      <c r="C662" s="13" t="s">
        <v>8615</v>
      </c>
      <c r="D662" s="13" t="s">
        <v>8616</v>
      </c>
      <c r="E662" s="13" t="s">
        <v>8617</v>
      </c>
      <c r="F662" s="13" t="s">
        <v>8618</v>
      </c>
      <c r="G662" s="14" t="s">
        <v>8619</v>
      </c>
    </row>
    <row r="663">
      <c r="A663" s="13" t="s">
        <v>2511</v>
      </c>
      <c r="B663" s="13" t="s">
        <v>8620</v>
      </c>
      <c r="C663" s="13" t="s">
        <v>8621</v>
      </c>
      <c r="D663" s="13" t="s">
        <v>8622</v>
      </c>
      <c r="E663" s="13" t="s">
        <v>8623</v>
      </c>
      <c r="F663" s="13" t="s">
        <v>8624</v>
      </c>
      <c r="G663" s="14" t="s">
        <v>8625</v>
      </c>
    </row>
    <row r="664">
      <c r="A664" s="13" t="s">
        <v>2515</v>
      </c>
      <c r="B664" s="13" t="s">
        <v>8626</v>
      </c>
      <c r="C664" s="13" t="s">
        <v>8627</v>
      </c>
      <c r="D664" s="13" t="s">
        <v>8628</v>
      </c>
      <c r="E664" s="13" t="s">
        <v>8629</v>
      </c>
      <c r="F664" s="13" t="s">
        <v>8630</v>
      </c>
      <c r="G664" s="14" t="s">
        <v>8631</v>
      </c>
    </row>
    <row r="665">
      <c r="A665" s="13" t="s">
        <v>2520</v>
      </c>
      <c r="B665" s="13" t="s">
        <v>8632</v>
      </c>
      <c r="C665" s="13" t="s">
        <v>8633</v>
      </c>
      <c r="D665" s="13" t="s">
        <v>8634</v>
      </c>
      <c r="E665" s="13" t="s">
        <v>8635</v>
      </c>
      <c r="F665" s="13" t="s">
        <v>8636</v>
      </c>
      <c r="G665" s="14" t="s">
        <v>8637</v>
      </c>
    </row>
    <row r="666">
      <c r="A666" s="13" t="s">
        <v>2525</v>
      </c>
      <c r="B666" s="13" t="s">
        <v>8638</v>
      </c>
      <c r="C666" s="13" t="s">
        <v>8639</v>
      </c>
      <c r="D666" s="13" t="s">
        <v>8640</v>
      </c>
      <c r="E666" s="13" t="s">
        <v>8641</v>
      </c>
      <c r="F666" s="13" t="s">
        <v>8642</v>
      </c>
      <c r="G666" s="14" t="s">
        <v>8643</v>
      </c>
    </row>
    <row r="667">
      <c r="A667" s="13" t="s">
        <v>2530</v>
      </c>
      <c r="B667" s="13" t="s">
        <v>8644</v>
      </c>
      <c r="C667" s="13" t="s">
        <v>8645</v>
      </c>
      <c r="D667" s="13" t="s">
        <v>8646</v>
      </c>
      <c r="E667" s="13" t="s">
        <v>8647</v>
      </c>
      <c r="F667" s="13" t="s">
        <v>8648</v>
      </c>
      <c r="G667" s="14" t="s">
        <v>8649</v>
      </c>
    </row>
    <row r="668">
      <c r="A668" s="13" t="s">
        <v>2534</v>
      </c>
      <c r="B668" s="13" t="s">
        <v>8650</v>
      </c>
      <c r="C668" s="13" t="s">
        <v>8651</v>
      </c>
      <c r="D668" s="13" t="s">
        <v>8652</v>
      </c>
      <c r="E668" s="13" t="s">
        <v>8653</v>
      </c>
      <c r="F668" s="13" t="s">
        <v>8654</v>
      </c>
      <c r="G668" s="14" t="s">
        <v>8655</v>
      </c>
    </row>
    <row r="669">
      <c r="A669" s="13" t="s">
        <v>2538</v>
      </c>
      <c r="B669" s="13" t="s">
        <v>8656</v>
      </c>
      <c r="C669" s="13" t="s">
        <v>8657</v>
      </c>
      <c r="D669" s="13" t="s">
        <v>8658</v>
      </c>
      <c r="E669" s="13" t="s">
        <v>8659</v>
      </c>
      <c r="F669" s="13" t="s">
        <v>8660</v>
      </c>
      <c r="G669" s="14" t="s">
        <v>8661</v>
      </c>
    </row>
    <row r="670">
      <c r="A670" s="13" t="s">
        <v>48</v>
      </c>
      <c r="B670" s="13" t="s">
        <v>5725</v>
      </c>
      <c r="C670" s="13" t="s">
        <v>5726</v>
      </c>
      <c r="D670" s="13" t="s">
        <v>5727</v>
      </c>
      <c r="E670" s="13" t="s">
        <v>5728</v>
      </c>
      <c r="F670" s="13" t="s">
        <v>5729</v>
      </c>
      <c r="G670" s="14" t="s">
        <v>5730</v>
      </c>
    </row>
    <row r="671">
      <c r="A671" s="13" t="s">
        <v>2543</v>
      </c>
      <c r="B671" s="13" t="s">
        <v>8662</v>
      </c>
      <c r="C671" s="13" t="s">
        <v>8663</v>
      </c>
      <c r="D671" s="13" t="s">
        <v>8664</v>
      </c>
      <c r="E671" s="13" t="s">
        <v>8665</v>
      </c>
      <c r="F671" s="13" t="s">
        <v>8666</v>
      </c>
      <c r="G671" s="14" t="s">
        <v>8667</v>
      </c>
    </row>
    <row r="672">
      <c r="A672" s="13" t="s">
        <v>2547</v>
      </c>
      <c r="B672" s="13" t="s">
        <v>8668</v>
      </c>
      <c r="C672" s="13" t="s">
        <v>8669</v>
      </c>
      <c r="D672" s="13" t="s">
        <v>8670</v>
      </c>
      <c r="E672" s="13" t="s">
        <v>8671</v>
      </c>
      <c r="F672" s="13" t="s">
        <v>8672</v>
      </c>
      <c r="G672" s="14" t="s">
        <v>8673</v>
      </c>
    </row>
    <row r="673">
      <c r="A673" s="13" t="s">
        <v>2551</v>
      </c>
      <c r="B673" s="13" t="s">
        <v>8674</v>
      </c>
      <c r="C673" s="13" t="s">
        <v>8675</v>
      </c>
      <c r="D673" s="13" t="s">
        <v>8676</v>
      </c>
      <c r="E673" s="13" t="s">
        <v>8677</v>
      </c>
      <c r="F673" s="13" t="s">
        <v>8678</v>
      </c>
      <c r="G673" s="14" t="s">
        <v>8679</v>
      </c>
    </row>
    <row r="674">
      <c r="A674" s="13" t="s">
        <v>1687</v>
      </c>
      <c r="B674" s="13" t="s">
        <v>7651</v>
      </c>
      <c r="C674" s="13" t="s">
        <v>7652</v>
      </c>
      <c r="D674" s="13" t="s">
        <v>7653</v>
      </c>
      <c r="E674" s="13" t="s">
        <v>7654</v>
      </c>
      <c r="F674" s="13" t="s">
        <v>8680</v>
      </c>
      <c r="G674" s="14" t="s">
        <v>8681</v>
      </c>
    </row>
    <row r="675">
      <c r="A675" s="13" t="s">
        <v>61</v>
      </c>
      <c r="B675" s="13" t="s">
        <v>5738</v>
      </c>
      <c r="C675" s="13" t="s">
        <v>5739</v>
      </c>
      <c r="D675" s="13" t="s">
        <v>5740</v>
      </c>
      <c r="E675" s="13" t="s">
        <v>5741</v>
      </c>
      <c r="F675" s="13" t="s">
        <v>5742</v>
      </c>
      <c r="G675" s="14" t="s">
        <v>8682</v>
      </c>
    </row>
    <row r="676">
      <c r="A676" s="13" t="s">
        <v>2558</v>
      </c>
      <c r="B676" s="13" t="s">
        <v>8683</v>
      </c>
      <c r="C676" s="13" t="s">
        <v>8684</v>
      </c>
      <c r="D676" s="13" t="s">
        <v>8685</v>
      </c>
      <c r="E676" s="13" t="s">
        <v>8686</v>
      </c>
      <c r="F676" s="13" t="s">
        <v>8687</v>
      </c>
      <c r="G676" s="14" t="s">
        <v>8688</v>
      </c>
    </row>
    <row r="677">
      <c r="A677" s="13" t="s">
        <v>2563</v>
      </c>
      <c r="B677" s="13" t="s">
        <v>8689</v>
      </c>
      <c r="C677" s="13" t="s">
        <v>8690</v>
      </c>
      <c r="D677" s="13" t="s">
        <v>8691</v>
      </c>
      <c r="E677" s="13" t="s">
        <v>8692</v>
      </c>
      <c r="F677" s="13" t="s">
        <v>8693</v>
      </c>
      <c r="G677" s="14" t="s">
        <v>8694</v>
      </c>
    </row>
    <row r="678">
      <c r="A678" s="13" t="s">
        <v>2567</v>
      </c>
      <c r="B678" s="13" t="s">
        <v>8695</v>
      </c>
      <c r="C678" s="13" t="s">
        <v>8696</v>
      </c>
      <c r="D678" s="13" t="s">
        <v>8697</v>
      </c>
      <c r="E678" s="13" t="s">
        <v>8698</v>
      </c>
      <c r="F678" s="13" t="s">
        <v>8699</v>
      </c>
      <c r="G678" s="14" t="s">
        <v>8700</v>
      </c>
    </row>
    <row r="679">
      <c r="A679" s="13" t="s">
        <v>1673</v>
      </c>
      <c r="B679" s="13" t="s">
        <v>7636</v>
      </c>
      <c r="C679" s="13" t="s">
        <v>7637</v>
      </c>
      <c r="D679" s="13" t="s">
        <v>7638</v>
      </c>
      <c r="E679" s="13" t="s">
        <v>7639</v>
      </c>
      <c r="F679" s="13" t="s">
        <v>7640</v>
      </c>
      <c r="G679" s="14" t="s">
        <v>8701</v>
      </c>
    </row>
    <row r="680">
      <c r="A680" s="13" t="s">
        <v>2572</v>
      </c>
      <c r="B680" s="13" t="s">
        <v>8702</v>
      </c>
      <c r="C680" s="13" t="s">
        <v>8703</v>
      </c>
      <c r="D680" s="13" t="s">
        <v>8704</v>
      </c>
      <c r="E680" s="13" t="s">
        <v>8705</v>
      </c>
      <c r="F680" s="13" t="s">
        <v>8706</v>
      </c>
      <c r="G680" s="14" t="s">
        <v>8707</v>
      </c>
    </row>
    <row r="681">
      <c r="A681" s="13" t="s">
        <v>2576</v>
      </c>
      <c r="B681" s="13" t="s">
        <v>8708</v>
      </c>
      <c r="C681" s="13" t="s">
        <v>8709</v>
      </c>
      <c r="D681" s="13" t="s">
        <v>8710</v>
      </c>
      <c r="E681" s="13" t="s">
        <v>8711</v>
      </c>
      <c r="F681" s="13" t="s">
        <v>8712</v>
      </c>
      <c r="G681" s="14" t="s">
        <v>8713</v>
      </c>
    </row>
    <row r="682">
      <c r="A682" s="13" t="s">
        <v>2580</v>
      </c>
      <c r="B682" s="13" t="s">
        <v>8714</v>
      </c>
      <c r="C682" s="13" t="s">
        <v>8715</v>
      </c>
      <c r="D682" s="13" t="s">
        <v>8716</v>
      </c>
      <c r="E682" s="13" t="s">
        <v>8717</v>
      </c>
      <c r="F682" s="13" t="s">
        <v>8718</v>
      </c>
      <c r="G682" s="14" t="s">
        <v>8719</v>
      </c>
    </row>
    <row r="683">
      <c r="A683" s="13" t="s">
        <v>2584</v>
      </c>
      <c r="B683" s="13" t="s">
        <v>8720</v>
      </c>
      <c r="C683" s="13" t="s">
        <v>8721</v>
      </c>
      <c r="D683" s="13" t="s">
        <v>8722</v>
      </c>
      <c r="E683" s="13" t="s">
        <v>8723</v>
      </c>
      <c r="F683" s="13" t="s">
        <v>8724</v>
      </c>
      <c r="G683" s="14" t="s">
        <v>8725</v>
      </c>
    </row>
    <row r="684">
      <c r="A684" s="13" t="s">
        <v>2588</v>
      </c>
      <c r="B684" s="13" t="s">
        <v>8726</v>
      </c>
      <c r="C684" s="13" t="s">
        <v>8727</v>
      </c>
      <c r="D684" s="13" t="s">
        <v>8728</v>
      </c>
      <c r="E684" s="13" t="s">
        <v>8729</v>
      </c>
      <c r="F684" s="13" t="s">
        <v>8730</v>
      </c>
      <c r="G684" s="14" t="s">
        <v>8731</v>
      </c>
    </row>
    <row r="685">
      <c r="A685" s="13" t="s">
        <v>2592</v>
      </c>
      <c r="B685" s="13" t="s">
        <v>8732</v>
      </c>
      <c r="C685" s="13" t="s">
        <v>8733</v>
      </c>
      <c r="D685" s="13" t="s">
        <v>8734</v>
      </c>
      <c r="E685" s="13" t="s">
        <v>8735</v>
      </c>
      <c r="F685" s="13" t="s">
        <v>8736</v>
      </c>
      <c r="G685" s="14" t="s">
        <v>8737</v>
      </c>
    </row>
    <row r="686">
      <c r="A686" s="13" t="s">
        <v>69</v>
      </c>
      <c r="B686" s="13" t="s">
        <v>5745</v>
      </c>
      <c r="C686" s="13" t="s">
        <v>5746</v>
      </c>
      <c r="D686" s="13" t="s">
        <v>5747</v>
      </c>
      <c r="E686" s="13" t="s">
        <v>5748</v>
      </c>
      <c r="F686" s="13" t="s">
        <v>5749</v>
      </c>
      <c r="G686" s="14" t="s">
        <v>5750</v>
      </c>
    </row>
    <row r="687">
      <c r="A687" s="13" t="s">
        <v>2597</v>
      </c>
      <c r="B687" s="13" t="s">
        <v>8738</v>
      </c>
      <c r="C687" s="13" t="s">
        <v>8739</v>
      </c>
      <c r="D687" s="13" t="s">
        <v>8740</v>
      </c>
      <c r="E687" s="13" t="s">
        <v>8741</v>
      </c>
      <c r="F687" s="13" t="s">
        <v>8742</v>
      </c>
      <c r="G687" s="14" t="s">
        <v>8743</v>
      </c>
    </row>
    <row r="688">
      <c r="A688" s="13" t="s">
        <v>1713</v>
      </c>
      <c r="B688" s="13" t="s">
        <v>7682</v>
      </c>
      <c r="C688" s="13" t="s">
        <v>7683</v>
      </c>
      <c r="D688" s="13" t="s">
        <v>7684</v>
      </c>
      <c r="E688" s="13" t="s">
        <v>7685</v>
      </c>
      <c r="F688" s="13" t="s">
        <v>7686</v>
      </c>
      <c r="G688" s="14" t="s">
        <v>8744</v>
      </c>
    </row>
    <row r="689">
      <c r="A689" s="13" t="s">
        <v>2604</v>
      </c>
      <c r="B689" s="13" t="s">
        <v>8745</v>
      </c>
      <c r="C689" s="13" t="s">
        <v>8746</v>
      </c>
      <c r="D689" s="13" t="s">
        <v>8747</v>
      </c>
      <c r="E689" s="13" t="s">
        <v>8748</v>
      </c>
      <c r="F689" s="13" t="s">
        <v>8749</v>
      </c>
      <c r="G689" s="14" t="s">
        <v>8750</v>
      </c>
    </row>
    <row r="690">
      <c r="A690" s="13" t="s">
        <v>2608</v>
      </c>
      <c r="B690" s="13" t="s">
        <v>8751</v>
      </c>
      <c r="C690" s="13" t="s">
        <v>8752</v>
      </c>
      <c r="D690" s="13" t="s">
        <v>8753</v>
      </c>
      <c r="E690" s="13" t="s">
        <v>8754</v>
      </c>
      <c r="F690" s="13" t="s">
        <v>8755</v>
      </c>
      <c r="G690" s="14" t="s">
        <v>8756</v>
      </c>
    </row>
    <row r="691">
      <c r="A691" s="13" t="s">
        <v>74</v>
      </c>
      <c r="B691" s="13" t="s">
        <v>5751</v>
      </c>
      <c r="C691" s="13" t="s">
        <v>5752</v>
      </c>
      <c r="D691" s="13" t="s">
        <v>5753</v>
      </c>
      <c r="E691" s="13" t="s">
        <v>5754</v>
      </c>
      <c r="F691" s="13" t="s">
        <v>5755</v>
      </c>
      <c r="G691" s="14" t="s">
        <v>5756</v>
      </c>
    </row>
    <row r="692">
      <c r="A692" s="13" t="s">
        <v>2614</v>
      </c>
      <c r="B692" s="13" t="s">
        <v>8757</v>
      </c>
      <c r="C692" s="13" t="s">
        <v>8758</v>
      </c>
      <c r="D692" s="13" t="s">
        <v>8759</v>
      </c>
      <c r="E692" s="13" t="s">
        <v>8760</v>
      </c>
      <c r="F692" s="13" t="s">
        <v>8761</v>
      </c>
      <c r="G692" s="14" t="s">
        <v>8762</v>
      </c>
    </row>
    <row r="693">
      <c r="A693" s="13" t="s">
        <v>2618</v>
      </c>
      <c r="B693" s="13" t="s">
        <v>8763</v>
      </c>
      <c r="C693" s="13" t="s">
        <v>8764</v>
      </c>
      <c r="D693" s="13" t="s">
        <v>8765</v>
      </c>
      <c r="E693" s="13" t="s">
        <v>8766</v>
      </c>
      <c r="F693" s="13" t="s">
        <v>8767</v>
      </c>
      <c r="G693" s="14" t="s">
        <v>8768</v>
      </c>
    </row>
    <row r="694">
      <c r="A694" s="13" t="s">
        <v>78</v>
      </c>
      <c r="B694" s="13" t="s">
        <v>5757</v>
      </c>
      <c r="C694" s="13" t="s">
        <v>5758</v>
      </c>
      <c r="D694" s="13" t="s">
        <v>5759</v>
      </c>
      <c r="E694" s="13" t="s">
        <v>5760</v>
      </c>
      <c r="F694" s="13" t="s">
        <v>5761</v>
      </c>
      <c r="G694" s="14" t="s">
        <v>5762</v>
      </c>
    </row>
    <row r="695">
      <c r="A695" s="13" t="s">
        <v>2624</v>
      </c>
      <c r="B695" s="13" t="s">
        <v>8769</v>
      </c>
      <c r="C695" s="13" t="s">
        <v>8770</v>
      </c>
      <c r="D695" s="13" t="s">
        <v>8771</v>
      </c>
      <c r="E695" s="13" t="s">
        <v>8772</v>
      </c>
      <c r="F695" s="13" t="s">
        <v>8773</v>
      </c>
      <c r="G695" s="14" t="s">
        <v>8774</v>
      </c>
    </row>
    <row r="696">
      <c r="A696" s="13" t="s">
        <v>1768</v>
      </c>
      <c r="B696" s="13" t="s">
        <v>8775</v>
      </c>
      <c r="C696" s="13" t="s">
        <v>8776</v>
      </c>
      <c r="D696" s="13" t="s">
        <v>8777</v>
      </c>
      <c r="E696" s="13" t="s">
        <v>8778</v>
      </c>
      <c r="F696" s="13" t="s">
        <v>8779</v>
      </c>
      <c r="G696" s="14" t="s">
        <v>8780</v>
      </c>
    </row>
    <row r="697">
      <c r="A697" s="13" t="s">
        <v>2629</v>
      </c>
      <c r="B697" s="13" t="s">
        <v>8781</v>
      </c>
      <c r="C697" s="13" t="s">
        <v>8782</v>
      </c>
      <c r="D697" s="13" t="s">
        <v>8783</v>
      </c>
      <c r="E697" s="13" t="s">
        <v>8784</v>
      </c>
      <c r="F697" s="13" t="s">
        <v>8785</v>
      </c>
      <c r="G697" s="14" t="s">
        <v>8786</v>
      </c>
    </row>
    <row r="698">
      <c r="A698" s="13" t="s">
        <v>2634</v>
      </c>
      <c r="B698" s="13" t="s">
        <v>8787</v>
      </c>
      <c r="C698" s="13" t="s">
        <v>8788</v>
      </c>
      <c r="D698" s="13" t="s">
        <v>8789</v>
      </c>
      <c r="E698" s="13" t="s">
        <v>8790</v>
      </c>
      <c r="F698" s="13" t="s">
        <v>8791</v>
      </c>
      <c r="G698" s="14" t="s">
        <v>8792</v>
      </c>
    </row>
    <row r="699">
      <c r="A699" s="13" t="s">
        <v>2638</v>
      </c>
      <c r="B699" s="13" t="s">
        <v>8793</v>
      </c>
      <c r="C699" s="13" t="s">
        <v>8794</v>
      </c>
      <c r="D699" s="13" t="s">
        <v>8795</v>
      </c>
      <c r="E699" s="13" t="s">
        <v>8796</v>
      </c>
      <c r="F699" s="13" t="s">
        <v>8797</v>
      </c>
      <c r="G699" s="14" t="s">
        <v>8798</v>
      </c>
    </row>
    <row r="700">
      <c r="A700" s="13" t="s">
        <v>2642</v>
      </c>
      <c r="B700" s="13" t="s">
        <v>8799</v>
      </c>
      <c r="C700" s="13" t="s">
        <v>8800</v>
      </c>
      <c r="D700" s="13" t="s">
        <v>8801</v>
      </c>
      <c r="E700" s="13" t="s">
        <v>8802</v>
      </c>
      <c r="F700" s="13" t="s">
        <v>8803</v>
      </c>
      <c r="G700" s="14" t="s">
        <v>8804</v>
      </c>
    </row>
    <row r="701">
      <c r="A701" s="13" t="s">
        <v>81</v>
      </c>
      <c r="B701" s="13" t="s">
        <v>5763</v>
      </c>
      <c r="C701" s="13" t="s">
        <v>5764</v>
      </c>
      <c r="D701" s="13" t="s">
        <v>5765</v>
      </c>
      <c r="E701" s="13" t="s">
        <v>5766</v>
      </c>
      <c r="F701" s="13" t="s">
        <v>7784</v>
      </c>
      <c r="G701" s="14" t="s">
        <v>8805</v>
      </c>
    </row>
    <row r="702">
      <c r="A702" s="13" t="s">
        <v>102</v>
      </c>
      <c r="B702" s="13" t="s">
        <v>5788</v>
      </c>
      <c r="C702" s="13" t="s">
        <v>5789</v>
      </c>
      <c r="D702" s="13" t="s">
        <v>5790</v>
      </c>
      <c r="E702" s="13" t="s">
        <v>5791</v>
      </c>
      <c r="F702" s="13" t="s">
        <v>5792</v>
      </c>
      <c r="G702" s="14" t="s">
        <v>8806</v>
      </c>
    </row>
    <row r="703">
      <c r="A703" s="13" t="s">
        <v>2650</v>
      </c>
      <c r="B703" s="13" t="s">
        <v>8807</v>
      </c>
      <c r="C703" s="13" t="s">
        <v>8808</v>
      </c>
      <c r="D703" s="13" t="s">
        <v>8809</v>
      </c>
      <c r="E703" s="13" t="s">
        <v>8810</v>
      </c>
      <c r="F703" s="13" t="s">
        <v>8811</v>
      </c>
      <c r="G703" s="14" t="s">
        <v>8812</v>
      </c>
    </row>
    <row r="704">
      <c r="A704" s="13" t="s">
        <v>2654</v>
      </c>
      <c r="B704" s="13" t="s">
        <v>8813</v>
      </c>
      <c r="C704" s="13" t="s">
        <v>8814</v>
      </c>
      <c r="D704" s="13" t="s">
        <v>8815</v>
      </c>
      <c r="E704" s="13" t="s">
        <v>8816</v>
      </c>
      <c r="F704" s="13" t="s">
        <v>8817</v>
      </c>
      <c r="G704" s="14" t="s">
        <v>8818</v>
      </c>
    </row>
    <row r="705">
      <c r="A705" s="13" t="s">
        <v>2659</v>
      </c>
      <c r="B705" s="13" t="s">
        <v>8819</v>
      </c>
      <c r="C705" s="13" t="s">
        <v>8820</v>
      </c>
      <c r="D705" s="13" t="s">
        <v>8821</v>
      </c>
      <c r="E705" s="13" t="s">
        <v>8822</v>
      </c>
      <c r="F705" s="13" t="s">
        <v>8823</v>
      </c>
      <c r="G705" s="14" t="s">
        <v>8824</v>
      </c>
    </row>
    <row r="706">
      <c r="A706" s="13" t="s">
        <v>1851</v>
      </c>
      <c r="B706" s="13" t="s">
        <v>7814</v>
      </c>
      <c r="C706" s="13" t="s">
        <v>7815</v>
      </c>
      <c r="D706" s="13" t="s">
        <v>7816</v>
      </c>
      <c r="E706" s="13" t="s">
        <v>7817</v>
      </c>
      <c r="F706" s="13" t="s">
        <v>7818</v>
      </c>
      <c r="G706" s="14" t="s">
        <v>8825</v>
      </c>
    </row>
    <row r="707">
      <c r="A707" s="13" t="s">
        <v>2665</v>
      </c>
      <c r="B707" s="13" t="s">
        <v>8826</v>
      </c>
      <c r="C707" s="13" t="s">
        <v>8827</v>
      </c>
      <c r="D707" s="13" t="s">
        <v>8828</v>
      </c>
      <c r="E707" s="13" t="s">
        <v>8829</v>
      </c>
      <c r="F707" s="13" t="s">
        <v>8830</v>
      </c>
      <c r="G707" s="14" t="s">
        <v>8831</v>
      </c>
    </row>
    <row r="708">
      <c r="A708" s="13" t="s">
        <v>2669</v>
      </c>
      <c r="B708" s="13" t="s">
        <v>8832</v>
      </c>
      <c r="C708" s="13" t="s">
        <v>8833</v>
      </c>
      <c r="D708" s="13" t="s">
        <v>8834</v>
      </c>
      <c r="E708" s="13" t="s">
        <v>8835</v>
      </c>
      <c r="F708" s="13" t="s">
        <v>8836</v>
      </c>
      <c r="G708" s="14" t="s">
        <v>8837</v>
      </c>
    </row>
    <row r="709">
      <c r="A709" s="13" t="s">
        <v>2673</v>
      </c>
      <c r="B709" s="13" t="s">
        <v>8838</v>
      </c>
      <c r="C709" s="13" t="s">
        <v>8839</v>
      </c>
      <c r="D709" s="13" t="s">
        <v>8840</v>
      </c>
      <c r="E709" s="13" t="s">
        <v>8841</v>
      </c>
      <c r="F709" s="13" t="s">
        <v>8842</v>
      </c>
      <c r="G709" s="14" t="s">
        <v>8843</v>
      </c>
    </row>
    <row r="710">
      <c r="A710" s="13" t="s">
        <v>2677</v>
      </c>
      <c r="B710" s="13" t="s">
        <v>8844</v>
      </c>
      <c r="C710" s="13" t="s">
        <v>8845</v>
      </c>
      <c r="D710" s="13" t="s">
        <v>8846</v>
      </c>
      <c r="E710" s="13" t="s">
        <v>8847</v>
      </c>
      <c r="F710" s="13" t="s">
        <v>8848</v>
      </c>
      <c r="G710" s="14" t="s">
        <v>8849</v>
      </c>
    </row>
    <row r="711">
      <c r="A711" s="13" t="s">
        <v>2681</v>
      </c>
      <c r="B711" s="13" t="s">
        <v>8850</v>
      </c>
      <c r="C711" s="13" t="s">
        <v>8851</v>
      </c>
      <c r="D711" s="13" t="s">
        <v>8852</v>
      </c>
      <c r="E711" s="13" t="s">
        <v>8853</v>
      </c>
      <c r="F711" s="13" t="s">
        <v>8854</v>
      </c>
      <c r="G711" s="14" t="s">
        <v>8855</v>
      </c>
    </row>
    <row r="712">
      <c r="A712" s="13" t="s">
        <v>2686</v>
      </c>
      <c r="B712" s="13" t="s">
        <v>8856</v>
      </c>
      <c r="C712" s="13" t="s">
        <v>8857</v>
      </c>
      <c r="D712" s="13" t="s">
        <v>8858</v>
      </c>
      <c r="E712" s="13" t="s">
        <v>8859</v>
      </c>
      <c r="F712" s="13" t="s">
        <v>8860</v>
      </c>
      <c r="G712" s="14" t="s">
        <v>8861</v>
      </c>
    </row>
    <row r="713">
      <c r="A713" s="13" t="s">
        <v>2691</v>
      </c>
      <c r="B713" s="13" t="s">
        <v>8862</v>
      </c>
      <c r="C713" s="13" t="s">
        <v>8863</v>
      </c>
      <c r="D713" s="13" t="s">
        <v>8864</v>
      </c>
      <c r="E713" s="13" t="s">
        <v>8865</v>
      </c>
      <c r="F713" s="13" t="s">
        <v>8866</v>
      </c>
      <c r="G713" s="14" t="s">
        <v>8867</v>
      </c>
    </row>
    <row r="714">
      <c r="A714" s="13" t="s">
        <v>2695</v>
      </c>
      <c r="B714" s="13" t="s">
        <v>8868</v>
      </c>
      <c r="C714" s="13" t="s">
        <v>8869</v>
      </c>
      <c r="D714" s="13" t="s">
        <v>8870</v>
      </c>
      <c r="E714" s="13" t="s">
        <v>8871</v>
      </c>
      <c r="F714" s="13" t="s">
        <v>8872</v>
      </c>
      <c r="G714" s="14" t="s">
        <v>8873</v>
      </c>
    </row>
    <row r="715">
      <c r="A715" s="13" t="s">
        <v>1807</v>
      </c>
      <c r="B715" s="13" t="s">
        <v>7760</v>
      </c>
      <c r="C715" s="13" t="s">
        <v>7761</v>
      </c>
      <c r="D715" s="13" t="s">
        <v>7762</v>
      </c>
      <c r="E715" s="13" t="s">
        <v>7763</v>
      </c>
      <c r="F715" s="13" t="s">
        <v>7764</v>
      </c>
      <c r="G715" s="14" t="s">
        <v>8874</v>
      </c>
    </row>
    <row r="716">
      <c r="A716" s="13" t="s">
        <v>98</v>
      </c>
      <c r="B716" s="13" t="s">
        <v>5782</v>
      </c>
      <c r="C716" s="13" t="s">
        <v>5783</v>
      </c>
      <c r="D716" s="13" t="s">
        <v>5784</v>
      </c>
      <c r="E716" s="13" t="s">
        <v>5785</v>
      </c>
      <c r="F716" s="13" t="s">
        <v>5786</v>
      </c>
      <c r="G716" s="14" t="s">
        <v>5787</v>
      </c>
    </row>
    <row r="717">
      <c r="A717" s="13" t="s">
        <v>2701</v>
      </c>
      <c r="B717" s="13" t="s">
        <v>8875</v>
      </c>
      <c r="C717" s="13" t="s">
        <v>8876</v>
      </c>
      <c r="D717" s="13" t="s">
        <v>8877</v>
      </c>
      <c r="E717" s="13" t="s">
        <v>8878</v>
      </c>
      <c r="F717" s="13" t="s">
        <v>8879</v>
      </c>
      <c r="G717" s="14" t="s">
        <v>8880</v>
      </c>
    </row>
    <row r="718">
      <c r="A718" s="13" t="s">
        <v>2705</v>
      </c>
      <c r="B718" s="13" t="s">
        <v>8881</v>
      </c>
      <c r="C718" s="13" t="s">
        <v>8882</v>
      </c>
      <c r="D718" s="13" t="s">
        <v>8883</v>
      </c>
      <c r="E718" s="13" t="s">
        <v>8884</v>
      </c>
      <c r="F718" s="13" t="s">
        <v>8885</v>
      </c>
      <c r="G718" s="14" t="s">
        <v>8886</v>
      </c>
    </row>
    <row r="719">
      <c r="A719" s="13" t="s">
        <v>2709</v>
      </c>
      <c r="B719" s="13" t="s">
        <v>8887</v>
      </c>
      <c r="C719" s="13" t="s">
        <v>8888</v>
      </c>
      <c r="D719" s="13" t="s">
        <v>8889</v>
      </c>
      <c r="E719" s="13" t="s">
        <v>8890</v>
      </c>
      <c r="F719" s="13" t="s">
        <v>8891</v>
      </c>
      <c r="G719" s="14" t="s">
        <v>8892</v>
      </c>
    </row>
    <row r="720">
      <c r="A720" s="13" t="s">
        <v>2714</v>
      </c>
      <c r="B720" s="13" t="s">
        <v>8893</v>
      </c>
      <c r="C720" s="13" t="s">
        <v>8894</v>
      </c>
      <c r="D720" s="13" t="s">
        <v>8895</v>
      </c>
      <c r="E720" s="13" t="s">
        <v>8896</v>
      </c>
      <c r="F720" s="13" t="s">
        <v>8897</v>
      </c>
      <c r="G720" s="14" t="s">
        <v>8898</v>
      </c>
    </row>
    <row r="721">
      <c r="A721" s="13" t="s">
        <v>2718</v>
      </c>
      <c r="B721" s="13" t="s">
        <v>8899</v>
      </c>
      <c r="C721" s="13" t="s">
        <v>8900</v>
      </c>
      <c r="D721" s="13" t="s">
        <v>8901</v>
      </c>
      <c r="E721" s="13" t="s">
        <v>8902</v>
      </c>
      <c r="F721" s="13" t="s">
        <v>8903</v>
      </c>
      <c r="G721" s="14" t="s">
        <v>8904</v>
      </c>
    </row>
    <row r="722">
      <c r="A722" s="13" t="s">
        <v>2723</v>
      </c>
      <c r="B722" s="13" t="s">
        <v>8905</v>
      </c>
      <c r="C722" s="13" t="s">
        <v>8906</v>
      </c>
      <c r="D722" s="13" t="s">
        <v>8907</v>
      </c>
      <c r="E722" s="13" t="s">
        <v>8908</v>
      </c>
      <c r="F722" s="13" t="s">
        <v>8909</v>
      </c>
      <c r="G722" s="14" t="s">
        <v>8910</v>
      </c>
    </row>
    <row r="723">
      <c r="A723" s="13" t="s">
        <v>2727</v>
      </c>
      <c r="B723" s="13" t="s">
        <v>8911</v>
      </c>
      <c r="C723" s="13" t="s">
        <v>8912</v>
      </c>
      <c r="D723" s="13" t="s">
        <v>8913</v>
      </c>
      <c r="E723" s="13" t="s">
        <v>8914</v>
      </c>
      <c r="F723" s="13" t="s">
        <v>8915</v>
      </c>
      <c r="G723" s="14" t="s">
        <v>8916</v>
      </c>
    </row>
    <row r="724">
      <c r="A724" s="13" t="s">
        <v>106</v>
      </c>
      <c r="B724" s="13" t="s">
        <v>5794</v>
      </c>
      <c r="C724" s="13" t="s">
        <v>5795</v>
      </c>
      <c r="D724" s="13" t="s">
        <v>5796</v>
      </c>
      <c r="E724" s="13" t="s">
        <v>5797</v>
      </c>
      <c r="F724" s="13" t="s">
        <v>5798</v>
      </c>
      <c r="G724" s="14" t="s">
        <v>8917</v>
      </c>
    </row>
    <row r="725">
      <c r="A725" s="13" t="s">
        <v>110</v>
      </c>
      <c r="B725" s="13" t="s">
        <v>5800</v>
      </c>
      <c r="C725" s="13" t="s">
        <v>5801</v>
      </c>
      <c r="D725" s="13" t="s">
        <v>5802</v>
      </c>
      <c r="E725" s="13" t="s">
        <v>5803</v>
      </c>
      <c r="F725" s="13" t="s">
        <v>5804</v>
      </c>
      <c r="G725" s="14" t="s">
        <v>8918</v>
      </c>
    </row>
    <row r="726">
      <c r="A726" s="13" t="s">
        <v>2733</v>
      </c>
      <c r="B726" s="13" t="s">
        <v>8919</v>
      </c>
      <c r="C726" s="13" t="s">
        <v>8920</v>
      </c>
      <c r="D726" s="13" t="s">
        <v>8921</v>
      </c>
      <c r="E726" s="13" t="s">
        <v>8922</v>
      </c>
      <c r="F726" s="13" t="s">
        <v>8923</v>
      </c>
      <c r="G726" s="14" t="s">
        <v>8924</v>
      </c>
    </row>
    <row r="727">
      <c r="A727" s="13" t="s">
        <v>2737</v>
      </c>
      <c r="B727" s="13" t="s">
        <v>7879</v>
      </c>
      <c r="C727" s="13" t="s">
        <v>7880</v>
      </c>
      <c r="D727" s="13" t="s">
        <v>7881</v>
      </c>
      <c r="E727" s="13" t="s">
        <v>7882</v>
      </c>
      <c r="F727" s="13" t="s">
        <v>7883</v>
      </c>
      <c r="G727" s="14" t="s">
        <v>8925</v>
      </c>
    </row>
    <row r="728">
      <c r="A728" s="13" t="s">
        <v>2741</v>
      </c>
      <c r="B728" s="13" t="s">
        <v>8926</v>
      </c>
      <c r="C728" s="13" t="s">
        <v>8927</v>
      </c>
      <c r="D728" s="13" t="s">
        <v>8928</v>
      </c>
      <c r="E728" s="13" t="s">
        <v>8929</v>
      </c>
      <c r="F728" s="13" t="s">
        <v>8930</v>
      </c>
      <c r="G728" s="14" t="s">
        <v>8931</v>
      </c>
    </row>
    <row r="729">
      <c r="A729" s="13" t="s">
        <v>114</v>
      </c>
      <c r="B729" s="13" t="s">
        <v>5806</v>
      </c>
      <c r="C729" s="13" t="s">
        <v>5807</v>
      </c>
      <c r="D729" s="13" t="s">
        <v>5808</v>
      </c>
      <c r="E729" s="13" t="s">
        <v>5809</v>
      </c>
      <c r="F729" s="13" t="s">
        <v>5810</v>
      </c>
      <c r="G729" s="14" t="s">
        <v>5811</v>
      </c>
    </row>
    <row r="730">
      <c r="A730" s="13" t="s">
        <v>2746</v>
      </c>
      <c r="B730" s="13" t="s">
        <v>8932</v>
      </c>
      <c r="C730" s="13" t="s">
        <v>8933</v>
      </c>
      <c r="D730" s="13" t="s">
        <v>8934</v>
      </c>
      <c r="E730" s="13" t="s">
        <v>8935</v>
      </c>
      <c r="F730" s="13" t="s">
        <v>8936</v>
      </c>
      <c r="G730" s="14" t="s">
        <v>8937</v>
      </c>
    </row>
    <row r="731">
      <c r="A731" s="13" t="s">
        <v>2750</v>
      </c>
      <c r="B731" s="13" t="s">
        <v>8938</v>
      </c>
      <c r="C731" s="13" t="s">
        <v>8939</v>
      </c>
      <c r="D731" s="13" t="s">
        <v>8940</v>
      </c>
      <c r="E731" s="13" t="s">
        <v>8941</v>
      </c>
      <c r="F731" s="13" t="s">
        <v>8942</v>
      </c>
      <c r="G731" s="14" t="s">
        <v>8943</v>
      </c>
    </row>
    <row r="732">
      <c r="A732" s="13" t="s">
        <v>2754</v>
      </c>
      <c r="B732" s="13" t="s">
        <v>8944</v>
      </c>
      <c r="C732" s="13" t="s">
        <v>8945</v>
      </c>
      <c r="D732" s="13" t="s">
        <v>8946</v>
      </c>
      <c r="E732" s="13" t="s">
        <v>8947</v>
      </c>
      <c r="F732" s="13" t="s">
        <v>8948</v>
      </c>
      <c r="G732" s="14" t="s">
        <v>8949</v>
      </c>
    </row>
    <row r="733">
      <c r="A733" s="13" t="s">
        <v>122</v>
      </c>
      <c r="B733" s="13" t="s">
        <v>5818</v>
      </c>
      <c r="C733" s="13" t="s">
        <v>5819</v>
      </c>
      <c r="D733" s="13" t="s">
        <v>5820</v>
      </c>
      <c r="E733" s="13" t="s">
        <v>5821</v>
      </c>
      <c r="F733" s="13" t="s">
        <v>5822</v>
      </c>
      <c r="G733" s="14" t="s">
        <v>5823</v>
      </c>
    </row>
    <row r="734">
      <c r="A734" s="13" t="s">
        <v>2759</v>
      </c>
      <c r="B734" s="13" t="s">
        <v>8950</v>
      </c>
      <c r="C734" s="13" t="s">
        <v>8951</v>
      </c>
      <c r="D734" s="13" t="s">
        <v>8952</v>
      </c>
      <c r="E734" s="13" t="s">
        <v>8953</v>
      </c>
      <c r="F734" s="13" t="s">
        <v>8954</v>
      </c>
      <c r="G734" s="14" t="s">
        <v>8955</v>
      </c>
    </row>
    <row r="735">
      <c r="A735" s="13" t="s">
        <v>2764</v>
      </c>
      <c r="B735" s="13" t="s">
        <v>8956</v>
      </c>
      <c r="C735" s="13" t="s">
        <v>8957</v>
      </c>
      <c r="D735" s="13" t="s">
        <v>8958</v>
      </c>
      <c r="E735" s="13" t="s">
        <v>8959</v>
      </c>
      <c r="F735" s="13" t="s">
        <v>8960</v>
      </c>
      <c r="G735" s="14" t="s">
        <v>8961</v>
      </c>
    </row>
    <row r="736">
      <c r="A736" s="13" t="s">
        <v>2769</v>
      </c>
      <c r="B736" s="13" t="s">
        <v>8962</v>
      </c>
      <c r="C736" s="13" t="s">
        <v>8963</v>
      </c>
      <c r="D736" s="13" t="s">
        <v>8964</v>
      </c>
      <c r="E736" s="13" t="s">
        <v>8965</v>
      </c>
      <c r="F736" s="13" t="s">
        <v>8966</v>
      </c>
      <c r="G736" s="14" t="s">
        <v>8967</v>
      </c>
    </row>
    <row r="737">
      <c r="A737" s="13" t="s">
        <v>1890</v>
      </c>
      <c r="B737" s="13" t="s">
        <v>7854</v>
      </c>
      <c r="C737" s="13" t="s">
        <v>7855</v>
      </c>
      <c r="D737" s="13" t="s">
        <v>7856</v>
      </c>
      <c r="E737" s="13" t="s">
        <v>7857</v>
      </c>
      <c r="F737" s="13" t="s">
        <v>7858</v>
      </c>
      <c r="G737" s="14" t="s">
        <v>8968</v>
      </c>
    </row>
    <row r="738">
      <c r="A738" s="13" t="s">
        <v>2774</v>
      </c>
      <c r="B738" s="13" t="s">
        <v>8969</v>
      </c>
      <c r="C738" s="13" t="s">
        <v>8970</v>
      </c>
      <c r="D738" s="13" t="s">
        <v>8971</v>
      </c>
      <c r="E738" s="13" t="s">
        <v>8972</v>
      </c>
      <c r="F738" s="13" t="s">
        <v>8973</v>
      </c>
      <c r="G738" s="14" t="s">
        <v>8974</v>
      </c>
    </row>
    <row r="739">
      <c r="A739" s="13" t="s">
        <v>2778</v>
      </c>
      <c r="B739" s="13" t="s">
        <v>8975</v>
      </c>
      <c r="C739" s="13" t="s">
        <v>8976</v>
      </c>
      <c r="D739" s="13" t="s">
        <v>8977</v>
      </c>
      <c r="E739" s="13" t="s">
        <v>8978</v>
      </c>
      <c r="F739" s="13" t="s">
        <v>8979</v>
      </c>
      <c r="G739" s="14" t="s">
        <v>8980</v>
      </c>
    </row>
    <row r="740">
      <c r="A740" s="13" t="s">
        <v>2782</v>
      </c>
      <c r="B740" s="13" t="s">
        <v>8981</v>
      </c>
      <c r="C740" s="13" t="s">
        <v>8982</v>
      </c>
      <c r="D740" s="13" t="s">
        <v>8983</v>
      </c>
      <c r="E740" s="13" t="s">
        <v>8984</v>
      </c>
      <c r="F740" s="13" t="s">
        <v>8985</v>
      </c>
      <c r="G740" s="14" t="s">
        <v>8986</v>
      </c>
    </row>
    <row r="741">
      <c r="A741" s="13" t="s">
        <v>2786</v>
      </c>
      <c r="B741" s="13" t="s">
        <v>8987</v>
      </c>
      <c r="C741" s="13" t="s">
        <v>8988</v>
      </c>
      <c r="D741" s="13" t="s">
        <v>8989</v>
      </c>
      <c r="E741" s="13" t="s">
        <v>8990</v>
      </c>
      <c r="F741" s="13" t="s">
        <v>8991</v>
      </c>
      <c r="G741" s="14" t="s">
        <v>8992</v>
      </c>
    </row>
    <row r="742">
      <c r="A742" s="13" t="s">
        <v>1873</v>
      </c>
      <c r="B742" s="13" t="s">
        <v>7840</v>
      </c>
      <c r="C742" s="13" t="s">
        <v>7841</v>
      </c>
      <c r="D742" s="13" t="s">
        <v>7842</v>
      </c>
      <c r="E742" s="13" t="s">
        <v>7843</v>
      </c>
      <c r="F742" s="13" t="s">
        <v>7844</v>
      </c>
      <c r="G742" s="14" t="s">
        <v>8993</v>
      </c>
    </row>
    <row r="743">
      <c r="A743" s="13" t="s">
        <v>2792</v>
      </c>
      <c r="B743" s="13" t="s">
        <v>8994</v>
      </c>
      <c r="C743" s="13" t="s">
        <v>8995</v>
      </c>
      <c r="D743" s="13" t="s">
        <v>8996</v>
      </c>
      <c r="E743" s="13" t="s">
        <v>8997</v>
      </c>
      <c r="F743" s="13" t="s">
        <v>8998</v>
      </c>
      <c r="G743" s="14" t="s">
        <v>8999</v>
      </c>
    </row>
    <row r="744">
      <c r="A744" s="13" t="s">
        <v>2796</v>
      </c>
      <c r="B744" s="13" t="s">
        <v>9000</v>
      </c>
      <c r="C744" s="13" t="s">
        <v>9001</v>
      </c>
      <c r="D744" s="13" t="s">
        <v>9002</v>
      </c>
      <c r="E744" s="13" t="s">
        <v>9003</v>
      </c>
      <c r="F744" s="13" t="s">
        <v>9004</v>
      </c>
      <c r="G744" s="14" t="s">
        <v>9005</v>
      </c>
    </row>
    <row r="745">
      <c r="A745" s="13" t="s">
        <v>2800</v>
      </c>
      <c r="B745" s="13" t="s">
        <v>9006</v>
      </c>
      <c r="C745" s="13" t="s">
        <v>9007</v>
      </c>
      <c r="D745" s="13" t="s">
        <v>9008</v>
      </c>
      <c r="E745" s="13" t="s">
        <v>9009</v>
      </c>
      <c r="F745" s="13" t="s">
        <v>9010</v>
      </c>
      <c r="G745" s="14" t="s">
        <v>9011</v>
      </c>
    </row>
    <row r="746">
      <c r="A746" s="13" t="s">
        <v>2804</v>
      </c>
      <c r="B746" s="13" t="s">
        <v>9012</v>
      </c>
      <c r="C746" s="13" t="s">
        <v>9013</v>
      </c>
      <c r="D746" s="13" t="s">
        <v>9014</v>
      </c>
      <c r="E746" s="13" t="s">
        <v>9015</v>
      </c>
      <c r="F746" s="13" t="s">
        <v>9016</v>
      </c>
      <c r="G746" s="14" t="s">
        <v>9017</v>
      </c>
    </row>
    <row r="747">
      <c r="A747" s="13" t="s">
        <v>2809</v>
      </c>
      <c r="B747" s="13" t="s">
        <v>7941</v>
      </c>
      <c r="C747" s="13" t="s">
        <v>7942</v>
      </c>
      <c r="D747" s="13" t="s">
        <v>7943</v>
      </c>
      <c r="E747" s="13" t="s">
        <v>7944</v>
      </c>
      <c r="F747" s="13" t="s">
        <v>7945</v>
      </c>
      <c r="G747" s="14" t="s">
        <v>9018</v>
      </c>
    </row>
    <row r="748">
      <c r="A748" s="13" t="s">
        <v>2813</v>
      </c>
      <c r="B748" s="13" t="s">
        <v>9019</v>
      </c>
      <c r="C748" s="13" t="s">
        <v>9020</v>
      </c>
      <c r="D748" s="13" t="s">
        <v>9021</v>
      </c>
      <c r="E748" s="13" t="s">
        <v>9022</v>
      </c>
      <c r="F748" s="13" t="s">
        <v>9023</v>
      </c>
      <c r="G748" s="14" t="s">
        <v>9024</v>
      </c>
    </row>
    <row r="749">
      <c r="A749" s="13" t="s">
        <v>2817</v>
      </c>
      <c r="B749" s="13" t="s">
        <v>9025</v>
      </c>
      <c r="C749" s="13" t="s">
        <v>9026</v>
      </c>
      <c r="D749" s="13" t="s">
        <v>9027</v>
      </c>
      <c r="E749" s="13" t="s">
        <v>9028</v>
      </c>
      <c r="F749" s="13" t="s">
        <v>9029</v>
      </c>
      <c r="G749" s="14" t="s">
        <v>9030</v>
      </c>
    </row>
    <row r="750">
      <c r="A750" s="13" t="s">
        <v>2821</v>
      </c>
      <c r="B750" s="13" t="s">
        <v>9031</v>
      </c>
      <c r="C750" s="13" t="s">
        <v>9032</v>
      </c>
      <c r="D750" s="13" t="s">
        <v>9033</v>
      </c>
      <c r="E750" s="13" t="s">
        <v>9034</v>
      </c>
      <c r="F750" s="13" t="s">
        <v>9035</v>
      </c>
      <c r="G750" s="14" t="s">
        <v>9036</v>
      </c>
    </row>
    <row r="751">
      <c r="A751" s="13" t="s">
        <v>2826</v>
      </c>
      <c r="B751" s="13" t="s">
        <v>9037</v>
      </c>
      <c r="C751" s="13" t="s">
        <v>9038</v>
      </c>
      <c r="D751" s="13" t="s">
        <v>9039</v>
      </c>
      <c r="E751" s="13" t="s">
        <v>9040</v>
      </c>
      <c r="F751" s="13" t="s">
        <v>9041</v>
      </c>
      <c r="G751" s="14" t="s">
        <v>9042</v>
      </c>
    </row>
    <row r="752">
      <c r="A752" s="13" t="s">
        <v>2830</v>
      </c>
      <c r="B752" s="13" t="s">
        <v>9043</v>
      </c>
      <c r="C752" s="13" t="s">
        <v>9044</v>
      </c>
      <c r="D752" s="13" t="s">
        <v>9045</v>
      </c>
      <c r="E752" s="13" t="s">
        <v>9046</v>
      </c>
      <c r="F752" s="13" t="s">
        <v>9047</v>
      </c>
      <c r="G752" s="14" t="s">
        <v>9048</v>
      </c>
    </row>
    <row r="753">
      <c r="A753" s="13" t="s">
        <v>2834</v>
      </c>
      <c r="B753" s="13" t="s">
        <v>9049</v>
      </c>
      <c r="C753" s="13" t="s">
        <v>9050</v>
      </c>
      <c r="D753" s="13" t="s">
        <v>9051</v>
      </c>
      <c r="E753" s="13" t="s">
        <v>9052</v>
      </c>
      <c r="F753" s="13" t="s">
        <v>9053</v>
      </c>
      <c r="G753" s="14" t="s">
        <v>9054</v>
      </c>
    </row>
    <row r="754">
      <c r="A754" s="13" t="s">
        <v>2838</v>
      </c>
      <c r="B754" s="13" t="s">
        <v>9055</v>
      </c>
      <c r="C754" s="13" t="s">
        <v>9056</v>
      </c>
      <c r="D754" s="13" t="s">
        <v>9057</v>
      </c>
      <c r="E754" s="13" t="s">
        <v>9058</v>
      </c>
      <c r="F754" s="13" t="s">
        <v>9059</v>
      </c>
      <c r="G754" s="14" t="s">
        <v>9060</v>
      </c>
    </row>
    <row r="755">
      <c r="A755" s="13" t="s">
        <v>2842</v>
      </c>
      <c r="B755" s="13" t="s">
        <v>9061</v>
      </c>
      <c r="C755" s="13" t="s">
        <v>9062</v>
      </c>
      <c r="D755" s="13" t="s">
        <v>9063</v>
      </c>
      <c r="E755" s="13" t="s">
        <v>9064</v>
      </c>
      <c r="F755" s="13" t="s">
        <v>9065</v>
      </c>
      <c r="G755" s="14" t="s">
        <v>9066</v>
      </c>
    </row>
    <row r="756">
      <c r="A756" s="13" t="s">
        <v>2847</v>
      </c>
      <c r="B756" s="13" t="s">
        <v>9067</v>
      </c>
      <c r="C756" s="13" t="s">
        <v>9068</v>
      </c>
      <c r="D756" s="13" t="s">
        <v>9069</v>
      </c>
      <c r="E756" s="13" t="s">
        <v>9070</v>
      </c>
      <c r="F756" s="13" t="s">
        <v>9071</v>
      </c>
      <c r="G756" s="14" t="s">
        <v>9072</v>
      </c>
    </row>
    <row r="757">
      <c r="A757" s="13" t="s">
        <v>2852</v>
      </c>
      <c r="B757" s="13" t="s">
        <v>9073</v>
      </c>
      <c r="C757" s="13" t="s">
        <v>9074</v>
      </c>
      <c r="D757" s="13" t="s">
        <v>9075</v>
      </c>
      <c r="E757" s="13" t="s">
        <v>9076</v>
      </c>
      <c r="F757" s="13" t="s">
        <v>9077</v>
      </c>
      <c r="G757" s="14" t="s">
        <v>9078</v>
      </c>
    </row>
    <row r="758">
      <c r="A758" s="13" t="s">
        <v>2857</v>
      </c>
      <c r="B758" s="13" t="s">
        <v>9079</v>
      </c>
      <c r="C758" s="13" t="s">
        <v>9080</v>
      </c>
      <c r="D758" s="13" t="s">
        <v>9081</v>
      </c>
      <c r="E758" s="13" t="s">
        <v>9082</v>
      </c>
      <c r="F758" s="13" t="s">
        <v>9083</v>
      </c>
      <c r="G758" s="14" t="s">
        <v>9084</v>
      </c>
    </row>
    <row r="759">
      <c r="A759" s="13" t="s">
        <v>2861</v>
      </c>
      <c r="B759" s="13" t="s">
        <v>9085</v>
      </c>
      <c r="C759" s="13" t="s">
        <v>9086</v>
      </c>
      <c r="D759" s="13" t="s">
        <v>9087</v>
      </c>
      <c r="E759" s="13" t="s">
        <v>9088</v>
      </c>
      <c r="F759" s="13" t="s">
        <v>9089</v>
      </c>
      <c r="G759" s="14" t="s">
        <v>9090</v>
      </c>
    </row>
    <row r="760">
      <c r="A760" s="13" t="s">
        <v>2866</v>
      </c>
      <c r="B760" s="13" t="s">
        <v>9091</v>
      </c>
      <c r="C760" s="13" t="s">
        <v>9092</v>
      </c>
      <c r="D760" s="13" t="s">
        <v>9093</v>
      </c>
      <c r="E760" s="13" t="s">
        <v>9094</v>
      </c>
      <c r="F760" s="13" t="s">
        <v>9095</v>
      </c>
      <c r="G760" s="14" t="s">
        <v>9096</v>
      </c>
    </row>
    <row r="761">
      <c r="A761" s="13" t="s">
        <v>2870</v>
      </c>
      <c r="B761" s="13" t="s">
        <v>9097</v>
      </c>
      <c r="C761" s="13" t="s">
        <v>9098</v>
      </c>
      <c r="D761" s="13" t="s">
        <v>9099</v>
      </c>
      <c r="E761" s="13" t="s">
        <v>9100</v>
      </c>
      <c r="F761" s="13" t="s">
        <v>9101</v>
      </c>
      <c r="G761" s="14" t="s">
        <v>9102</v>
      </c>
    </row>
    <row r="762">
      <c r="A762" s="13" t="s">
        <v>2874</v>
      </c>
      <c r="B762" s="13" t="s">
        <v>9103</v>
      </c>
      <c r="C762" s="13" t="s">
        <v>9104</v>
      </c>
      <c r="D762" s="13" t="s">
        <v>9105</v>
      </c>
      <c r="E762" s="13" t="s">
        <v>9106</v>
      </c>
      <c r="F762" s="13" t="s">
        <v>9107</v>
      </c>
      <c r="G762" s="14" t="s">
        <v>9108</v>
      </c>
    </row>
    <row r="763">
      <c r="A763" s="13" t="s">
        <v>2878</v>
      </c>
      <c r="B763" s="13" t="s">
        <v>9109</v>
      </c>
      <c r="C763" s="13" t="s">
        <v>9110</v>
      </c>
      <c r="D763" s="13" t="s">
        <v>9111</v>
      </c>
      <c r="E763" s="13" t="s">
        <v>9112</v>
      </c>
      <c r="F763" s="13" t="s">
        <v>9113</v>
      </c>
      <c r="G763" s="14" t="s">
        <v>9114</v>
      </c>
    </row>
    <row r="764">
      <c r="A764" s="13" t="s">
        <v>2883</v>
      </c>
      <c r="B764" s="13" t="s">
        <v>9115</v>
      </c>
      <c r="C764" s="13" t="s">
        <v>9116</v>
      </c>
      <c r="D764" s="13" t="s">
        <v>9117</v>
      </c>
      <c r="E764" s="13" t="s">
        <v>9118</v>
      </c>
      <c r="F764" s="13" t="s">
        <v>9119</v>
      </c>
      <c r="G764" s="14" t="s">
        <v>9120</v>
      </c>
    </row>
    <row r="765">
      <c r="A765" s="13" t="s">
        <v>2887</v>
      </c>
      <c r="B765" s="13" t="s">
        <v>9121</v>
      </c>
      <c r="C765" s="13" t="s">
        <v>9122</v>
      </c>
      <c r="D765" s="13" t="s">
        <v>9123</v>
      </c>
      <c r="E765" s="13" t="s">
        <v>9124</v>
      </c>
      <c r="F765" s="13" t="s">
        <v>9125</v>
      </c>
      <c r="G765" s="14" t="s">
        <v>9126</v>
      </c>
    </row>
    <row r="766">
      <c r="A766" s="13" t="s">
        <v>2891</v>
      </c>
      <c r="B766" s="13" t="s">
        <v>9127</v>
      </c>
      <c r="C766" s="13" t="s">
        <v>9128</v>
      </c>
      <c r="D766" s="13" t="s">
        <v>9129</v>
      </c>
      <c r="E766" s="13" t="s">
        <v>9130</v>
      </c>
      <c r="F766" s="13" t="s">
        <v>9131</v>
      </c>
      <c r="G766" s="14" t="s">
        <v>9132</v>
      </c>
    </row>
    <row r="767">
      <c r="A767" s="13" t="s">
        <v>2895</v>
      </c>
      <c r="B767" s="13" t="s">
        <v>9133</v>
      </c>
      <c r="C767" s="13" t="s">
        <v>9134</v>
      </c>
      <c r="D767" s="13" t="s">
        <v>9135</v>
      </c>
      <c r="E767" s="13" t="s">
        <v>9136</v>
      </c>
      <c r="F767" s="13" t="s">
        <v>9137</v>
      </c>
      <c r="G767" s="14" t="s">
        <v>9138</v>
      </c>
    </row>
    <row r="768">
      <c r="A768" s="13" t="s">
        <v>1928</v>
      </c>
      <c r="B768" s="13" t="s">
        <v>7898</v>
      </c>
      <c r="C768" s="13" t="s">
        <v>7899</v>
      </c>
      <c r="D768" s="13" t="s">
        <v>7900</v>
      </c>
      <c r="E768" s="13" t="s">
        <v>7901</v>
      </c>
      <c r="F768" s="13" t="s">
        <v>9139</v>
      </c>
      <c r="G768" s="14" t="s">
        <v>9140</v>
      </c>
    </row>
    <row r="769">
      <c r="A769" s="13" t="s">
        <v>2901</v>
      </c>
      <c r="B769" s="13" t="s">
        <v>9141</v>
      </c>
      <c r="C769" s="13" t="s">
        <v>9142</v>
      </c>
      <c r="D769" s="13" t="s">
        <v>9143</v>
      </c>
      <c r="E769" s="13" t="s">
        <v>9144</v>
      </c>
      <c r="F769" s="13" t="s">
        <v>9145</v>
      </c>
      <c r="G769" s="14" t="s">
        <v>9146</v>
      </c>
    </row>
    <row r="770">
      <c r="A770" s="13" t="s">
        <v>130</v>
      </c>
      <c r="B770" s="13" t="s">
        <v>5830</v>
      </c>
      <c r="C770" s="13" t="s">
        <v>5831</v>
      </c>
      <c r="D770" s="13" t="s">
        <v>5832</v>
      </c>
      <c r="E770" s="13" t="s">
        <v>5833</v>
      </c>
      <c r="F770" s="13" t="s">
        <v>5834</v>
      </c>
      <c r="G770" s="14" t="s">
        <v>9147</v>
      </c>
    </row>
    <row r="771">
      <c r="A771" s="13" t="s">
        <v>2906</v>
      </c>
      <c r="B771" s="13" t="s">
        <v>9148</v>
      </c>
      <c r="C771" s="13" t="s">
        <v>9149</v>
      </c>
      <c r="D771" s="13" t="s">
        <v>9150</v>
      </c>
      <c r="E771" s="13" t="s">
        <v>9151</v>
      </c>
      <c r="F771" s="13" t="s">
        <v>9152</v>
      </c>
      <c r="G771" s="14" t="s">
        <v>9153</v>
      </c>
    </row>
    <row r="772">
      <c r="A772" s="13" t="s">
        <v>2911</v>
      </c>
      <c r="B772" s="13" t="s">
        <v>9154</v>
      </c>
      <c r="C772" s="13" t="s">
        <v>9155</v>
      </c>
      <c r="D772" s="13" t="s">
        <v>9156</v>
      </c>
      <c r="E772" s="13" t="s">
        <v>9157</v>
      </c>
      <c r="F772" s="13" t="s">
        <v>9158</v>
      </c>
      <c r="G772" s="14" t="s">
        <v>9159</v>
      </c>
    </row>
    <row r="773">
      <c r="A773" s="13" t="s">
        <v>138</v>
      </c>
      <c r="B773" s="13" t="s">
        <v>5842</v>
      </c>
      <c r="C773" s="13" t="s">
        <v>5843</v>
      </c>
      <c r="D773" s="13" t="s">
        <v>5844</v>
      </c>
      <c r="E773" s="13" t="s">
        <v>5845</v>
      </c>
      <c r="F773" s="13" t="s">
        <v>5846</v>
      </c>
      <c r="G773" s="14" t="s">
        <v>5847</v>
      </c>
    </row>
    <row r="774">
      <c r="A774" s="13" t="s">
        <v>2916</v>
      </c>
      <c r="B774" s="13" t="s">
        <v>9160</v>
      </c>
      <c r="C774" s="13" t="s">
        <v>9161</v>
      </c>
      <c r="D774" s="13" t="s">
        <v>9162</v>
      </c>
      <c r="E774" s="13" t="s">
        <v>9163</v>
      </c>
      <c r="F774" s="13" t="s">
        <v>9164</v>
      </c>
      <c r="G774" s="14" t="s">
        <v>9165</v>
      </c>
    </row>
    <row r="775">
      <c r="A775" s="13" t="s">
        <v>2920</v>
      </c>
      <c r="B775" s="13" t="s">
        <v>9166</v>
      </c>
      <c r="C775" s="13" t="s">
        <v>9167</v>
      </c>
      <c r="D775" s="13" t="s">
        <v>9168</v>
      </c>
      <c r="E775" s="13" t="s">
        <v>9169</v>
      </c>
      <c r="F775" s="13" t="s">
        <v>9170</v>
      </c>
      <c r="G775" s="14" t="s">
        <v>9171</v>
      </c>
    </row>
    <row r="776">
      <c r="A776" s="13" t="s">
        <v>2923</v>
      </c>
      <c r="B776" s="13" t="s">
        <v>9172</v>
      </c>
      <c r="C776" s="13" t="s">
        <v>9173</v>
      </c>
      <c r="D776" s="13" t="s">
        <v>9174</v>
      </c>
      <c r="E776" s="13" t="s">
        <v>9175</v>
      </c>
      <c r="F776" s="13" t="s">
        <v>9176</v>
      </c>
      <c r="G776" s="14" t="s">
        <v>9177</v>
      </c>
    </row>
    <row r="777">
      <c r="A777" s="13" t="s">
        <v>2926</v>
      </c>
      <c r="B777" s="13" t="s">
        <v>9178</v>
      </c>
      <c r="C777" s="13" t="s">
        <v>9179</v>
      </c>
      <c r="D777" s="13" t="s">
        <v>9180</v>
      </c>
      <c r="E777" s="13" t="s">
        <v>9181</v>
      </c>
      <c r="F777" s="13" t="s">
        <v>9182</v>
      </c>
      <c r="G777" s="14" t="s">
        <v>9183</v>
      </c>
    </row>
    <row r="778">
      <c r="A778" s="13" t="s">
        <v>2930</v>
      </c>
      <c r="B778" s="13" t="s">
        <v>9184</v>
      </c>
      <c r="C778" s="13" t="s">
        <v>9185</v>
      </c>
      <c r="D778" s="13" t="s">
        <v>9186</v>
      </c>
      <c r="E778" s="13" t="s">
        <v>9187</v>
      </c>
      <c r="F778" s="13" t="s">
        <v>9188</v>
      </c>
      <c r="G778" s="14" t="s">
        <v>9189</v>
      </c>
    </row>
    <row r="779">
      <c r="A779" s="13" t="s">
        <v>2935</v>
      </c>
      <c r="B779" s="13" t="s">
        <v>9190</v>
      </c>
      <c r="C779" s="13" t="s">
        <v>9191</v>
      </c>
      <c r="D779" s="13" t="s">
        <v>9192</v>
      </c>
      <c r="E779" s="13" t="s">
        <v>9193</v>
      </c>
      <c r="F779" s="13" t="s">
        <v>9194</v>
      </c>
      <c r="G779" s="14" t="s">
        <v>9195</v>
      </c>
    </row>
    <row r="780">
      <c r="A780" s="13" t="s">
        <v>2940</v>
      </c>
      <c r="B780" s="13" t="s">
        <v>9196</v>
      </c>
      <c r="C780" s="13" t="s">
        <v>9197</v>
      </c>
      <c r="D780" s="13" t="s">
        <v>9198</v>
      </c>
      <c r="E780" s="13" t="s">
        <v>9199</v>
      </c>
      <c r="F780" s="13" t="s">
        <v>9200</v>
      </c>
      <c r="G780" s="14" t="s">
        <v>9201</v>
      </c>
    </row>
    <row r="781">
      <c r="A781" s="13" t="s">
        <v>2944</v>
      </c>
      <c r="B781" s="13" t="s">
        <v>9202</v>
      </c>
      <c r="C781" s="13" t="s">
        <v>9203</v>
      </c>
      <c r="D781" s="13" t="s">
        <v>9204</v>
      </c>
      <c r="E781" s="13" t="s">
        <v>9205</v>
      </c>
      <c r="F781" s="13" t="s">
        <v>9206</v>
      </c>
      <c r="G781" s="14" t="s">
        <v>9207</v>
      </c>
    </row>
    <row r="782">
      <c r="A782" s="13" t="s">
        <v>2948</v>
      </c>
      <c r="B782" s="13" t="s">
        <v>9208</v>
      </c>
      <c r="C782" s="13" t="s">
        <v>9209</v>
      </c>
      <c r="D782" s="13" t="s">
        <v>9210</v>
      </c>
      <c r="E782" s="13" t="s">
        <v>9211</v>
      </c>
      <c r="F782" s="13" t="s">
        <v>9212</v>
      </c>
      <c r="G782" s="14" t="s">
        <v>9213</v>
      </c>
    </row>
    <row r="783">
      <c r="A783" s="13" t="s">
        <v>2952</v>
      </c>
      <c r="B783" s="13" t="s">
        <v>9214</v>
      </c>
      <c r="C783" s="13" t="s">
        <v>9215</v>
      </c>
      <c r="D783" s="13" t="s">
        <v>9216</v>
      </c>
      <c r="E783" s="13" t="s">
        <v>9217</v>
      </c>
      <c r="F783" s="13" t="s">
        <v>9218</v>
      </c>
      <c r="G783" s="14" t="s">
        <v>9219</v>
      </c>
    </row>
    <row r="784">
      <c r="A784" s="13" t="s">
        <v>2956</v>
      </c>
      <c r="B784" s="13" t="s">
        <v>9220</v>
      </c>
      <c r="C784" s="13" t="s">
        <v>9221</v>
      </c>
      <c r="D784" s="13" t="s">
        <v>9222</v>
      </c>
      <c r="E784" s="13" t="s">
        <v>9223</v>
      </c>
      <c r="F784" s="13" t="s">
        <v>9224</v>
      </c>
      <c r="G784" s="14" t="s">
        <v>9225</v>
      </c>
    </row>
    <row r="785">
      <c r="A785" s="13" t="s">
        <v>2960</v>
      </c>
      <c r="B785" s="13" t="s">
        <v>9226</v>
      </c>
      <c r="C785" s="13" t="s">
        <v>9227</v>
      </c>
      <c r="D785" s="13" t="s">
        <v>9228</v>
      </c>
      <c r="E785" s="13" t="s">
        <v>9229</v>
      </c>
      <c r="F785" s="13" t="s">
        <v>9230</v>
      </c>
      <c r="G785" s="14" t="s">
        <v>9231</v>
      </c>
    </row>
    <row r="786">
      <c r="A786" s="13" t="s">
        <v>134</v>
      </c>
      <c r="B786" s="13" t="s">
        <v>5836</v>
      </c>
      <c r="C786" s="13" t="s">
        <v>5837</v>
      </c>
      <c r="D786" s="13" t="s">
        <v>5838</v>
      </c>
      <c r="E786" s="13" t="s">
        <v>5839</v>
      </c>
      <c r="F786" s="13" t="s">
        <v>5840</v>
      </c>
      <c r="G786" s="14" t="s">
        <v>9232</v>
      </c>
    </row>
    <row r="787">
      <c r="A787" s="13" t="s">
        <v>2965</v>
      </c>
      <c r="B787" s="13" t="s">
        <v>9233</v>
      </c>
      <c r="C787" s="13" t="s">
        <v>9234</v>
      </c>
      <c r="D787" s="13" t="s">
        <v>9235</v>
      </c>
      <c r="E787" s="13" t="s">
        <v>9236</v>
      </c>
      <c r="F787" s="13" t="s">
        <v>9237</v>
      </c>
      <c r="G787" s="14" t="s">
        <v>9238</v>
      </c>
    </row>
    <row r="788">
      <c r="A788" s="13" t="s">
        <v>2969</v>
      </c>
      <c r="B788" s="13" t="s">
        <v>9239</v>
      </c>
      <c r="C788" s="13" t="s">
        <v>9240</v>
      </c>
      <c r="D788" s="13" t="s">
        <v>9241</v>
      </c>
      <c r="E788" s="13" t="s">
        <v>9242</v>
      </c>
      <c r="F788" s="13" t="s">
        <v>9243</v>
      </c>
      <c r="G788" s="14" t="s">
        <v>9244</v>
      </c>
    </row>
    <row r="789">
      <c r="A789" s="13" t="s">
        <v>2973</v>
      </c>
      <c r="B789" s="13" t="s">
        <v>9245</v>
      </c>
      <c r="C789" s="13" t="s">
        <v>9246</v>
      </c>
      <c r="D789" s="13" t="s">
        <v>9247</v>
      </c>
      <c r="E789" s="13" t="s">
        <v>9248</v>
      </c>
      <c r="F789" s="13" t="s">
        <v>9249</v>
      </c>
      <c r="G789" s="14" t="s">
        <v>9250</v>
      </c>
    </row>
    <row r="790">
      <c r="A790" s="13" t="s">
        <v>2978</v>
      </c>
      <c r="B790" s="13" t="s">
        <v>9251</v>
      </c>
      <c r="C790" s="13" t="s">
        <v>9252</v>
      </c>
      <c r="D790" s="13" t="s">
        <v>9253</v>
      </c>
      <c r="E790" s="13" t="s">
        <v>9254</v>
      </c>
      <c r="F790" s="13" t="s">
        <v>9255</v>
      </c>
      <c r="G790" s="14" t="s">
        <v>9256</v>
      </c>
    </row>
    <row r="791">
      <c r="A791" s="13" t="s">
        <v>2983</v>
      </c>
      <c r="B791" s="13" t="s">
        <v>9257</v>
      </c>
      <c r="C791" s="13" t="s">
        <v>9258</v>
      </c>
      <c r="D791" s="13" t="s">
        <v>9259</v>
      </c>
      <c r="E791" s="13" t="s">
        <v>9260</v>
      </c>
      <c r="F791" s="13" t="s">
        <v>9261</v>
      </c>
      <c r="G791" s="14" t="s">
        <v>9262</v>
      </c>
    </row>
    <row r="792">
      <c r="A792" s="13" t="s">
        <v>2988</v>
      </c>
      <c r="B792" s="13" t="s">
        <v>9263</v>
      </c>
      <c r="C792" s="13" t="s">
        <v>9264</v>
      </c>
      <c r="D792" s="13" t="s">
        <v>9265</v>
      </c>
      <c r="E792" s="13" t="s">
        <v>9266</v>
      </c>
      <c r="F792" s="13" t="s">
        <v>9267</v>
      </c>
      <c r="G792" s="14" t="s">
        <v>9268</v>
      </c>
    </row>
    <row r="793">
      <c r="A793" s="13" t="s">
        <v>2992</v>
      </c>
      <c r="B793" s="13" t="s">
        <v>9269</v>
      </c>
      <c r="C793" s="13" t="s">
        <v>9270</v>
      </c>
      <c r="D793" s="13" t="s">
        <v>9271</v>
      </c>
      <c r="E793" s="13" t="s">
        <v>9272</v>
      </c>
      <c r="F793" s="13" t="s">
        <v>9273</v>
      </c>
      <c r="G793" s="14" t="s">
        <v>9274</v>
      </c>
    </row>
    <row r="794">
      <c r="A794" s="13" t="s">
        <v>2996</v>
      </c>
      <c r="B794" s="13" t="s">
        <v>9275</v>
      </c>
      <c r="C794" s="13" t="s">
        <v>9276</v>
      </c>
      <c r="D794" s="13" t="s">
        <v>9277</v>
      </c>
      <c r="E794" s="13" t="s">
        <v>9278</v>
      </c>
      <c r="F794" s="13" t="s">
        <v>9279</v>
      </c>
      <c r="G794" s="14" t="s">
        <v>9280</v>
      </c>
    </row>
    <row r="795">
      <c r="A795" s="13" t="s">
        <v>3000</v>
      </c>
      <c r="B795" s="13" t="s">
        <v>9281</v>
      </c>
      <c r="C795" s="13" t="s">
        <v>9282</v>
      </c>
      <c r="D795" s="13" t="s">
        <v>9283</v>
      </c>
      <c r="E795" s="13" t="s">
        <v>9284</v>
      </c>
      <c r="F795" s="13" t="s">
        <v>9285</v>
      </c>
      <c r="G795" s="14" t="s">
        <v>9286</v>
      </c>
    </row>
    <row r="796">
      <c r="A796" s="13" t="s">
        <v>3004</v>
      </c>
      <c r="B796" s="13" t="s">
        <v>9287</v>
      </c>
      <c r="C796" s="13" t="s">
        <v>9288</v>
      </c>
      <c r="D796" s="13" t="s">
        <v>9289</v>
      </c>
      <c r="E796" s="13" t="s">
        <v>9290</v>
      </c>
      <c r="F796" s="13" t="s">
        <v>9291</v>
      </c>
      <c r="G796" s="14" t="s">
        <v>9292</v>
      </c>
    </row>
    <row r="797">
      <c r="A797" s="13" t="s">
        <v>3009</v>
      </c>
      <c r="B797" s="13" t="s">
        <v>9293</v>
      </c>
      <c r="C797" s="13" t="s">
        <v>9294</v>
      </c>
      <c r="D797" s="13" t="s">
        <v>9295</v>
      </c>
      <c r="E797" s="13" t="s">
        <v>9296</v>
      </c>
      <c r="F797" s="13" t="s">
        <v>9297</v>
      </c>
      <c r="G797" s="14" t="s">
        <v>9298</v>
      </c>
    </row>
    <row r="798">
      <c r="A798" s="13" t="s">
        <v>3013</v>
      </c>
      <c r="B798" s="13" t="s">
        <v>9299</v>
      </c>
      <c r="C798" s="13" t="s">
        <v>9300</v>
      </c>
      <c r="D798" s="13" t="s">
        <v>9301</v>
      </c>
      <c r="E798" s="13" t="s">
        <v>9302</v>
      </c>
      <c r="F798" s="13" t="s">
        <v>9303</v>
      </c>
      <c r="G798" s="14" t="s">
        <v>9072</v>
      </c>
    </row>
    <row r="799">
      <c r="A799" s="13" t="s">
        <v>3017</v>
      </c>
      <c r="B799" s="13" t="s">
        <v>9304</v>
      </c>
      <c r="C799" s="13" t="s">
        <v>9305</v>
      </c>
      <c r="D799" s="13" t="s">
        <v>9306</v>
      </c>
      <c r="E799" s="13" t="s">
        <v>9307</v>
      </c>
      <c r="F799" s="13" t="s">
        <v>9308</v>
      </c>
      <c r="G799" s="14" t="s">
        <v>9309</v>
      </c>
    </row>
    <row r="800">
      <c r="A800" s="13" t="s">
        <v>3022</v>
      </c>
      <c r="B800" s="13" t="s">
        <v>9310</v>
      </c>
      <c r="C800" s="13" t="s">
        <v>9311</v>
      </c>
      <c r="D800" s="13" t="s">
        <v>9312</v>
      </c>
      <c r="E800" s="13" t="s">
        <v>9313</v>
      </c>
      <c r="F800" s="13" t="s">
        <v>9314</v>
      </c>
      <c r="G800" s="14" t="s">
        <v>9315</v>
      </c>
    </row>
    <row r="801">
      <c r="A801" s="13" t="s">
        <v>3026</v>
      </c>
      <c r="B801" s="13" t="s">
        <v>9316</v>
      </c>
      <c r="C801" s="13" t="s">
        <v>9317</v>
      </c>
      <c r="D801" s="13" t="s">
        <v>9318</v>
      </c>
      <c r="E801" s="13" t="s">
        <v>9319</v>
      </c>
      <c r="F801" s="13" t="s">
        <v>9320</v>
      </c>
      <c r="G801" s="14" t="s">
        <v>9321</v>
      </c>
    </row>
    <row r="802">
      <c r="A802" s="13" t="s">
        <v>3030</v>
      </c>
      <c r="B802" s="13" t="s">
        <v>9322</v>
      </c>
      <c r="C802" s="13" t="s">
        <v>9323</v>
      </c>
      <c r="D802" s="13" t="s">
        <v>9324</v>
      </c>
      <c r="E802" s="13" t="s">
        <v>9325</v>
      </c>
      <c r="F802" s="13" t="s">
        <v>9326</v>
      </c>
      <c r="G802" s="14" t="s">
        <v>9327</v>
      </c>
    </row>
    <row r="803">
      <c r="A803" s="13" t="s">
        <v>3034</v>
      </c>
      <c r="B803" s="13" t="s">
        <v>9328</v>
      </c>
      <c r="C803" s="13" t="s">
        <v>9329</v>
      </c>
      <c r="D803" s="13" t="s">
        <v>9330</v>
      </c>
      <c r="E803" s="13" t="s">
        <v>9331</v>
      </c>
      <c r="F803" s="13" t="s">
        <v>9332</v>
      </c>
      <c r="G803" s="14" t="s">
        <v>9333</v>
      </c>
    </row>
    <row r="804">
      <c r="A804" s="13" t="s">
        <v>142</v>
      </c>
      <c r="B804" s="13" t="s">
        <v>5848</v>
      </c>
      <c r="C804" s="13" t="s">
        <v>5849</v>
      </c>
      <c r="D804" s="13" t="s">
        <v>5850</v>
      </c>
      <c r="E804" s="13" t="s">
        <v>5851</v>
      </c>
      <c r="F804" s="13" t="s">
        <v>5852</v>
      </c>
      <c r="G804" s="14" t="s">
        <v>9334</v>
      </c>
    </row>
    <row r="805">
      <c r="A805" s="13" t="s">
        <v>3040</v>
      </c>
      <c r="B805" s="13" t="s">
        <v>9335</v>
      </c>
      <c r="C805" s="13" t="s">
        <v>9336</v>
      </c>
      <c r="D805" s="13" t="s">
        <v>9337</v>
      </c>
      <c r="E805" s="13" t="s">
        <v>9338</v>
      </c>
      <c r="F805" s="13" t="s">
        <v>9339</v>
      </c>
      <c r="G805" s="14" t="s">
        <v>9340</v>
      </c>
    </row>
    <row r="806">
      <c r="A806" s="13" t="s">
        <v>3045</v>
      </c>
      <c r="B806" s="13" t="s">
        <v>9341</v>
      </c>
      <c r="C806" s="13" t="s">
        <v>9342</v>
      </c>
      <c r="D806" s="13" t="s">
        <v>9343</v>
      </c>
      <c r="E806" s="13" t="s">
        <v>9344</v>
      </c>
      <c r="F806" s="13" t="s">
        <v>9345</v>
      </c>
      <c r="G806" s="14" t="s">
        <v>9346</v>
      </c>
    </row>
    <row r="807">
      <c r="A807" s="13" t="s">
        <v>3049</v>
      </c>
      <c r="B807" s="13" t="s">
        <v>9347</v>
      </c>
      <c r="C807" s="13" t="s">
        <v>9348</v>
      </c>
      <c r="D807" s="13" t="s">
        <v>9349</v>
      </c>
      <c r="E807" s="13" t="s">
        <v>9350</v>
      </c>
      <c r="F807" s="13" t="s">
        <v>9351</v>
      </c>
      <c r="G807" s="14" t="s">
        <v>9352</v>
      </c>
    </row>
    <row r="808">
      <c r="A808" s="13" t="s">
        <v>3054</v>
      </c>
      <c r="B808" s="13" t="s">
        <v>9353</v>
      </c>
      <c r="C808" s="13" t="s">
        <v>9354</v>
      </c>
      <c r="D808" s="13" t="s">
        <v>9355</v>
      </c>
      <c r="E808" s="13" t="s">
        <v>9356</v>
      </c>
      <c r="F808" s="13" t="s">
        <v>9357</v>
      </c>
      <c r="G808" s="14" t="s">
        <v>9358</v>
      </c>
    </row>
    <row r="809">
      <c r="A809" s="13" t="s">
        <v>3058</v>
      </c>
      <c r="B809" s="13" t="s">
        <v>9359</v>
      </c>
      <c r="C809" s="13" t="s">
        <v>9360</v>
      </c>
      <c r="D809" s="13" t="s">
        <v>9361</v>
      </c>
      <c r="E809" s="13" t="s">
        <v>9362</v>
      </c>
      <c r="F809" s="13" t="s">
        <v>9363</v>
      </c>
      <c r="G809" s="14" t="s">
        <v>9364</v>
      </c>
    </row>
    <row r="810">
      <c r="A810" s="13" t="s">
        <v>3062</v>
      </c>
      <c r="B810" s="13" t="s">
        <v>9365</v>
      </c>
      <c r="C810" s="13" t="s">
        <v>9366</v>
      </c>
      <c r="D810" s="13" t="s">
        <v>9367</v>
      </c>
      <c r="E810" s="13" t="s">
        <v>9368</v>
      </c>
      <c r="F810" s="13" t="s">
        <v>9369</v>
      </c>
      <c r="G810" s="14" t="s">
        <v>9370</v>
      </c>
    </row>
    <row r="811">
      <c r="A811" s="13" t="s">
        <v>3067</v>
      </c>
      <c r="B811" s="13" t="s">
        <v>9371</v>
      </c>
      <c r="C811" s="13" t="s">
        <v>9372</v>
      </c>
      <c r="D811" s="13" t="s">
        <v>9373</v>
      </c>
      <c r="E811" s="13" t="s">
        <v>9374</v>
      </c>
      <c r="F811" s="13" t="s">
        <v>9375</v>
      </c>
      <c r="G811" s="14" t="s">
        <v>9376</v>
      </c>
    </row>
    <row r="812">
      <c r="A812" s="13" t="s">
        <v>3071</v>
      </c>
      <c r="B812" s="13" t="s">
        <v>9377</v>
      </c>
      <c r="C812" s="13" t="s">
        <v>9378</v>
      </c>
      <c r="D812" s="13" t="s">
        <v>9379</v>
      </c>
      <c r="E812" s="13" t="s">
        <v>9380</v>
      </c>
      <c r="F812" s="13" t="s">
        <v>9381</v>
      </c>
      <c r="G812" s="14" t="s">
        <v>9382</v>
      </c>
    </row>
    <row r="813">
      <c r="A813" s="13" t="s">
        <v>3076</v>
      </c>
      <c r="B813" s="13" t="s">
        <v>9383</v>
      </c>
      <c r="C813" s="13" t="s">
        <v>9384</v>
      </c>
      <c r="D813" s="13" t="s">
        <v>9385</v>
      </c>
      <c r="E813" s="13" t="s">
        <v>9386</v>
      </c>
      <c r="F813" s="13" t="s">
        <v>9387</v>
      </c>
      <c r="G813" s="14" t="s">
        <v>9388</v>
      </c>
    </row>
    <row r="814">
      <c r="A814" s="13" t="s">
        <v>3080</v>
      </c>
      <c r="B814" s="13" t="s">
        <v>9389</v>
      </c>
      <c r="C814" s="13" t="s">
        <v>9390</v>
      </c>
      <c r="D814" s="13" t="s">
        <v>9391</v>
      </c>
      <c r="E814" s="13" t="s">
        <v>9392</v>
      </c>
      <c r="F814" s="13" t="s">
        <v>9393</v>
      </c>
      <c r="G814" s="14" t="s">
        <v>9394</v>
      </c>
    </row>
    <row r="815">
      <c r="A815" s="13" t="s">
        <v>3084</v>
      </c>
      <c r="B815" s="13" t="s">
        <v>9395</v>
      </c>
      <c r="C815" s="13" t="s">
        <v>9396</v>
      </c>
      <c r="D815" s="13" t="s">
        <v>9397</v>
      </c>
      <c r="E815" s="13" t="s">
        <v>9398</v>
      </c>
      <c r="F815" s="13" t="s">
        <v>9399</v>
      </c>
      <c r="G815" s="14" t="s">
        <v>9400</v>
      </c>
    </row>
    <row r="816">
      <c r="A816" s="13" t="s">
        <v>3088</v>
      </c>
      <c r="B816" s="13" t="s">
        <v>9401</v>
      </c>
      <c r="C816" s="13" t="s">
        <v>9402</v>
      </c>
      <c r="D816" s="13" t="s">
        <v>9403</v>
      </c>
      <c r="E816" s="13" t="s">
        <v>9404</v>
      </c>
      <c r="F816" s="13" t="s">
        <v>9405</v>
      </c>
      <c r="G816" s="14" t="s">
        <v>9406</v>
      </c>
    </row>
    <row r="817">
      <c r="A817" s="13" t="s">
        <v>3092</v>
      </c>
      <c r="B817" s="13" t="s">
        <v>9407</v>
      </c>
      <c r="C817" s="13" t="s">
        <v>9408</v>
      </c>
      <c r="D817" s="13" t="s">
        <v>9409</v>
      </c>
      <c r="E817" s="13" t="s">
        <v>9410</v>
      </c>
      <c r="F817" s="13" t="s">
        <v>9411</v>
      </c>
      <c r="G817" s="14" t="s">
        <v>9412</v>
      </c>
    </row>
    <row r="818">
      <c r="A818" s="13" t="s">
        <v>3096</v>
      </c>
      <c r="B818" s="13" t="s">
        <v>9413</v>
      </c>
      <c r="C818" s="13" t="s">
        <v>9414</v>
      </c>
      <c r="D818" s="13" t="s">
        <v>9415</v>
      </c>
      <c r="E818" s="13" t="s">
        <v>9416</v>
      </c>
      <c r="F818" s="13" t="s">
        <v>9417</v>
      </c>
      <c r="G818" s="14" t="s">
        <v>9418</v>
      </c>
    </row>
    <row r="819">
      <c r="A819" s="13" t="s">
        <v>3101</v>
      </c>
      <c r="B819" s="13" t="s">
        <v>9419</v>
      </c>
      <c r="C819" s="13" t="s">
        <v>9420</v>
      </c>
      <c r="D819" s="13" t="s">
        <v>9421</v>
      </c>
      <c r="E819" s="13" t="s">
        <v>9422</v>
      </c>
      <c r="F819" s="13" t="s">
        <v>9423</v>
      </c>
      <c r="G819" s="14" t="s">
        <v>9424</v>
      </c>
    </row>
    <row r="820">
      <c r="A820" s="13" t="s">
        <v>146</v>
      </c>
      <c r="B820" s="13" t="s">
        <v>5854</v>
      </c>
      <c r="C820" s="13" t="s">
        <v>5855</v>
      </c>
      <c r="D820" s="13" t="s">
        <v>5856</v>
      </c>
      <c r="E820" s="13" t="s">
        <v>5857</v>
      </c>
      <c r="F820" s="13" t="s">
        <v>5858</v>
      </c>
      <c r="G820" s="14" t="s">
        <v>5859</v>
      </c>
    </row>
    <row r="821">
      <c r="A821" s="13" t="s">
        <v>3106</v>
      </c>
      <c r="B821" s="13" t="s">
        <v>9425</v>
      </c>
      <c r="C821" s="13" t="s">
        <v>9426</v>
      </c>
      <c r="D821" s="13" t="s">
        <v>9427</v>
      </c>
      <c r="E821" s="13" t="s">
        <v>9428</v>
      </c>
      <c r="F821" s="13" t="s">
        <v>9429</v>
      </c>
      <c r="G821" s="14" t="s">
        <v>9430</v>
      </c>
    </row>
    <row r="822">
      <c r="A822" s="13" t="s">
        <v>3110</v>
      </c>
      <c r="B822" s="13" t="s">
        <v>9431</v>
      </c>
      <c r="C822" s="13" t="s">
        <v>9432</v>
      </c>
      <c r="D822" s="13" t="s">
        <v>9433</v>
      </c>
      <c r="E822" s="13" t="s">
        <v>9434</v>
      </c>
      <c r="F822" s="13" t="s">
        <v>9435</v>
      </c>
      <c r="G822" s="14" t="s">
        <v>9436</v>
      </c>
    </row>
    <row r="823">
      <c r="A823" s="13" t="s">
        <v>3114</v>
      </c>
      <c r="B823" s="13" t="s">
        <v>9437</v>
      </c>
      <c r="C823" s="13" t="s">
        <v>9438</v>
      </c>
      <c r="D823" s="13" t="s">
        <v>9439</v>
      </c>
      <c r="E823" s="13" t="s">
        <v>9440</v>
      </c>
      <c r="F823" s="13" t="s">
        <v>9441</v>
      </c>
      <c r="G823" s="14" t="s">
        <v>9442</v>
      </c>
    </row>
    <row r="824">
      <c r="A824" s="13" t="s">
        <v>3118</v>
      </c>
      <c r="B824" s="13" t="s">
        <v>9443</v>
      </c>
      <c r="C824" s="13" t="s">
        <v>9444</v>
      </c>
      <c r="D824" s="13" t="s">
        <v>9445</v>
      </c>
      <c r="E824" s="13" t="s">
        <v>9446</v>
      </c>
      <c r="F824" s="13" t="s">
        <v>9447</v>
      </c>
      <c r="G824" s="14" t="s">
        <v>9448</v>
      </c>
    </row>
    <row r="825">
      <c r="A825" s="13" t="s">
        <v>150</v>
      </c>
      <c r="B825" s="13" t="s">
        <v>5860</v>
      </c>
      <c r="C825" s="13" t="s">
        <v>5861</v>
      </c>
      <c r="D825" s="13" t="s">
        <v>5862</v>
      </c>
      <c r="E825" s="13" t="s">
        <v>5863</v>
      </c>
      <c r="F825" s="13" t="s">
        <v>5864</v>
      </c>
      <c r="G825" s="14" t="s">
        <v>9449</v>
      </c>
    </row>
    <row r="826">
      <c r="A826" s="13" t="s">
        <v>3123</v>
      </c>
      <c r="B826" s="13" t="s">
        <v>9450</v>
      </c>
      <c r="C826" s="13" t="s">
        <v>9451</v>
      </c>
      <c r="D826" s="13" t="s">
        <v>9452</v>
      </c>
      <c r="E826" s="13" t="s">
        <v>9453</v>
      </c>
      <c r="F826" s="13" t="s">
        <v>9454</v>
      </c>
      <c r="G826" s="14" t="s">
        <v>9455</v>
      </c>
    </row>
    <row r="827">
      <c r="A827" s="13" t="s">
        <v>3127</v>
      </c>
      <c r="B827" s="13" t="s">
        <v>9456</v>
      </c>
      <c r="C827" s="13" t="s">
        <v>9457</v>
      </c>
      <c r="D827" s="13" t="s">
        <v>9458</v>
      </c>
      <c r="E827" s="13" t="s">
        <v>9459</v>
      </c>
      <c r="F827" s="13" t="s">
        <v>9460</v>
      </c>
      <c r="G827" s="14" t="s">
        <v>9461</v>
      </c>
    </row>
    <row r="828">
      <c r="A828" s="13" t="s">
        <v>3131</v>
      </c>
      <c r="B828" s="13" t="s">
        <v>9462</v>
      </c>
      <c r="C828" s="13" t="s">
        <v>9463</v>
      </c>
      <c r="D828" s="13" t="s">
        <v>9464</v>
      </c>
      <c r="E828" s="13" t="s">
        <v>9465</v>
      </c>
      <c r="F828" s="13" t="s">
        <v>9466</v>
      </c>
      <c r="G828" s="14" t="s">
        <v>9467</v>
      </c>
    </row>
    <row r="829">
      <c r="A829" s="13" t="s">
        <v>3135</v>
      </c>
      <c r="B829" s="13" t="s">
        <v>9468</v>
      </c>
      <c r="C829" s="13" t="s">
        <v>9469</v>
      </c>
      <c r="D829" s="13" t="s">
        <v>9470</v>
      </c>
      <c r="E829" s="13" t="s">
        <v>9471</v>
      </c>
      <c r="F829" s="13" t="s">
        <v>9472</v>
      </c>
      <c r="G829" s="14" t="s">
        <v>9473</v>
      </c>
    </row>
    <row r="830">
      <c r="A830" s="13" t="s">
        <v>3139</v>
      </c>
      <c r="B830" s="13" t="s">
        <v>9474</v>
      </c>
      <c r="C830" s="13" t="s">
        <v>9475</v>
      </c>
      <c r="D830" s="13" t="s">
        <v>9476</v>
      </c>
      <c r="E830" s="13" t="s">
        <v>9477</v>
      </c>
      <c r="F830" s="13" t="s">
        <v>9478</v>
      </c>
      <c r="G830" s="14" t="s">
        <v>9479</v>
      </c>
    </row>
    <row r="831">
      <c r="A831" s="13" t="s">
        <v>3144</v>
      </c>
      <c r="B831" s="13" t="s">
        <v>9480</v>
      </c>
      <c r="C831" s="13" t="s">
        <v>9481</v>
      </c>
      <c r="D831" s="13" t="s">
        <v>9482</v>
      </c>
      <c r="E831" s="13" t="s">
        <v>9483</v>
      </c>
      <c r="F831" s="13" t="s">
        <v>9484</v>
      </c>
      <c r="G831" s="14" t="s">
        <v>9485</v>
      </c>
    </row>
    <row r="832">
      <c r="A832" s="13" t="s">
        <v>3149</v>
      </c>
      <c r="B832" s="13" t="s">
        <v>9486</v>
      </c>
      <c r="C832" s="13" t="s">
        <v>9487</v>
      </c>
      <c r="D832" s="13" t="s">
        <v>9488</v>
      </c>
      <c r="E832" s="13" t="s">
        <v>9489</v>
      </c>
      <c r="F832" s="13" t="s">
        <v>9490</v>
      </c>
      <c r="G832" s="14" t="s">
        <v>9491</v>
      </c>
    </row>
    <row r="833">
      <c r="A833" s="13" t="s">
        <v>3153</v>
      </c>
      <c r="B833" s="13" t="s">
        <v>9492</v>
      </c>
      <c r="C833" s="13" t="s">
        <v>9493</v>
      </c>
      <c r="D833" s="13" t="s">
        <v>9494</v>
      </c>
      <c r="E833" s="13" t="s">
        <v>9495</v>
      </c>
      <c r="F833" s="13" t="s">
        <v>9496</v>
      </c>
      <c r="G833" s="14" t="s">
        <v>9497</v>
      </c>
    </row>
    <row r="834">
      <c r="A834" s="13" t="s">
        <v>3157</v>
      </c>
      <c r="B834" s="13" t="s">
        <v>9498</v>
      </c>
      <c r="C834" s="13" t="s">
        <v>9499</v>
      </c>
      <c r="D834" s="13" t="s">
        <v>9500</v>
      </c>
      <c r="E834" s="13" t="s">
        <v>9501</v>
      </c>
      <c r="F834" s="13" t="s">
        <v>9502</v>
      </c>
      <c r="G834" s="14" t="s">
        <v>9503</v>
      </c>
    </row>
    <row r="835">
      <c r="A835" s="13" t="s">
        <v>154</v>
      </c>
      <c r="B835" s="13" t="s">
        <v>5866</v>
      </c>
      <c r="C835" s="13" t="s">
        <v>5867</v>
      </c>
      <c r="D835" s="13" t="s">
        <v>5868</v>
      </c>
      <c r="E835" s="13" t="s">
        <v>5869</v>
      </c>
      <c r="F835" s="13" t="s">
        <v>9504</v>
      </c>
      <c r="G835" s="14" t="s">
        <v>9505</v>
      </c>
    </row>
    <row r="836">
      <c r="A836" s="13" t="s">
        <v>3162</v>
      </c>
      <c r="B836" s="13" t="s">
        <v>9506</v>
      </c>
      <c r="C836" s="13" t="s">
        <v>9507</v>
      </c>
      <c r="D836" s="13" t="s">
        <v>9508</v>
      </c>
      <c r="E836" s="13" t="s">
        <v>9509</v>
      </c>
      <c r="F836" s="13" t="s">
        <v>9510</v>
      </c>
      <c r="G836" s="14" t="s">
        <v>9511</v>
      </c>
    </row>
    <row r="837">
      <c r="A837" s="13" t="s">
        <v>3166</v>
      </c>
      <c r="B837" s="13" t="s">
        <v>9512</v>
      </c>
      <c r="C837" s="13" t="s">
        <v>9513</v>
      </c>
      <c r="D837" s="13" t="s">
        <v>9514</v>
      </c>
      <c r="E837" s="13" t="s">
        <v>9515</v>
      </c>
      <c r="F837" s="13" t="s">
        <v>9516</v>
      </c>
      <c r="G837" s="14" t="s">
        <v>9517</v>
      </c>
    </row>
    <row r="838">
      <c r="A838" s="13" t="s">
        <v>158</v>
      </c>
      <c r="B838" s="13" t="s">
        <v>5872</v>
      </c>
      <c r="C838" s="13" t="s">
        <v>5873</v>
      </c>
      <c r="D838" s="13" t="s">
        <v>5874</v>
      </c>
      <c r="E838" s="13" t="s">
        <v>5875</v>
      </c>
      <c r="F838" s="13" t="s">
        <v>5876</v>
      </c>
      <c r="G838" s="14" t="s">
        <v>5877</v>
      </c>
    </row>
    <row r="839">
      <c r="A839" s="13" t="s">
        <v>3171</v>
      </c>
      <c r="B839" s="13" t="s">
        <v>9518</v>
      </c>
      <c r="C839" s="13" t="s">
        <v>9519</v>
      </c>
      <c r="D839" s="13" t="s">
        <v>9520</v>
      </c>
      <c r="E839" s="13" t="s">
        <v>9521</v>
      </c>
      <c r="F839" s="13" t="s">
        <v>9522</v>
      </c>
      <c r="G839" s="14" t="s">
        <v>9523</v>
      </c>
    </row>
    <row r="840">
      <c r="A840" s="13" t="s">
        <v>3175</v>
      </c>
      <c r="B840" s="13" t="s">
        <v>9524</v>
      </c>
      <c r="C840" s="13" t="s">
        <v>9525</v>
      </c>
      <c r="D840" s="13" t="s">
        <v>9526</v>
      </c>
      <c r="E840" s="13" t="s">
        <v>9527</v>
      </c>
      <c r="F840" s="13" t="s">
        <v>9528</v>
      </c>
      <c r="G840" s="14" t="s">
        <v>9529</v>
      </c>
    </row>
    <row r="841">
      <c r="A841" s="13" t="s">
        <v>166</v>
      </c>
      <c r="B841" s="13" t="s">
        <v>5880</v>
      </c>
      <c r="C841" s="13" t="s">
        <v>5881</v>
      </c>
      <c r="D841" s="13" t="s">
        <v>5882</v>
      </c>
      <c r="E841" s="13" t="s">
        <v>5883</v>
      </c>
      <c r="F841" s="13" t="s">
        <v>5884</v>
      </c>
      <c r="G841" s="14" t="s">
        <v>9530</v>
      </c>
    </row>
    <row r="842">
      <c r="A842" s="13" t="s">
        <v>170</v>
      </c>
      <c r="B842" s="13" t="s">
        <v>5886</v>
      </c>
      <c r="C842" s="13" t="s">
        <v>5887</v>
      </c>
      <c r="D842" s="13" t="s">
        <v>5888</v>
      </c>
      <c r="E842" s="13" t="s">
        <v>5889</v>
      </c>
      <c r="F842" s="13" t="s">
        <v>5890</v>
      </c>
      <c r="G842" s="14" t="s">
        <v>9531</v>
      </c>
    </row>
    <row r="843">
      <c r="A843" s="13" t="s">
        <v>3181</v>
      </c>
      <c r="B843" s="13" t="s">
        <v>9532</v>
      </c>
      <c r="C843" s="13" t="s">
        <v>9533</v>
      </c>
      <c r="D843" s="13" t="s">
        <v>9534</v>
      </c>
      <c r="E843" s="13" t="s">
        <v>9535</v>
      </c>
      <c r="F843" s="13" t="s">
        <v>9536</v>
      </c>
      <c r="G843" s="14" t="s">
        <v>9537</v>
      </c>
    </row>
    <row r="844">
      <c r="A844" s="13" t="s">
        <v>3185</v>
      </c>
      <c r="B844" s="13" t="s">
        <v>9538</v>
      </c>
      <c r="C844" s="13" t="s">
        <v>9539</v>
      </c>
      <c r="D844" s="13" t="s">
        <v>9540</v>
      </c>
      <c r="E844" s="13" t="s">
        <v>9541</v>
      </c>
      <c r="F844" s="13" t="s">
        <v>9542</v>
      </c>
      <c r="G844" s="14" t="s">
        <v>9543</v>
      </c>
    </row>
    <row r="845">
      <c r="A845" s="13" t="s">
        <v>3189</v>
      </c>
      <c r="B845" s="13" t="s">
        <v>9544</v>
      </c>
      <c r="C845" s="13" t="s">
        <v>9545</v>
      </c>
      <c r="D845" s="13" t="s">
        <v>9546</v>
      </c>
      <c r="E845" s="13" t="s">
        <v>9547</v>
      </c>
      <c r="F845" s="13" t="s">
        <v>9548</v>
      </c>
      <c r="G845" s="14" t="s">
        <v>9549</v>
      </c>
    </row>
    <row r="846">
      <c r="A846" s="13" t="s">
        <v>3193</v>
      </c>
      <c r="B846" s="13" t="s">
        <v>9550</v>
      </c>
      <c r="C846" s="13" t="s">
        <v>9551</v>
      </c>
      <c r="D846" s="13" t="s">
        <v>9552</v>
      </c>
      <c r="E846" s="13" t="s">
        <v>9553</v>
      </c>
      <c r="F846" s="13" t="s">
        <v>9554</v>
      </c>
      <c r="G846" s="14" t="s">
        <v>9555</v>
      </c>
    </row>
    <row r="847">
      <c r="A847" s="13" t="s">
        <v>3198</v>
      </c>
      <c r="B847" s="13" t="s">
        <v>9556</v>
      </c>
      <c r="C847" s="13" t="s">
        <v>9557</v>
      </c>
      <c r="D847" s="13" t="s">
        <v>9558</v>
      </c>
      <c r="E847" s="13" t="s">
        <v>9559</v>
      </c>
      <c r="F847" s="13" t="s">
        <v>9560</v>
      </c>
      <c r="G847" s="14" t="s">
        <v>9561</v>
      </c>
    </row>
    <row r="848">
      <c r="A848" s="13" t="s">
        <v>3202</v>
      </c>
      <c r="B848" s="13" t="s">
        <v>9562</v>
      </c>
      <c r="C848" s="13" t="s">
        <v>9563</v>
      </c>
      <c r="D848" s="13" t="s">
        <v>9564</v>
      </c>
      <c r="E848" s="13" t="s">
        <v>9565</v>
      </c>
      <c r="F848" s="13" t="s">
        <v>9566</v>
      </c>
      <c r="G848" s="14" t="s">
        <v>9567</v>
      </c>
    </row>
    <row r="849">
      <c r="A849" s="13" t="s">
        <v>3206</v>
      </c>
      <c r="B849" s="13" t="s">
        <v>9568</v>
      </c>
      <c r="C849" s="13" t="s">
        <v>9569</v>
      </c>
      <c r="D849" s="13" t="s">
        <v>9570</v>
      </c>
      <c r="E849" s="13" t="s">
        <v>9571</v>
      </c>
      <c r="F849" s="13" t="s">
        <v>9572</v>
      </c>
      <c r="G849" s="14" t="s">
        <v>9573</v>
      </c>
    </row>
    <row r="850">
      <c r="A850" s="13" t="s">
        <v>3211</v>
      </c>
      <c r="B850" s="13" t="s">
        <v>9574</v>
      </c>
      <c r="C850" s="13" t="s">
        <v>9575</v>
      </c>
      <c r="D850" s="13" t="s">
        <v>9576</v>
      </c>
      <c r="E850" s="13" t="s">
        <v>9577</v>
      </c>
      <c r="F850" s="13" t="s">
        <v>9578</v>
      </c>
      <c r="G850" s="14" t="s">
        <v>9579</v>
      </c>
    </row>
    <row r="851">
      <c r="A851" s="13" t="s">
        <v>3216</v>
      </c>
      <c r="B851" s="13" t="s">
        <v>9580</v>
      </c>
      <c r="C851" s="13" t="s">
        <v>9581</v>
      </c>
      <c r="D851" s="13" t="s">
        <v>9582</v>
      </c>
      <c r="E851" s="13" t="s">
        <v>9583</v>
      </c>
      <c r="F851" s="13" t="s">
        <v>9584</v>
      </c>
      <c r="G851" s="14" t="s">
        <v>9585</v>
      </c>
    </row>
    <row r="852">
      <c r="A852" s="13" t="s">
        <v>3220</v>
      </c>
      <c r="B852" s="13" t="s">
        <v>9586</v>
      </c>
      <c r="C852" s="13" t="s">
        <v>9587</v>
      </c>
      <c r="D852" s="13" t="s">
        <v>9588</v>
      </c>
      <c r="E852" s="13" t="s">
        <v>9589</v>
      </c>
      <c r="F852" s="13" t="s">
        <v>9590</v>
      </c>
      <c r="G852" s="14" t="s">
        <v>9591</v>
      </c>
    </row>
    <row r="853">
      <c r="A853" s="13" t="s">
        <v>178</v>
      </c>
      <c r="B853" s="13" t="s">
        <v>5898</v>
      </c>
      <c r="C853" s="13" t="s">
        <v>5899</v>
      </c>
      <c r="D853" s="13" t="s">
        <v>5900</v>
      </c>
      <c r="E853" s="13" t="s">
        <v>5901</v>
      </c>
      <c r="F853" s="13" t="s">
        <v>5902</v>
      </c>
      <c r="G853" s="14" t="s">
        <v>9592</v>
      </c>
    </row>
    <row r="854">
      <c r="A854" s="13" t="s">
        <v>182</v>
      </c>
      <c r="B854" s="13" t="s">
        <v>5904</v>
      </c>
      <c r="C854" s="13" t="s">
        <v>5905</v>
      </c>
      <c r="D854" s="13" t="s">
        <v>5906</v>
      </c>
      <c r="E854" s="13" t="s">
        <v>5907</v>
      </c>
      <c r="F854" s="13" t="s">
        <v>5908</v>
      </c>
      <c r="G854" s="14" t="s">
        <v>5909</v>
      </c>
    </row>
    <row r="855">
      <c r="A855" s="13" t="s">
        <v>3227</v>
      </c>
      <c r="B855" s="13" t="s">
        <v>9593</v>
      </c>
      <c r="C855" s="13" t="s">
        <v>9594</v>
      </c>
      <c r="D855" s="13" t="s">
        <v>9595</v>
      </c>
      <c r="E855" s="13" t="s">
        <v>9596</v>
      </c>
      <c r="F855" s="13" t="s">
        <v>9597</v>
      </c>
      <c r="G855" s="14" t="s">
        <v>9598</v>
      </c>
    </row>
    <row r="856">
      <c r="A856" s="13" t="s">
        <v>3231</v>
      </c>
      <c r="B856" s="13" t="s">
        <v>9599</v>
      </c>
      <c r="C856" s="13" t="s">
        <v>9600</v>
      </c>
      <c r="D856" s="13" t="s">
        <v>9601</v>
      </c>
      <c r="E856" s="13" t="s">
        <v>9602</v>
      </c>
      <c r="F856" s="13" t="s">
        <v>9603</v>
      </c>
      <c r="G856" s="14" t="s">
        <v>9604</v>
      </c>
    </row>
    <row r="857">
      <c r="A857" s="13" t="s">
        <v>3236</v>
      </c>
      <c r="B857" s="13" t="s">
        <v>9605</v>
      </c>
      <c r="C857" s="13" t="s">
        <v>9606</v>
      </c>
      <c r="D857" s="13" t="s">
        <v>9607</v>
      </c>
      <c r="E857" s="13" t="s">
        <v>9608</v>
      </c>
      <c r="F857" s="13" t="s">
        <v>9609</v>
      </c>
      <c r="G857" s="14" t="s">
        <v>9610</v>
      </c>
    </row>
    <row r="858">
      <c r="A858" s="13" t="s">
        <v>3240</v>
      </c>
      <c r="B858" s="13" t="s">
        <v>9611</v>
      </c>
      <c r="C858" s="13" t="s">
        <v>9612</v>
      </c>
      <c r="D858" s="13" t="s">
        <v>9613</v>
      </c>
      <c r="E858" s="13" t="s">
        <v>9614</v>
      </c>
      <c r="F858" s="13" t="s">
        <v>9615</v>
      </c>
      <c r="G858" s="14" t="s">
        <v>9616</v>
      </c>
    </row>
    <row r="859">
      <c r="A859" s="13" t="s">
        <v>202</v>
      </c>
      <c r="B859" s="13" t="s">
        <v>5924</v>
      </c>
      <c r="C859" s="13" t="s">
        <v>5925</v>
      </c>
      <c r="D859" s="13" t="s">
        <v>5926</v>
      </c>
      <c r="E859" s="13" t="s">
        <v>5927</v>
      </c>
      <c r="F859" s="13" t="s">
        <v>5928</v>
      </c>
      <c r="G859" s="14" t="s">
        <v>5929</v>
      </c>
    </row>
    <row r="860">
      <c r="A860" s="13" t="s">
        <v>3245</v>
      </c>
      <c r="B860" s="13" t="s">
        <v>9617</v>
      </c>
      <c r="C860" s="13" t="s">
        <v>9618</v>
      </c>
      <c r="D860" s="13" t="s">
        <v>9619</v>
      </c>
      <c r="E860" s="13" t="s">
        <v>9620</v>
      </c>
      <c r="F860" s="13" t="s">
        <v>9621</v>
      </c>
      <c r="G860" s="14" t="s">
        <v>9622</v>
      </c>
    </row>
    <row r="861">
      <c r="A861" s="13" t="s">
        <v>3249</v>
      </c>
      <c r="B861" s="13" t="s">
        <v>9623</v>
      </c>
      <c r="C861" s="13" t="s">
        <v>9624</v>
      </c>
      <c r="D861" s="13" t="s">
        <v>9625</v>
      </c>
      <c r="E861" s="13" t="s">
        <v>9626</v>
      </c>
      <c r="F861" s="13" t="s">
        <v>9627</v>
      </c>
      <c r="G861" s="14" t="s">
        <v>9628</v>
      </c>
    </row>
    <row r="862">
      <c r="A862" s="13" t="s">
        <v>3253</v>
      </c>
      <c r="B862" s="13" t="s">
        <v>9629</v>
      </c>
      <c r="C862" s="13" t="s">
        <v>9630</v>
      </c>
      <c r="D862" s="13" t="s">
        <v>9631</v>
      </c>
      <c r="E862" s="13" t="s">
        <v>9632</v>
      </c>
      <c r="F862" s="13" t="s">
        <v>9633</v>
      </c>
      <c r="G862" s="14" t="s">
        <v>9634</v>
      </c>
    </row>
    <row r="863">
      <c r="A863" s="13" t="s">
        <v>3257</v>
      </c>
      <c r="B863" s="13" t="s">
        <v>9635</v>
      </c>
      <c r="C863" s="13" t="s">
        <v>9636</v>
      </c>
      <c r="D863" s="13" t="s">
        <v>9637</v>
      </c>
      <c r="E863" s="13" t="s">
        <v>9638</v>
      </c>
      <c r="F863" s="13" t="s">
        <v>9639</v>
      </c>
      <c r="G863" s="14" t="s">
        <v>9640</v>
      </c>
    </row>
    <row r="864">
      <c r="A864" s="13" t="s">
        <v>3261</v>
      </c>
      <c r="B864" s="13" t="s">
        <v>9641</v>
      </c>
      <c r="C864" s="13" t="s">
        <v>9642</v>
      </c>
      <c r="D864" s="13" t="s">
        <v>9643</v>
      </c>
      <c r="E864" s="13" t="s">
        <v>9644</v>
      </c>
      <c r="F864" s="13" t="s">
        <v>9645</v>
      </c>
      <c r="G864" s="14" t="s">
        <v>9646</v>
      </c>
    </row>
    <row r="865">
      <c r="A865" s="13" t="s">
        <v>3265</v>
      </c>
      <c r="B865" s="13" t="s">
        <v>9647</v>
      </c>
      <c r="C865" s="13" t="s">
        <v>9648</v>
      </c>
      <c r="D865" s="13" t="s">
        <v>9649</v>
      </c>
      <c r="E865" s="13" t="s">
        <v>9650</v>
      </c>
      <c r="F865" s="13" t="s">
        <v>9651</v>
      </c>
      <c r="G865" s="14" t="s">
        <v>9652</v>
      </c>
    </row>
    <row r="866">
      <c r="A866" s="13" t="s">
        <v>3270</v>
      </c>
      <c r="B866" s="13" t="s">
        <v>9653</v>
      </c>
      <c r="C866" s="13" t="s">
        <v>9654</v>
      </c>
      <c r="D866" s="13" t="s">
        <v>9655</v>
      </c>
      <c r="E866" s="13" t="s">
        <v>9656</v>
      </c>
      <c r="F866" s="13" t="s">
        <v>9657</v>
      </c>
      <c r="G866" s="14" t="s">
        <v>9658</v>
      </c>
    </row>
    <row r="867">
      <c r="A867" s="13" t="s">
        <v>3274</v>
      </c>
      <c r="B867" s="13" t="s">
        <v>9659</v>
      </c>
      <c r="C867" s="13" t="s">
        <v>9660</v>
      </c>
      <c r="D867" s="13" t="s">
        <v>9661</v>
      </c>
      <c r="E867" s="13" t="s">
        <v>9662</v>
      </c>
      <c r="F867" s="13" t="s">
        <v>9663</v>
      </c>
      <c r="G867" s="14" t="s">
        <v>9664</v>
      </c>
    </row>
    <row r="868">
      <c r="A868" s="13" t="s">
        <v>3278</v>
      </c>
      <c r="B868" s="13" t="s">
        <v>9665</v>
      </c>
      <c r="C868" s="13" t="s">
        <v>9666</v>
      </c>
      <c r="D868" s="13" t="s">
        <v>9667</v>
      </c>
      <c r="E868" s="13" t="s">
        <v>9668</v>
      </c>
      <c r="F868" s="13" t="s">
        <v>9669</v>
      </c>
      <c r="G868" s="14" t="s">
        <v>9670</v>
      </c>
    </row>
    <row r="869">
      <c r="A869" s="13" t="s">
        <v>3282</v>
      </c>
      <c r="B869" s="13" t="s">
        <v>9671</v>
      </c>
      <c r="C869" s="13" t="s">
        <v>9672</v>
      </c>
      <c r="D869" s="13" t="s">
        <v>9673</v>
      </c>
      <c r="E869" s="13" t="s">
        <v>9674</v>
      </c>
      <c r="F869" s="13" t="s">
        <v>9675</v>
      </c>
      <c r="G869" s="14" t="s">
        <v>9676</v>
      </c>
    </row>
    <row r="870">
      <c r="A870" s="13" t="s">
        <v>3285</v>
      </c>
      <c r="B870" s="13" t="s">
        <v>9677</v>
      </c>
      <c r="C870" s="13" t="s">
        <v>9678</v>
      </c>
      <c r="D870" s="13" t="s">
        <v>9679</v>
      </c>
      <c r="E870" s="13" t="s">
        <v>9680</v>
      </c>
      <c r="F870" s="13" t="s">
        <v>9681</v>
      </c>
      <c r="G870" s="14" t="s">
        <v>9682</v>
      </c>
    </row>
    <row r="871">
      <c r="A871" s="13" t="s">
        <v>194</v>
      </c>
      <c r="B871" s="13" t="s">
        <v>5917</v>
      </c>
      <c r="C871" s="13" t="s">
        <v>5918</v>
      </c>
      <c r="D871" s="13" t="s">
        <v>5919</v>
      </c>
      <c r="E871" s="13" t="s">
        <v>5920</v>
      </c>
      <c r="F871" s="13" t="s">
        <v>5921</v>
      </c>
      <c r="G871" s="14" t="s">
        <v>9683</v>
      </c>
    </row>
    <row r="872">
      <c r="A872" s="13" t="s">
        <v>3290</v>
      </c>
      <c r="B872" s="13" t="s">
        <v>9684</v>
      </c>
      <c r="C872" s="13" t="s">
        <v>9685</v>
      </c>
      <c r="D872" s="13" t="s">
        <v>9686</v>
      </c>
      <c r="E872" s="13" t="s">
        <v>9687</v>
      </c>
      <c r="F872" s="13" t="s">
        <v>9688</v>
      </c>
      <c r="G872" s="14" t="s">
        <v>9689</v>
      </c>
    </row>
    <row r="873">
      <c r="A873" s="13" t="s">
        <v>3294</v>
      </c>
      <c r="B873" s="13" t="s">
        <v>9690</v>
      </c>
      <c r="C873" s="13" t="s">
        <v>9691</v>
      </c>
      <c r="D873" s="13" t="s">
        <v>9692</v>
      </c>
      <c r="E873" s="13" t="s">
        <v>9693</v>
      </c>
      <c r="F873" s="13" t="s">
        <v>9694</v>
      </c>
      <c r="G873" s="14" t="s">
        <v>9695</v>
      </c>
    </row>
    <row r="874">
      <c r="A874" s="13" t="s">
        <v>3298</v>
      </c>
      <c r="B874" s="13" t="s">
        <v>9696</v>
      </c>
      <c r="C874" s="13" t="s">
        <v>9697</v>
      </c>
      <c r="D874" s="13" t="s">
        <v>9698</v>
      </c>
      <c r="E874" s="13" t="s">
        <v>9699</v>
      </c>
      <c r="F874" s="13" t="s">
        <v>9700</v>
      </c>
      <c r="G874" s="14" t="s">
        <v>9701</v>
      </c>
    </row>
    <row r="875">
      <c r="A875" s="13" t="s">
        <v>3302</v>
      </c>
      <c r="B875" s="13" t="s">
        <v>9702</v>
      </c>
      <c r="C875" s="13" t="s">
        <v>9703</v>
      </c>
      <c r="D875" s="13" t="s">
        <v>9704</v>
      </c>
      <c r="E875" s="13" t="s">
        <v>9705</v>
      </c>
      <c r="F875" s="13" t="s">
        <v>9706</v>
      </c>
      <c r="G875" s="14" t="s">
        <v>9707</v>
      </c>
    </row>
    <row r="876">
      <c r="A876" s="13" t="s">
        <v>3307</v>
      </c>
      <c r="B876" s="13" t="s">
        <v>9708</v>
      </c>
      <c r="C876" s="13" t="s">
        <v>9709</v>
      </c>
      <c r="D876" s="13" t="s">
        <v>9710</v>
      </c>
      <c r="E876" s="13" t="s">
        <v>9711</v>
      </c>
      <c r="F876" s="13" t="s">
        <v>9712</v>
      </c>
      <c r="G876" s="14" t="s">
        <v>9713</v>
      </c>
    </row>
    <row r="877">
      <c r="A877" s="13" t="s">
        <v>3311</v>
      </c>
      <c r="B877" s="13" t="s">
        <v>9714</v>
      </c>
      <c r="C877" s="13" t="s">
        <v>9715</v>
      </c>
      <c r="D877" s="13" t="s">
        <v>9716</v>
      </c>
      <c r="E877" s="13" t="s">
        <v>9717</v>
      </c>
      <c r="F877" s="13" t="s">
        <v>9718</v>
      </c>
      <c r="G877" s="14" t="s">
        <v>9719</v>
      </c>
    </row>
    <row r="878">
      <c r="A878" s="13" t="s">
        <v>3315</v>
      </c>
      <c r="B878" s="13" t="s">
        <v>9720</v>
      </c>
      <c r="C878" s="13" t="s">
        <v>9721</v>
      </c>
      <c r="D878" s="13" t="s">
        <v>9722</v>
      </c>
      <c r="E878" s="13" t="s">
        <v>9723</v>
      </c>
      <c r="F878" s="13" t="s">
        <v>9724</v>
      </c>
      <c r="G878" s="14" t="s">
        <v>9725</v>
      </c>
    </row>
    <row r="879">
      <c r="A879" s="13" t="s">
        <v>3319</v>
      </c>
      <c r="B879" s="13" t="s">
        <v>9726</v>
      </c>
      <c r="C879" s="13" t="s">
        <v>9727</v>
      </c>
      <c r="D879" s="13" t="s">
        <v>9728</v>
      </c>
      <c r="E879" s="13" t="s">
        <v>9729</v>
      </c>
      <c r="F879" s="13" t="s">
        <v>9730</v>
      </c>
      <c r="G879" s="14" t="s">
        <v>9731</v>
      </c>
    </row>
    <row r="880">
      <c r="A880" s="13" t="s">
        <v>3323</v>
      </c>
      <c r="B880" s="13" t="s">
        <v>9732</v>
      </c>
      <c r="C880" s="13" t="s">
        <v>9733</v>
      </c>
      <c r="D880" s="13" t="s">
        <v>9734</v>
      </c>
      <c r="E880" s="13" t="s">
        <v>9735</v>
      </c>
      <c r="F880" s="13" t="s">
        <v>9736</v>
      </c>
      <c r="G880" s="14" t="s">
        <v>9737</v>
      </c>
    </row>
    <row r="881">
      <c r="A881" s="13" t="s">
        <v>3327</v>
      </c>
      <c r="B881" s="13" t="s">
        <v>9738</v>
      </c>
      <c r="C881" s="13" t="s">
        <v>9739</v>
      </c>
      <c r="D881" s="13" t="s">
        <v>9740</v>
      </c>
      <c r="E881" s="13" t="s">
        <v>9741</v>
      </c>
      <c r="F881" s="13" t="s">
        <v>9742</v>
      </c>
      <c r="G881" s="14" t="s">
        <v>9743</v>
      </c>
    </row>
    <row r="882">
      <c r="A882" s="13" t="s">
        <v>3331</v>
      </c>
      <c r="B882" s="13" t="s">
        <v>9744</v>
      </c>
      <c r="C882" s="13" t="s">
        <v>9745</v>
      </c>
      <c r="D882" s="13" t="s">
        <v>9746</v>
      </c>
      <c r="E882" s="13" t="s">
        <v>9747</v>
      </c>
      <c r="F882" s="13" t="s">
        <v>9748</v>
      </c>
      <c r="G882" s="14" t="s">
        <v>9749</v>
      </c>
    </row>
    <row r="883">
      <c r="A883" s="13" t="s">
        <v>206</v>
      </c>
      <c r="B883" s="13" t="s">
        <v>5930</v>
      </c>
      <c r="C883" s="13" t="s">
        <v>5931</v>
      </c>
      <c r="D883" s="13" t="s">
        <v>5932</v>
      </c>
      <c r="E883" s="13" t="s">
        <v>5933</v>
      </c>
      <c r="F883" s="13" t="s">
        <v>5934</v>
      </c>
      <c r="G883" s="14" t="s">
        <v>9750</v>
      </c>
    </row>
    <row r="884">
      <c r="A884" s="13" t="s">
        <v>3336</v>
      </c>
      <c r="B884" s="13" t="s">
        <v>9751</v>
      </c>
      <c r="C884" s="13" t="s">
        <v>9752</v>
      </c>
      <c r="D884" s="13" t="s">
        <v>9753</v>
      </c>
      <c r="E884" s="13" t="s">
        <v>9754</v>
      </c>
      <c r="F884" s="13" t="s">
        <v>9755</v>
      </c>
      <c r="G884" s="14" t="s">
        <v>9756</v>
      </c>
    </row>
    <row r="885">
      <c r="A885" s="13" t="s">
        <v>3340</v>
      </c>
      <c r="B885" s="13" t="s">
        <v>9757</v>
      </c>
      <c r="C885" s="13" t="s">
        <v>9758</v>
      </c>
      <c r="D885" s="13" t="s">
        <v>9759</v>
      </c>
      <c r="E885" s="13" t="s">
        <v>9760</v>
      </c>
      <c r="F885" s="13" t="s">
        <v>9761</v>
      </c>
      <c r="G885" s="14" t="s">
        <v>9762</v>
      </c>
    </row>
    <row r="886">
      <c r="A886" s="13" t="s">
        <v>3344</v>
      </c>
      <c r="B886" s="13" t="s">
        <v>9763</v>
      </c>
      <c r="C886" s="13" t="s">
        <v>9764</v>
      </c>
      <c r="D886" s="13" t="s">
        <v>9765</v>
      </c>
      <c r="E886" s="13" t="s">
        <v>9766</v>
      </c>
      <c r="F886" s="13" t="s">
        <v>9767</v>
      </c>
      <c r="G886" s="14" t="s">
        <v>9768</v>
      </c>
    </row>
    <row r="887">
      <c r="A887" s="13" t="s">
        <v>219</v>
      </c>
      <c r="B887" s="13" t="s">
        <v>5943</v>
      </c>
      <c r="C887" s="13" t="s">
        <v>5944</v>
      </c>
      <c r="D887" s="13" t="s">
        <v>5945</v>
      </c>
      <c r="E887" s="13" t="s">
        <v>5946</v>
      </c>
      <c r="F887" s="13" t="s">
        <v>5947</v>
      </c>
      <c r="G887" s="14" t="s">
        <v>5948</v>
      </c>
    </row>
    <row r="888">
      <c r="A888" s="13" t="s">
        <v>3349</v>
      </c>
      <c r="B888" s="13" t="s">
        <v>9769</v>
      </c>
      <c r="C888" s="13" t="s">
        <v>9770</v>
      </c>
      <c r="D888" s="13" t="s">
        <v>9771</v>
      </c>
      <c r="E888" s="13" t="s">
        <v>9772</v>
      </c>
      <c r="F888" s="13" t="s">
        <v>9773</v>
      </c>
      <c r="G888" s="14" t="s">
        <v>9774</v>
      </c>
    </row>
    <row r="889">
      <c r="A889" s="13" t="s">
        <v>3353</v>
      </c>
      <c r="B889" s="13" t="s">
        <v>9775</v>
      </c>
      <c r="C889" s="13" t="s">
        <v>9776</v>
      </c>
      <c r="D889" s="13" t="s">
        <v>9777</v>
      </c>
      <c r="E889" s="13" t="s">
        <v>9778</v>
      </c>
      <c r="F889" s="13" t="s">
        <v>9779</v>
      </c>
      <c r="G889" s="14" t="s">
        <v>9780</v>
      </c>
    </row>
    <row r="890">
      <c r="A890" s="13" t="s">
        <v>2088</v>
      </c>
      <c r="B890" s="13" t="s">
        <v>8064</v>
      </c>
      <c r="C890" s="13" t="s">
        <v>8065</v>
      </c>
      <c r="D890" s="13" t="s">
        <v>8066</v>
      </c>
      <c r="E890" s="13" t="s">
        <v>8067</v>
      </c>
      <c r="F890" s="13" t="s">
        <v>8068</v>
      </c>
      <c r="G890" s="14" t="s">
        <v>9781</v>
      </c>
    </row>
    <row r="891">
      <c r="A891" s="13" t="s">
        <v>3358</v>
      </c>
      <c r="B891" s="13" t="s">
        <v>9782</v>
      </c>
      <c r="C891" s="13" t="s">
        <v>9783</v>
      </c>
      <c r="D891" s="13" t="s">
        <v>9784</v>
      </c>
      <c r="E891" s="13" t="s">
        <v>9785</v>
      </c>
      <c r="F891" s="13" t="s">
        <v>9786</v>
      </c>
      <c r="G891" s="14" t="s">
        <v>9787</v>
      </c>
    </row>
    <row r="892">
      <c r="A892" s="13" t="s">
        <v>3362</v>
      </c>
      <c r="B892" s="13" t="s">
        <v>9788</v>
      </c>
      <c r="C892" s="13" t="s">
        <v>9789</v>
      </c>
      <c r="D892" s="13" t="s">
        <v>9790</v>
      </c>
      <c r="E892" s="13" t="s">
        <v>9791</v>
      </c>
      <c r="F892" s="13" t="s">
        <v>9792</v>
      </c>
      <c r="G892" s="14" t="s">
        <v>9793</v>
      </c>
    </row>
    <row r="893">
      <c r="A893" s="13" t="s">
        <v>3366</v>
      </c>
      <c r="B893" s="13" t="s">
        <v>9794</v>
      </c>
      <c r="C893" s="13" t="s">
        <v>9795</v>
      </c>
      <c r="D893" s="13" t="s">
        <v>9796</v>
      </c>
      <c r="E893" s="13" t="s">
        <v>9797</v>
      </c>
      <c r="F893" s="13" t="s">
        <v>9798</v>
      </c>
      <c r="G893" s="14" t="s">
        <v>9799</v>
      </c>
    </row>
    <row r="894">
      <c r="A894" s="13" t="s">
        <v>3370</v>
      </c>
      <c r="B894" s="13" t="s">
        <v>9800</v>
      </c>
      <c r="C894" s="13" t="s">
        <v>9801</v>
      </c>
      <c r="D894" s="13" t="s">
        <v>9802</v>
      </c>
      <c r="E894" s="13" t="s">
        <v>9803</v>
      </c>
      <c r="F894" s="13" t="s">
        <v>9804</v>
      </c>
      <c r="G894" s="14" t="s">
        <v>9805</v>
      </c>
    </row>
    <row r="895">
      <c r="A895" s="13" t="s">
        <v>3374</v>
      </c>
      <c r="B895" s="13" t="s">
        <v>9806</v>
      </c>
      <c r="C895" s="13" t="s">
        <v>9807</v>
      </c>
      <c r="D895" s="13" t="s">
        <v>9808</v>
      </c>
      <c r="E895" s="13" t="s">
        <v>9809</v>
      </c>
      <c r="F895" s="13" t="s">
        <v>9810</v>
      </c>
      <c r="G895" s="14" t="s">
        <v>9811</v>
      </c>
    </row>
    <row r="896">
      <c r="A896" s="13" t="s">
        <v>223</v>
      </c>
      <c r="B896" s="13" t="s">
        <v>5949</v>
      </c>
      <c r="C896" s="13" t="s">
        <v>5950</v>
      </c>
      <c r="D896" s="13" t="s">
        <v>5951</v>
      </c>
      <c r="E896" s="13" t="s">
        <v>5952</v>
      </c>
      <c r="F896" s="13" t="s">
        <v>5953</v>
      </c>
      <c r="G896" s="14" t="s">
        <v>5954</v>
      </c>
    </row>
    <row r="897">
      <c r="A897" s="13" t="s">
        <v>3379</v>
      </c>
      <c r="B897" s="13" t="s">
        <v>9812</v>
      </c>
      <c r="C897" s="13" t="s">
        <v>9813</v>
      </c>
      <c r="D897" s="13" t="s">
        <v>9814</v>
      </c>
      <c r="E897" s="13" t="s">
        <v>9815</v>
      </c>
      <c r="F897" s="13" t="s">
        <v>9816</v>
      </c>
      <c r="G897" s="14" t="s">
        <v>9817</v>
      </c>
    </row>
    <row r="898">
      <c r="A898" s="13" t="s">
        <v>3384</v>
      </c>
      <c r="B898" s="13" t="s">
        <v>9818</v>
      </c>
      <c r="C898" s="13" t="s">
        <v>9819</v>
      </c>
      <c r="D898" s="13" t="s">
        <v>9820</v>
      </c>
      <c r="E898" s="13" t="s">
        <v>9821</v>
      </c>
      <c r="F898" s="13" t="s">
        <v>9822</v>
      </c>
      <c r="G898" s="14" t="s">
        <v>9823</v>
      </c>
    </row>
    <row r="899">
      <c r="A899" s="13" t="s">
        <v>3388</v>
      </c>
      <c r="B899" s="13" t="s">
        <v>9824</v>
      </c>
      <c r="C899" s="13" t="s">
        <v>9825</v>
      </c>
      <c r="D899" s="13" t="s">
        <v>9826</v>
      </c>
      <c r="E899" s="13" t="s">
        <v>9827</v>
      </c>
      <c r="F899" s="13" t="s">
        <v>9828</v>
      </c>
      <c r="G899" s="14" t="s">
        <v>9829</v>
      </c>
    </row>
    <row r="900">
      <c r="A900" s="13" t="s">
        <v>231</v>
      </c>
      <c r="B900" s="13" t="s">
        <v>5956</v>
      </c>
      <c r="C900" s="13" t="s">
        <v>5957</v>
      </c>
      <c r="D900" s="13" t="s">
        <v>5958</v>
      </c>
      <c r="E900" s="13" t="s">
        <v>5959</v>
      </c>
      <c r="F900" s="13" t="s">
        <v>5960</v>
      </c>
      <c r="G900" s="14" t="s">
        <v>9830</v>
      </c>
    </row>
    <row r="901">
      <c r="A901" s="13" t="s">
        <v>3393</v>
      </c>
      <c r="B901" s="13" t="s">
        <v>9831</v>
      </c>
      <c r="C901" s="13" t="s">
        <v>9832</v>
      </c>
      <c r="D901" s="13" t="s">
        <v>9833</v>
      </c>
      <c r="E901" s="13" t="s">
        <v>9834</v>
      </c>
      <c r="F901" s="13" t="s">
        <v>9835</v>
      </c>
      <c r="G901" s="14" t="s">
        <v>9836</v>
      </c>
    </row>
    <row r="902">
      <c r="A902" s="13" t="s">
        <v>3397</v>
      </c>
      <c r="B902" s="13" t="s">
        <v>9837</v>
      </c>
      <c r="C902" s="13" t="s">
        <v>9838</v>
      </c>
      <c r="D902" s="13" t="s">
        <v>9839</v>
      </c>
      <c r="E902" s="13" t="s">
        <v>9840</v>
      </c>
      <c r="F902" s="13" t="s">
        <v>9841</v>
      </c>
      <c r="G902" s="14" t="s">
        <v>9842</v>
      </c>
    </row>
    <row r="903">
      <c r="A903" s="13" t="s">
        <v>3402</v>
      </c>
      <c r="B903" s="13" t="s">
        <v>8131</v>
      </c>
      <c r="C903" s="13" t="s">
        <v>8132</v>
      </c>
      <c r="D903" s="13" t="s">
        <v>8133</v>
      </c>
      <c r="E903" s="13" t="s">
        <v>8134</v>
      </c>
      <c r="F903" s="13" t="s">
        <v>8135</v>
      </c>
      <c r="G903" s="14" t="s">
        <v>9843</v>
      </c>
    </row>
    <row r="904">
      <c r="A904" s="13" t="s">
        <v>3406</v>
      </c>
      <c r="B904" s="13" t="s">
        <v>9844</v>
      </c>
      <c r="C904" s="13" t="s">
        <v>9845</v>
      </c>
      <c r="D904" s="13" t="s">
        <v>9846</v>
      </c>
      <c r="E904" s="13" t="s">
        <v>9847</v>
      </c>
      <c r="F904" s="13" t="s">
        <v>9848</v>
      </c>
      <c r="G904" s="14" t="s">
        <v>9849</v>
      </c>
    </row>
    <row r="905">
      <c r="A905" s="13" t="s">
        <v>3410</v>
      </c>
      <c r="B905" s="13" t="s">
        <v>9850</v>
      </c>
      <c r="C905" s="13" t="s">
        <v>9851</v>
      </c>
      <c r="D905" s="13" t="s">
        <v>9852</v>
      </c>
      <c r="E905" s="13" t="s">
        <v>9853</v>
      </c>
      <c r="F905" s="13" t="s">
        <v>9854</v>
      </c>
      <c r="G905" s="14" t="s">
        <v>9855</v>
      </c>
    </row>
    <row r="906">
      <c r="A906" s="13" t="s">
        <v>3415</v>
      </c>
      <c r="B906" s="13" t="s">
        <v>9856</v>
      </c>
      <c r="C906" s="13" t="s">
        <v>9857</v>
      </c>
      <c r="D906" s="13" t="s">
        <v>9858</v>
      </c>
      <c r="E906" s="13" t="s">
        <v>9859</v>
      </c>
      <c r="F906" s="13" t="s">
        <v>9860</v>
      </c>
      <c r="G906" s="14" t="s">
        <v>9861</v>
      </c>
    </row>
    <row r="907">
      <c r="A907" s="13" t="s">
        <v>3419</v>
      </c>
      <c r="B907" s="13" t="s">
        <v>9862</v>
      </c>
      <c r="C907" s="13" t="s">
        <v>9863</v>
      </c>
      <c r="D907" s="13" t="s">
        <v>9864</v>
      </c>
      <c r="E907" s="13" t="s">
        <v>9865</v>
      </c>
      <c r="F907" s="13" t="s">
        <v>9866</v>
      </c>
      <c r="G907" s="14" t="s">
        <v>9867</v>
      </c>
    </row>
    <row r="908">
      <c r="A908" s="13" t="s">
        <v>3423</v>
      </c>
      <c r="B908" s="13" t="s">
        <v>9868</v>
      </c>
      <c r="C908" s="13" t="s">
        <v>9869</v>
      </c>
      <c r="D908" s="13" t="s">
        <v>9870</v>
      </c>
      <c r="E908" s="13" t="s">
        <v>9871</v>
      </c>
      <c r="F908" s="13" t="s">
        <v>9872</v>
      </c>
      <c r="G908" s="14" t="s">
        <v>9873</v>
      </c>
    </row>
    <row r="909">
      <c r="A909" s="13" t="s">
        <v>3428</v>
      </c>
      <c r="B909" s="13" t="s">
        <v>9874</v>
      </c>
      <c r="C909" s="13" t="s">
        <v>9875</v>
      </c>
      <c r="D909" s="13" t="s">
        <v>9876</v>
      </c>
      <c r="E909" s="13" t="s">
        <v>9877</v>
      </c>
      <c r="F909" s="13" t="s">
        <v>9878</v>
      </c>
      <c r="G909" s="14" t="s">
        <v>9879</v>
      </c>
    </row>
    <row r="910">
      <c r="A910" s="13" t="s">
        <v>240</v>
      </c>
      <c r="B910" s="13" t="s">
        <v>5968</v>
      </c>
      <c r="C910" s="13" t="s">
        <v>5969</v>
      </c>
      <c r="D910" s="13" t="s">
        <v>5970</v>
      </c>
      <c r="E910" s="13" t="s">
        <v>5971</v>
      </c>
      <c r="F910" s="13" t="s">
        <v>5972</v>
      </c>
      <c r="G910" s="14" t="s">
        <v>9880</v>
      </c>
    </row>
    <row r="911">
      <c r="A911" s="13" t="s">
        <v>3434</v>
      </c>
      <c r="B911" s="13" t="s">
        <v>9881</v>
      </c>
      <c r="C911" s="13" t="s">
        <v>9882</v>
      </c>
      <c r="D911" s="13" t="s">
        <v>9883</v>
      </c>
      <c r="E911" s="13" t="s">
        <v>9884</v>
      </c>
      <c r="F911" s="13" t="s">
        <v>9885</v>
      </c>
      <c r="G911" s="14" t="s">
        <v>9886</v>
      </c>
    </row>
    <row r="912">
      <c r="A912" s="13" t="s">
        <v>3438</v>
      </c>
      <c r="B912" s="13" t="s">
        <v>8046</v>
      </c>
      <c r="C912" s="13" t="s">
        <v>8047</v>
      </c>
      <c r="D912" s="13" t="s">
        <v>8048</v>
      </c>
      <c r="E912" s="13" t="s">
        <v>8049</v>
      </c>
      <c r="F912" s="13" t="s">
        <v>8050</v>
      </c>
      <c r="G912" s="14" t="s">
        <v>9887</v>
      </c>
    </row>
    <row r="913">
      <c r="A913" s="13" t="s">
        <v>3442</v>
      </c>
      <c r="B913" s="13" t="s">
        <v>9888</v>
      </c>
      <c r="C913" s="13" t="s">
        <v>9889</v>
      </c>
      <c r="D913" s="13" t="s">
        <v>9890</v>
      </c>
      <c r="E913" s="13" t="s">
        <v>9891</v>
      </c>
      <c r="F913" s="13" t="s">
        <v>9892</v>
      </c>
      <c r="G913" s="14" t="s">
        <v>9893</v>
      </c>
    </row>
    <row r="914">
      <c r="A914" s="13" t="s">
        <v>3447</v>
      </c>
      <c r="B914" s="13" t="s">
        <v>9894</v>
      </c>
      <c r="C914" s="13" t="s">
        <v>9895</v>
      </c>
      <c r="D914" s="13" t="s">
        <v>9896</v>
      </c>
      <c r="E914" s="13" t="s">
        <v>9897</v>
      </c>
      <c r="F914" s="13" t="s">
        <v>9898</v>
      </c>
      <c r="G914" s="14" t="s">
        <v>9899</v>
      </c>
    </row>
    <row r="915">
      <c r="A915" s="13" t="s">
        <v>3451</v>
      </c>
      <c r="B915" s="13" t="s">
        <v>9900</v>
      </c>
      <c r="C915" s="13" t="s">
        <v>9901</v>
      </c>
      <c r="D915" s="13" t="s">
        <v>9902</v>
      </c>
      <c r="E915" s="13" t="s">
        <v>9903</v>
      </c>
      <c r="F915" s="13" t="s">
        <v>9904</v>
      </c>
      <c r="G915" s="14" t="s">
        <v>9905</v>
      </c>
    </row>
    <row r="916">
      <c r="A916" s="13" t="s">
        <v>3455</v>
      </c>
      <c r="B916" s="13" t="s">
        <v>9906</v>
      </c>
      <c r="C916" s="13" t="s">
        <v>9907</v>
      </c>
      <c r="D916" s="13" t="s">
        <v>9908</v>
      </c>
      <c r="E916" s="13" t="s">
        <v>9909</v>
      </c>
      <c r="F916" s="13" t="s">
        <v>9910</v>
      </c>
      <c r="G916" s="14" t="s">
        <v>9911</v>
      </c>
    </row>
    <row r="917">
      <c r="A917" s="13" t="s">
        <v>3459</v>
      </c>
      <c r="B917" s="13" t="s">
        <v>9912</v>
      </c>
      <c r="C917" s="13" t="s">
        <v>9913</v>
      </c>
      <c r="D917" s="13" t="s">
        <v>9914</v>
      </c>
      <c r="E917" s="13" t="s">
        <v>9915</v>
      </c>
      <c r="F917" s="13" t="s">
        <v>9916</v>
      </c>
      <c r="G917" s="14" t="s">
        <v>9917</v>
      </c>
    </row>
    <row r="918">
      <c r="A918" s="13" t="s">
        <v>3463</v>
      </c>
      <c r="B918" s="13" t="s">
        <v>9918</v>
      </c>
      <c r="C918" s="13" t="s">
        <v>9919</v>
      </c>
      <c r="D918" s="13" t="s">
        <v>9920</v>
      </c>
      <c r="E918" s="13" t="s">
        <v>9921</v>
      </c>
      <c r="F918" s="13" t="s">
        <v>9922</v>
      </c>
      <c r="G918" s="14" t="s">
        <v>9923</v>
      </c>
    </row>
    <row r="919">
      <c r="A919" s="13" t="s">
        <v>3467</v>
      </c>
      <c r="B919" s="13" t="s">
        <v>9924</v>
      </c>
      <c r="C919" s="13" t="s">
        <v>9925</v>
      </c>
      <c r="D919" s="13" t="s">
        <v>9926</v>
      </c>
      <c r="E919" s="13" t="s">
        <v>9927</v>
      </c>
      <c r="F919" s="13" t="s">
        <v>9928</v>
      </c>
      <c r="G919" s="14" t="s">
        <v>9929</v>
      </c>
    </row>
    <row r="920">
      <c r="A920" s="13" t="s">
        <v>2075</v>
      </c>
      <c r="B920" s="13" t="s">
        <v>8052</v>
      </c>
      <c r="C920" s="13" t="s">
        <v>8053</v>
      </c>
      <c r="D920" s="13" t="s">
        <v>8054</v>
      </c>
      <c r="E920" s="13" t="s">
        <v>8055</v>
      </c>
      <c r="F920" s="13" t="s">
        <v>8056</v>
      </c>
      <c r="G920" s="14" t="s">
        <v>9930</v>
      </c>
    </row>
    <row r="921">
      <c r="A921" s="13" t="s">
        <v>3472</v>
      </c>
      <c r="B921" s="13" t="s">
        <v>9931</v>
      </c>
      <c r="C921" s="13" t="s">
        <v>9932</v>
      </c>
      <c r="D921" s="13" t="s">
        <v>9933</v>
      </c>
      <c r="E921" s="13" t="s">
        <v>9934</v>
      </c>
      <c r="F921" s="13" t="s">
        <v>9935</v>
      </c>
      <c r="G921" s="14" t="s">
        <v>9936</v>
      </c>
    </row>
    <row r="922">
      <c r="A922" s="13" t="s">
        <v>3476</v>
      </c>
      <c r="B922" s="13" t="s">
        <v>9937</v>
      </c>
      <c r="C922" s="13" t="s">
        <v>9938</v>
      </c>
      <c r="D922" s="13" t="s">
        <v>9939</v>
      </c>
      <c r="E922" s="13" t="s">
        <v>9940</v>
      </c>
      <c r="F922" s="13" t="s">
        <v>9941</v>
      </c>
      <c r="G922" s="14" t="s">
        <v>9942</v>
      </c>
    </row>
    <row r="923">
      <c r="A923" s="13" t="s">
        <v>3481</v>
      </c>
      <c r="B923" s="13" t="s">
        <v>9943</v>
      </c>
      <c r="C923" s="13" t="s">
        <v>9944</v>
      </c>
      <c r="D923" s="13" t="s">
        <v>9945</v>
      </c>
      <c r="E923" s="13" t="s">
        <v>9946</v>
      </c>
      <c r="F923" s="13" t="s">
        <v>9947</v>
      </c>
      <c r="G923" s="14" t="s">
        <v>9948</v>
      </c>
    </row>
    <row r="924">
      <c r="A924" s="13" t="s">
        <v>3486</v>
      </c>
      <c r="B924" s="13" t="s">
        <v>9949</v>
      </c>
      <c r="C924" s="13" t="s">
        <v>9950</v>
      </c>
      <c r="D924" s="13" t="s">
        <v>9951</v>
      </c>
      <c r="E924" s="13" t="s">
        <v>9952</v>
      </c>
      <c r="F924" s="13" t="s">
        <v>9953</v>
      </c>
      <c r="G924" s="14" t="s">
        <v>9954</v>
      </c>
    </row>
    <row r="925">
      <c r="A925" s="13" t="s">
        <v>3490</v>
      </c>
      <c r="B925" s="13" t="s">
        <v>9955</v>
      </c>
      <c r="C925" s="13" t="s">
        <v>9956</v>
      </c>
      <c r="D925" s="13" t="s">
        <v>9957</v>
      </c>
      <c r="E925" s="13" t="s">
        <v>9958</v>
      </c>
      <c r="F925" s="13" t="s">
        <v>9959</v>
      </c>
      <c r="G925" s="14" t="s">
        <v>9960</v>
      </c>
    </row>
    <row r="926">
      <c r="A926" s="13" t="s">
        <v>3494</v>
      </c>
      <c r="B926" s="13" t="s">
        <v>9961</v>
      </c>
      <c r="C926" s="13" t="s">
        <v>9962</v>
      </c>
      <c r="D926" s="13" t="s">
        <v>9963</v>
      </c>
      <c r="E926" s="13" t="s">
        <v>9964</v>
      </c>
      <c r="F926" s="13" t="s">
        <v>9965</v>
      </c>
      <c r="G926" s="14" t="s">
        <v>9966</v>
      </c>
    </row>
    <row r="927">
      <c r="A927" s="13" t="s">
        <v>256</v>
      </c>
      <c r="B927" s="13" t="s">
        <v>5982</v>
      </c>
      <c r="C927" s="13" t="s">
        <v>5983</v>
      </c>
      <c r="D927" s="13" t="s">
        <v>5984</v>
      </c>
      <c r="E927" s="13" t="s">
        <v>5985</v>
      </c>
      <c r="F927" s="13" t="s">
        <v>5986</v>
      </c>
      <c r="G927" s="14" t="s">
        <v>5987</v>
      </c>
    </row>
    <row r="928">
      <c r="A928" s="13" t="s">
        <v>3500</v>
      </c>
      <c r="B928" s="13" t="s">
        <v>9967</v>
      </c>
      <c r="C928" s="13" t="s">
        <v>9968</v>
      </c>
      <c r="D928" s="13" t="s">
        <v>9969</v>
      </c>
      <c r="E928" s="13" t="s">
        <v>9970</v>
      </c>
      <c r="F928" s="13" t="s">
        <v>9971</v>
      </c>
      <c r="G928" s="14" t="s">
        <v>9972</v>
      </c>
    </row>
    <row r="929">
      <c r="A929" s="13" t="s">
        <v>3504</v>
      </c>
      <c r="B929" s="13" t="s">
        <v>9973</v>
      </c>
      <c r="C929" s="13" t="s">
        <v>9974</v>
      </c>
      <c r="D929" s="13" t="s">
        <v>9975</v>
      </c>
      <c r="E929" s="13" t="s">
        <v>9976</v>
      </c>
      <c r="F929" s="13" t="s">
        <v>9977</v>
      </c>
      <c r="G929" s="14" t="s">
        <v>9978</v>
      </c>
    </row>
    <row r="930">
      <c r="A930" s="13" t="s">
        <v>260</v>
      </c>
      <c r="B930" s="13" t="s">
        <v>5988</v>
      </c>
      <c r="C930" s="13" t="s">
        <v>5989</v>
      </c>
      <c r="D930" s="13" t="s">
        <v>5990</v>
      </c>
      <c r="E930" s="13" t="s">
        <v>5991</v>
      </c>
      <c r="F930" s="13" t="s">
        <v>5992</v>
      </c>
      <c r="G930" s="14" t="s">
        <v>9979</v>
      </c>
    </row>
    <row r="931">
      <c r="A931" s="13" t="s">
        <v>3509</v>
      </c>
      <c r="B931" s="13" t="s">
        <v>9980</v>
      </c>
      <c r="C931" s="13" t="s">
        <v>9981</v>
      </c>
      <c r="D931" s="13" t="s">
        <v>9982</v>
      </c>
      <c r="E931" s="13" t="s">
        <v>9983</v>
      </c>
      <c r="F931" s="13" t="s">
        <v>9984</v>
      </c>
      <c r="G931" s="14" t="s">
        <v>9985</v>
      </c>
    </row>
    <row r="932">
      <c r="A932" s="13" t="s">
        <v>3513</v>
      </c>
      <c r="B932" s="13" t="s">
        <v>9986</v>
      </c>
      <c r="C932" s="13" t="s">
        <v>9987</v>
      </c>
      <c r="D932" s="13" t="s">
        <v>9988</v>
      </c>
      <c r="E932" s="13" t="s">
        <v>9989</v>
      </c>
      <c r="F932" s="13" t="s">
        <v>9990</v>
      </c>
      <c r="G932" s="14" t="s">
        <v>9991</v>
      </c>
    </row>
    <row r="933">
      <c r="A933" s="13" t="s">
        <v>3517</v>
      </c>
      <c r="B933" s="13" t="s">
        <v>9992</v>
      </c>
      <c r="C933" s="13" t="s">
        <v>9993</v>
      </c>
      <c r="D933" s="13" t="s">
        <v>9994</v>
      </c>
      <c r="E933" s="13" t="s">
        <v>9995</v>
      </c>
      <c r="F933" s="13" t="s">
        <v>9996</v>
      </c>
      <c r="G933" s="14" t="s">
        <v>9997</v>
      </c>
    </row>
    <row r="934">
      <c r="A934" s="13" t="s">
        <v>3521</v>
      </c>
      <c r="B934" s="13" t="s">
        <v>9998</v>
      </c>
      <c r="C934" s="13" t="s">
        <v>9999</v>
      </c>
      <c r="D934" s="13" t="s">
        <v>10000</v>
      </c>
      <c r="E934" s="13" t="s">
        <v>10001</v>
      </c>
      <c r="F934" s="13" t="s">
        <v>10002</v>
      </c>
      <c r="G934" s="14" t="s">
        <v>10003</v>
      </c>
    </row>
    <row r="935">
      <c r="A935" s="13" t="s">
        <v>3526</v>
      </c>
      <c r="B935" s="13" t="s">
        <v>10004</v>
      </c>
      <c r="C935" s="13" t="s">
        <v>10005</v>
      </c>
      <c r="D935" s="13" t="s">
        <v>10006</v>
      </c>
      <c r="E935" s="13" t="s">
        <v>10007</v>
      </c>
      <c r="F935" s="13" t="s">
        <v>10008</v>
      </c>
      <c r="G935" s="14" t="s">
        <v>10009</v>
      </c>
    </row>
    <row r="936">
      <c r="A936" s="13" t="s">
        <v>3530</v>
      </c>
      <c r="B936" s="13" t="s">
        <v>10010</v>
      </c>
      <c r="C936" s="13" t="s">
        <v>10011</v>
      </c>
      <c r="D936" s="13" t="s">
        <v>10012</v>
      </c>
      <c r="E936" s="13" t="s">
        <v>10013</v>
      </c>
      <c r="F936" s="13" t="s">
        <v>10014</v>
      </c>
      <c r="G936" s="14" t="s">
        <v>10015</v>
      </c>
    </row>
    <row r="937">
      <c r="A937" s="13" t="s">
        <v>3534</v>
      </c>
      <c r="B937" s="13" t="s">
        <v>10016</v>
      </c>
      <c r="C937" s="13" t="s">
        <v>10017</v>
      </c>
      <c r="D937" s="13" t="s">
        <v>10018</v>
      </c>
      <c r="E937" s="13" t="s">
        <v>10019</v>
      </c>
      <c r="F937" s="13" t="s">
        <v>10020</v>
      </c>
      <c r="G937" s="14" t="s">
        <v>10021</v>
      </c>
    </row>
    <row r="938">
      <c r="A938" s="13" t="s">
        <v>3539</v>
      </c>
      <c r="B938" s="13" t="s">
        <v>10022</v>
      </c>
      <c r="C938" s="13" t="s">
        <v>10023</v>
      </c>
      <c r="D938" s="13" t="s">
        <v>10024</v>
      </c>
      <c r="E938" s="13" t="s">
        <v>10025</v>
      </c>
      <c r="F938" s="13" t="s">
        <v>10026</v>
      </c>
      <c r="G938" s="14" t="s">
        <v>10027</v>
      </c>
    </row>
    <row r="939">
      <c r="A939" s="13" t="s">
        <v>3543</v>
      </c>
      <c r="B939" s="13" t="s">
        <v>6175</v>
      </c>
      <c r="C939" s="13" t="s">
        <v>6176</v>
      </c>
      <c r="D939" s="13" t="s">
        <v>6177</v>
      </c>
      <c r="E939" s="13" t="s">
        <v>6178</v>
      </c>
      <c r="F939" s="13" t="s">
        <v>6179</v>
      </c>
      <c r="G939" s="14" t="s">
        <v>10028</v>
      </c>
    </row>
    <row r="940">
      <c r="A940" s="13" t="s">
        <v>272</v>
      </c>
      <c r="B940" s="13" t="s">
        <v>6006</v>
      </c>
      <c r="C940" s="13" t="s">
        <v>6007</v>
      </c>
      <c r="D940" s="13" t="s">
        <v>6008</v>
      </c>
      <c r="E940" s="13" t="s">
        <v>6009</v>
      </c>
      <c r="F940" s="13" t="s">
        <v>6010</v>
      </c>
      <c r="G940" s="14" t="s">
        <v>6011</v>
      </c>
    </row>
    <row r="941">
      <c r="A941" s="13" t="s">
        <v>3549</v>
      </c>
      <c r="B941" s="13" t="s">
        <v>10029</v>
      </c>
      <c r="C941" s="13" t="s">
        <v>10030</v>
      </c>
      <c r="D941" s="13" t="s">
        <v>10031</v>
      </c>
      <c r="E941" s="13" t="s">
        <v>10032</v>
      </c>
      <c r="F941" s="13" t="s">
        <v>10033</v>
      </c>
      <c r="G941" s="14" t="s">
        <v>10034</v>
      </c>
    </row>
    <row r="942">
      <c r="A942" s="13" t="s">
        <v>3553</v>
      </c>
      <c r="B942" s="13" t="s">
        <v>10035</v>
      </c>
      <c r="C942" s="13" t="s">
        <v>10036</v>
      </c>
      <c r="D942" s="13" t="s">
        <v>10037</v>
      </c>
      <c r="E942" s="13" t="s">
        <v>10038</v>
      </c>
      <c r="F942" s="13" t="s">
        <v>10039</v>
      </c>
      <c r="G942" s="14" t="s">
        <v>10040</v>
      </c>
    </row>
    <row r="943">
      <c r="A943" s="13" t="s">
        <v>3557</v>
      </c>
      <c r="B943" s="13" t="s">
        <v>10041</v>
      </c>
      <c r="C943" s="13" t="s">
        <v>10042</v>
      </c>
      <c r="D943" s="13" t="s">
        <v>10043</v>
      </c>
      <c r="E943" s="13" t="s">
        <v>10044</v>
      </c>
      <c r="F943" s="13" t="s">
        <v>10045</v>
      </c>
      <c r="G943" s="14" t="s">
        <v>10046</v>
      </c>
    </row>
    <row r="944">
      <c r="A944" s="13" t="s">
        <v>3562</v>
      </c>
      <c r="B944" s="13" t="s">
        <v>10047</v>
      </c>
      <c r="C944" s="13" t="s">
        <v>10048</v>
      </c>
      <c r="D944" s="13" t="s">
        <v>10049</v>
      </c>
      <c r="E944" s="13" t="s">
        <v>10050</v>
      </c>
      <c r="F944" s="13" t="s">
        <v>10051</v>
      </c>
      <c r="G944" s="14" t="s">
        <v>10052</v>
      </c>
    </row>
    <row r="945">
      <c r="A945" s="13" t="s">
        <v>276</v>
      </c>
      <c r="B945" s="13" t="s">
        <v>6012</v>
      </c>
      <c r="C945" s="13" t="s">
        <v>6013</v>
      </c>
      <c r="D945" s="13" t="s">
        <v>6014</v>
      </c>
      <c r="E945" s="13" t="s">
        <v>6015</v>
      </c>
      <c r="F945" s="13" t="s">
        <v>6016</v>
      </c>
      <c r="G945" s="14" t="s">
        <v>10053</v>
      </c>
    </row>
    <row r="946">
      <c r="A946" s="13" t="s">
        <v>3567</v>
      </c>
      <c r="B946" s="13" t="s">
        <v>6212</v>
      </c>
      <c r="C946" s="13" t="s">
        <v>6213</v>
      </c>
      <c r="D946" s="13" t="s">
        <v>6214</v>
      </c>
      <c r="E946" s="13" t="s">
        <v>6215</v>
      </c>
      <c r="F946" s="13" t="s">
        <v>6216</v>
      </c>
      <c r="G946" s="14" t="s">
        <v>10054</v>
      </c>
    </row>
    <row r="947">
      <c r="A947" s="13" t="s">
        <v>3571</v>
      </c>
      <c r="B947" s="13" t="s">
        <v>10055</v>
      </c>
      <c r="C947" s="13" t="s">
        <v>10056</v>
      </c>
      <c r="D947" s="13" t="s">
        <v>10057</v>
      </c>
      <c r="E947" s="13" t="s">
        <v>10058</v>
      </c>
      <c r="F947" s="13" t="s">
        <v>10059</v>
      </c>
      <c r="G947" s="14" t="s">
        <v>10060</v>
      </c>
    </row>
    <row r="948">
      <c r="A948" s="13" t="s">
        <v>3575</v>
      </c>
      <c r="B948" s="13" t="s">
        <v>10061</v>
      </c>
      <c r="C948" s="13" t="s">
        <v>10062</v>
      </c>
      <c r="D948" s="13" t="s">
        <v>10063</v>
      </c>
      <c r="E948" s="13" t="s">
        <v>10064</v>
      </c>
      <c r="F948" s="13" t="s">
        <v>10065</v>
      </c>
      <c r="G948" s="14" t="s">
        <v>10066</v>
      </c>
    </row>
    <row r="949">
      <c r="A949" s="13" t="s">
        <v>3579</v>
      </c>
      <c r="B949" s="13" t="s">
        <v>10067</v>
      </c>
      <c r="C949" s="13" t="s">
        <v>10068</v>
      </c>
      <c r="D949" s="13" t="s">
        <v>10069</v>
      </c>
      <c r="E949" s="13" t="s">
        <v>10070</v>
      </c>
      <c r="F949" s="13" t="s">
        <v>10071</v>
      </c>
      <c r="G949" s="14" t="s">
        <v>10072</v>
      </c>
    </row>
    <row r="950">
      <c r="A950" s="13" t="s">
        <v>3583</v>
      </c>
      <c r="B950" s="13" t="s">
        <v>10073</v>
      </c>
      <c r="C950" s="13" t="s">
        <v>10074</v>
      </c>
      <c r="D950" s="13" t="s">
        <v>10075</v>
      </c>
      <c r="E950" s="13" t="s">
        <v>10076</v>
      </c>
      <c r="F950" s="13" t="s">
        <v>10077</v>
      </c>
      <c r="G950" s="14" t="s">
        <v>10078</v>
      </c>
    </row>
    <row r="951">
      <c r="A951" s="13" t="s">
        <v>3588</v>
      </c>
      <c r="B951" s="13" t="s">
        <v>10079</v>
      </c>
      <c r="C951" s="13" t="s">
        <v>10080</v>
      </c>
      <c r="D951" s="13" t="s">
        <v>10081</v>
      </c>
      <c r="E951" s="13" t="s">
        <v>10082</v>
      </c>
      <c r="F951" s="13" t="s">
        <v>10083</v>
      </c>
      <c r="G951" s="14" t="s">
        <v>10084</v>
      </c>
    </row>
    <row r="952">
      <c r="A952" s="13" t="s">
        <v>3593</v>
      </c>
      <c r="B952" s="13" t="s">
        <v>10085</v>
      </c>
      <c r="C952" s="13" t="s">
        <v>10086</v>
      </c>
      <c r="D952" s="13" t="s">
        <v>10087</v>
      </c>
      <c r="E952" s="13" t="s">
        <v>10088</v>
      </c>
      <c r="F952" s="13" t="s">
        <v>10089</v>
      </c>
      <c r="G952" s="14" t="s">
        <v>10090</v>
      </c>
    </row>
    <row r="953">
      <c r="A953" s="13" t="s">
        <v>3597</v>
      </c>
      <c r="B953" s="13" t="s">
        <v>10091</v>
      </c>
      <c r="C953" s="13" t="s">
        <v>10092</v>
      </c>
      <c r="D953" s="13" t="s">
        <v>10093</v>
      </c>
      <c r="E953" s="13" t="s">
        <v>10094</v>
      </c>
      <c r="F953" s="13" t="s">
        <v>10095</v>
      </c>
      <c r="G953" s="14" t="s">
        <v>10096</v>
      </c>
    </row>
    <row r="954">
      <c r="A954" s="13" t="s">
        <v>3601</v>
      </c>
      <c r="B954" s="13" t="s">
        <v>10097</v>
      </c>
      <c r="C954" s="13" t="s">
        <v>10098</v>
      </c>
      <c r="D954" s="13" t="s">
        <v>10099</v>
      </c>
      <c r="E954" s="13" t="s">
        <v>10100</v>
      </c>
      <c r="F954" s="13" t="s">
        <v>10101</v>
      </c>
      <c r="G954" s="14" t="s">
        <v>10102</v>
      </c>
    </row>
    <row r="955">
      <c r="A955" s="13" t="s">
        <v>280</v>
      </c>
      <c r="B955" s="13" t="s">
        <v>6018</v>
      </c>
      <c r="C955" s="13" t="s">
        <v>6019</v>
      </c>
      <c r="D955" s="13" t="s">
        <v>6020</v>
      </c>
      <c r="E955" s="13" t="s">
        <v>6021</v>
      </c>
      <c r="F955" s="13" t="s">
        <v>6022</v>
      </c>
      <c r="G955" s="14" t="s">
        <v>10103</v>
      </c>
    </row>
    <row r="956">
      <c r="A956" s="13" t="s">
        <v>3607</v>
      </c>
      <c r="B956" s="13" t="s">
        <v>10104</v>
      </c>
      <c r="C956" s="13" t="s">
        <v>10105</v>
      </c>
      <c r="D956" s="13" t="s">
        <v>10106</v>
      </c>
      <c r="E956" s="13" t="s">
        <v>10107</v>
      </c>
      <c r="F956" s="13" t="s">
        <v>10108</v>
      </c>
      <c r="G956" s="14" t="s">
        <v>10109</v>
      </c>
    </row>
    <row r="957">
      <c r="A957" s="13" t="s">
        <v>3611</v>
      </c>
      <c r="B957" s="13" t="s">
        <v>10110</v>
      </c>
      <c r="C957" s="13" t="s">
        <v>10111</v>
      </c>
      <c r="D957" s="13" t="s">
        <v>10112</v>
      </c>
      <c r="E957" s="13" t="s">
        <v>10113</v>
      </c>
      <c r="F957" s="13" t="s">
        <v>10114</v>
      </c>
      <c r="G957" s="14" t="s">
        <v>10115</v>
      </c>
    </row>
    <row r="958">
      <c r="A958" s="13" t="s">
        <v>3615</v>
      </c>
      <c r="B958" s="13" t="s">
        <v>10116</v>
      </c>
      <c r="C958" s="13" t="s">
        <v>10117</v>
      </c>
      <c r="D958" s="13" t="s">
        <v>10118</v>
      </c>
      <c r="E958" s="13" t="s">
        <v>10119</v>
      </c>
      <c r="F958" s="13" t="s">
        <v>10120</v>
      </c>
      <c r="G958" s="14" t="s">
        <v>8637</v>
      </c>
    </row>
    <row r="959">
      <c r="A959" s="13" t="s">
        <v>309</v>
      </c>
      <c r="B959" s="13" t="s">
        <v>6055</v>
      </c>
      <c r="C959" s="13" t="s">
        <v>6056</v>
      </c>
      <c r="D959" s="13" t="s">
        <v>6057</v>
      </c>
      <c r="E959" s="13" t="s">
        <v>6058</v>
      </c>
      <c r="F959" s="13" t="s">
        <v>6059</v>
      </c>
      <c r="G959" s="14" t="s">
        <v>10121</v>
      </c>
    </row>
    <row r="960">
      <c r="A960" s="13" t="s">
        <v>3620</v>
      </c>
      <c r="B960" s="13" t="s">
        <v>10122</v>
      </c>
      <c r="C960" s="13" t="s">
        <v>10123</v>
      </c>
      <c r="D960" s="13" t="s">
        <v>10124</v>
      </c>
      <c r="E960" s="13" t="s">
        <v>10125</v>
      </c>
      <c r="F960" s="13" t="s">
        <v>10126</v>
      </c>
      <c r="G960" s="14" t="s">
        <v>10127</v>
      </c>
    </row>
    <row r="961">
      <c r="A961" s="13" t="s">
        <v>2153</v>
      </c>
      <c r="B961" s="13" t="s">
        <v>7664</v>
      </c>
      <c r="C961" s="13" t="s">
        <v>7665</v>
      </c>
      <c r="D961" s="13" t="s">
        <v>7666</v>
      </c>
      <c r="E961" s="13" t="s">
        <v>7667</v>
      </c>
      <c r="F961" s="13" t="s">
        <v>7668</v>
      </c>
      <c r="G961" s="14" t="s">
        <v>10128</v>
      </c>
    </row>
    <row r="962">
      <c r="A962" s="13" t="s">
        <v>3625</v>
      </c>
      <c r="B962" s="13" t="s">
        <v>10129</v>
      </c>
      <c r="C962" s="13" t="s">
        <v>10130</v>
      </c>
      <c r="D962" s="13" t="s">
        <v>10131</v>
      </c>
      <c r="E962" s="13" t="s">
        <v>10132</v>
      </c>
      <c r="F962" s="13" t="s">
        <v>10133</v>
      </c>
      <c r="G962" s="14" t="s">
        <v>10134</v>
      </c>
    </row>
    <row r="963">
      <c r="A963" s="13" t="s">
        <v>3629</v>
      </c>
      <c r="B963" s="13" t="s">
        <v>10135</v>
      </c>
      <c r="C963" s="13" t="s">
        <v>10136</v>
      </c>
      <c r="D963" s="13" t="s">
        <v>10137</v>
      </c>
      <c r="E963" s="13" t="s">
        <v>10138</v>
      </c>
      <c r="F963" s="13" t="s">
        <v>10139</v>
      </c>
      <c r="G963" s="14" t="s">
        <v>10140</v>
      </c>
    </row>
    <row r="964">
      <c r="A964" s="13" t="s">
        <v>2138</v>
      </c>
      <c r="B964" s="13" t="s">
        <v>8137</v>
      </c>
      <c r="C964" s="13" t="s">
        <v>8138</v>
      </c>
      <c r="D964" s="13" t="s">
        <v>8139</v>
      </c>
      <c r="E964" s="13" t="s">
        <v>8140</v>
      </c>
      <c r="F964" s="13" t="s">
        <v>10141</v>
      </c>
      <c r="G964" s="14" t="s">
        <v>10142</v>
      </c>
    </row>
    <row r="965">
      <c r="A965" s="13" t="s">
        <v>3634</v>
      </c>
      <c r="B965" s="13" t="s">
        <v>10143</v>
      </c>
      <c r="C965" s="13" t="s">
        <v>10144</v>
      </c>
      <c r="D965" s="13" t="s">
        <v>10145</v>
      </c>
      <c r="E965" s="13" t="s">
        <v>10146</v>
      </c>
      <c r="F965" s="13" t="s">
        <v>10147</v>
      </c>
      <c r="G965" s="14" t="s">
        <v>10148</v>
      </c>
    </row>
    <row r="966">
      <c r="A966" s="13" t="s">
        <v>3638</v>
      </c>
      <c r="B966" s="13" t="s">
        <v>10149</v>
      </c>
      <c r="C966" s="13" t="s">
        <v>10150</v>
      </c>
      <c r="D966" s="13" t="s">
        <v>10151</v>
      </c>
      <c r="E966" s="13" t="s">
        <v>10152</v>
      </c>
      <c r="F966" s="13" t="s">
        <v>10153</v>
      </c>
      <c r="G966" s="14" t="s">
        <v>10154</v>
      </c>
    </row>
    <row r="967">
      <c r="A967" s="13" t="s">
        <v>3642</v>
      </c>
      <c r="B967" s="13" t="s">
        <v>10155</v>
      </c>
      <c r="C967" s="13" t="s">
        <v>10156</v>
      </c>
      <c r="D967" s="13" t="s">
        <v>10157</v>
      </c>
      <c r="E967" s="13" t="s">
        <v>10158</v>
      </c>
      <c r="F967" s="13" t="s">
        <v>10159</v>
      </c>
      <c r="G967" s="14" t="s">
        <v>10160</v>
      </c>
    </row>
    <row r="968">
      <c r="A968" s="13" t="s">
        <v>3646</v>
      </c>
      <c r="B968" s="13" t="s">
        <v>10161</v>
      </c>
      <c r="C968" s="13" t="s">
        <v>10162</v>
      </c>
      <c r="D968" s="13" t="s">
        <v>10163</v>
      </c>
      <c r="E968" s="13" t="s">
        <v>10164</v>
      </c>
      <c r="F968" s="13" t="s">
        <v>10165</v>
      </c>
      <c r="G968" s="14" t="s">
        <v>10166</v>
      </c>
    </row>
    <row r="969">
      <c r="A969" s="13" t="s">
        <v>3650</v>
      </c>
      <c r="B969" s="13" t="s">
        <v>10167</v>
      </c>
      <c r="C969" s="13" t="s">
        <v>10168</v>
      </c>
      <c r="D969" s="13" t="s">
        <v>10169</v>
      </c>
      <c r="E969" s="13" t="s">
        <v>10170</v>
      </c>
      <c r="F969" s="13" t="s">
        <v>10171</v>
      </c>
      <c r="G969" s="14" t="s">
        <v>10172</v>
      </c>
    </row>
    <row r="970">
      <c r="A970" s="13" t="s">
        <v>288</v>
      </c>
      <c r="B970" s="13" t="s">
        <v>6025</v>
      </c>
      <c r="C970" s="13" t="s">
        <v>6026</v>
      </c>
      <c r="D970" s="13" t="s">
        <v>6027</v>
      </c>
      <c r="E970" s="13" t="s">
        <v>6028</v>
      </c>
      <c r="F970" s="13" t="s">
        <v>6029</v>
      </c>
      <c r="G970" s="14" t="s">
        <v>6030</v>
      </c>
    </row>
    <row r="971">
      <c r="A971" s="13" t="s">
        <v>3655</v>
      </c>
      <c r="B971" s="13" t="s">
        <v>10173</v>
      </c>
      <c r="C971" s="13" t="s">
        <v>10174</v>
      </c>
      <c r="D971" s="13" t="s">
        <v>10175</v>
      </c>
      <c r="E971" s="13" t="s">
        <v>10176</v>
      </c>
      <c r="F971" s="13" t="s">
        <v>10177</v>
      </c>
      <c r="G971" s="14" t="s">
        <v>10178</v>
      </c>
    </row>
    <row r="972">
      <c r="A972" s="13" t="s">
        <v>3659</v>
      </c>
      <c r="B972" s="13" t="s">
        <v>10179</v>
      </c>
      <c r="C972" s="13" t="s">
        <v>10180</v>
      </c>
      <c r="D972" s="13" t="s">
        <v>10181</v>
      </c>
      <c r="E972" s="13" t="s">
        <v>10182</v>
      </c>
      <c r="F972" s="13" t="s">
        <v>10183</v>
      </c>
      <c r="G972" s="14" t="s">
        <v>10184</v>
      </c>
    </row>
    <row r="973">
      <c r="A973" s="13" t="s">
        <v>3664</v>
      </c>
      <c r="B973" s="13" t="s">
        <v>10185</v>
      </c>
      <c r="C973" s="13" t="s">
        <v>10186</v>
      </c>
      <c r="D973" s="13" t="s">
        <v>10187</v>
      </c>
      <c r="E973" s="13" t="s">
        <v>10188</v>
      </c>
      <c r="F973" s="13" t="s">
        <v>10189</v>
      </c>
      <c r="G973" s="14" t="s">
        <v>10190</v>
      </c>
    </row>
    <row r="974">
      <c r="A974" s="13" t="s">
        <v>3668</v>
      </c>
      <c r="B974" s="13" t="s">
        <v>10191</v>
      </c>
      <c r="C974" s="13" t="s">
        <v>10192</v>
      </c>
      <c r="D974" s="13" t="s">
        <v>10193</v>
      </c>
      <c r="E974" s="13" t="s">
        <v>10194</v>
      </c>
      <c r="F974" s="13" t="s">
        <v>10195</v>
      </c>
      <c r="G974" s="14" t="s">
        <v>10196</v>
      </c>
    </row>
    <row r="975">
      <c r="A975" s="13" t="s">
        <v>3672</v>
      </c>
      <c r="B975" s="13" t="s">
        <v>10197</v>
      </c>
      <c r="C975" s="13" t="s">
        <v>10198</v>
      </c>
      <c r="D975" s="13" t="s">
        <v>10199</v>
      </c>
      <c r="E975" s="13" t="s">
        <v>10200</v>
      </c>
      <c r="F975" s="13" t="s">
        <v>10201</v>
      </c>
      <c r="G975" s="14" t="s">
        <v>10202</v>
      </c>
    </row>
    <row r="976">
      <c r="A976" s="13" t="s">
        <v>301</v>
      </c>
      <c r="B976" s="13" t="s">
        <v>6043</v>
      </c>
      <c r="C976" s="13" t="s">
        <v>6044</v>
      </c>
      <c r="D976" s="13" t="s">
        <v>6045</v>
      </c>
      <c r="E976" s="13" t="s">
        <v>6046</v>
      </c>
      <c r="F976" s="13" t="s">
        <v>6047</v>
      </c>
      <c r="G976" s="14" t="s">
        <v>6048</v>
      </c>
    </row>
    <row r="977">
      <c r="A977" s="13" t="s">
        <v>3677</v>
      </c>
      <c r="B977" s="13" t="s">
        <v>10203</v>
      </c>
      <c r="C977" s="13" t="s">
        <v>10204</v>
      </c>
      <c r="D977" s="13" t="s">
        <v>10205</v>
      </c>
      <c r="E977" s="13" t="s">
        <v>10206</v>
      </c>
      <c r="F977" s="13" t="s">
        <v>10207</v>
      </c>
      <c r="G977" s="14" t="s">
        <v>10208</v>
      </c>
    </row>
    <row r="978">
      <c r="A978" s="13" t="s">
        <v>3681</v>
      </c>
      <c r="B978" s="13" t="s">
        <v>10209</v>
      </c>
      <c r="C978" s="13" t="s">
        <v>10210</v>
      </c>
      <c r="D978" s="13" t="s">
        <v>10211</v>
      </c>
      <c r="E978" s="13" t="s">
        <v>10212</v>
      </c>
      <c r="F978" s="13" t="s">
        <v>10213</v>
      </c>
      <c r="G978" s="14" t="s">
        <v>10214</v>
      </c>
    </row>
    <row r="979">
      <c r="A979" s="13" t="s">
        <v>3686</v>
      </c>
      <c r="B979" s="13" t="s">
        <v>10215</v>
      </c>
      <c r="C979" s="13" t="s">
        <v>10216</v>
      </c>
      <c r="D979" s="13" t="s">
        <v>10217</v>
      </c>
      <c r="E979" s="13" t="s">
        <v>10218</v>
      </c>
      <c r="F979" s="13" t="s">
        <v>10219</v>
      </c>
      <c r="G979" s="14" t="s">
        <v>10220</v>
      </c>
    </row>
    <row r="980">
      <c r="A980" s="13" t="s">
        <v>3690</v>
      </c>
      <c r="B980" s="13" t="s">
        <v>10221</v>
      </c>
      <c r="C980" s="13" t="s">
        <v>10222</v>
      </c>
      <c r="D980" s="13" t="s">
        <v>10223</v>
      </c>
      <c r="E980" s="13" t="s">
        <v>10224</v>
      </c>
      <c r="F980" s="13" t="s">
        <v>10225</v>
      </c>
      <c r="G980" s="14" t="s">
        <v>10226</v>
      </c>
    </row>
    <row r="981">
      <c r="A981" s="13" t="s">
        <v>305</v>
      </c>
      <c r="B981" s="13" t="s">
        <v>6049</v>
      </c>
      <c r="C981" s="13" t="s">
        <v>6050</v>
      </c>
      <c r="D981" s="13" t="s">
        <v>6051</v>
      </c>
      <c r="E981" s="13" t="s">
        <v>6052</v>
      </c>
      <c r="F981" s="13" t="s">
        <v>10227</v>
      </c>
      <c r="G981" s="14" t="s">
        <v>10228</v>
      </c>
    </row>
    <row r="982">
      <c r="A982" s="13" t="s">
        <v>3695</v>
      </c>
      <c r="B982" s="13" t="s">
        <v>10229</v>
      </c>
      <c r="C982" s="13" t="s">
        <v>10230</v>
      </c>
      <c r="D982" s="13" t="s">
        <v>10231</v>
      </c>
      <c r="E982" s="13" t="s">
        <v>10232</v>
      </c>
      <c r="F982" s="13" t="s">
        <v>10233</v>
      </c>
      <c r="G982" s="14" t="s">
        <v>10234</v>
      </c>
    </row>
    <row r="983">
      <c r="A983" s="13" t="s">
        <v>3699</v>
      </c>
      <c r="B983" s="13" t="s">
        <v>10235</v>
      </c>
      <c r="C983" s="13" t="s">
        <v>10236</v>
      </c>
      <c r="D983" s="13" t="s">
        <v>10237</v>
      </c>
      <c r="E983" s="13" t="s">
        <v>10238</v>
      </c>
      <c r="F983" s="13" t="s">
        <v>10239</v>
      </c>
      <c r="G983" s="14" t="s">
        <v>10240</v>
      </c>
    </row>
    <row r="984">
      <c r="A984" s="13" t="s">
        <v>3703</v>
      </c>
      <c r="B984" s="13" t="s">
        <v>10241</v>
      </c>
      <c r="C984" s="13" t="s">
        <v>10242</v>
      </c>
      <c r="D984" s="13" t="s">
        <v>10243</v>
      </c>
      <c r="E984" s="13" t="s">
        <v>10244</v>
      </c>
      <c r="F984" s="13" t="s">
        <v>10245</v>
      </c>
      <c r="G984" s="14" t="s">
        <v>10246</v>
      </c>
    </row>
    <row r="985">
      <c r="A985" s="13" t="s">
        <v>317</v>
      </c>
      <c r="B985" s="13" t="s">
        <v>6062</v>
      </c>
      <c r="C985" s="13" t="s">
        <v>6063</v>
      </c>
      <c r="D985" s="13" t="s">
        <v>6064</v>
      </c>
      <c r="E985" s="13" t="s">
        <v>6065</v>
      </c>
      <c r="F985" s="13" t="s">
        <v>6066</v>
      </c>
      <c r="G985" s="14" t="s">
        <v>6067</v>
      </c>
    </row>
    <row r="986">
      <c r="A986" s="13" t="s">
        <v>3709</v>
      </c>
      <c r="B986" s="13" t="s">
        <v>10247</v>
      </c>
      <c r="C986" s="13" t="s">
        <v>10248</v>
      </c>
      <c r="D986" s="13" t="s">
        <v>10249</v>
      </c>
      <c r="E986" s="13" t="s">
        <v>10250</v>
      </c>
      <c r="F986" s="13" t="s">
        <v>10251</v>
      </c>
      <c r="G986" s="14" t="s">
        <v>10252</v>
      </c>
    </row>
    <row r="987">
      <c r="A987" s="13" t="s">
        <v>321</v>
      </c>
      <c r="B987" s="13" t="s">
        <v>6068</v>
      </c>
      <c r="C987" s="13" t="s">
        <v>6069</v>
      </c>
      <c r="D987" s="13" t="s">
        <v>6070</v>
      </c>
      <c r="E987" s="13" t="s">
        <v>6071</v>
      </c>
      <c r="F987" s="13" t="s">
        <v>6072</v>
      </c>
      <c r="G987" s="14" t="s">
        <v>6073</v>
      </c>
    </row>
    <row r="988">
      <c r="A988" s="13" t="s">
        <v>3715</v>
      </c>
      <c r="B988" s="13" t="s">
        <v>10253</v>
      </c>
      <c r="C988" s="13" t="s">
        <v>10254</v>
      </c>
      <c r="D988" s="13" t="s">
        <v>10255</v>
      </c>
      <c r="E988" s="13" t="s">
        <v>10256</v>
      </c>
      <c r="F988" s="13" t="s">
        <v>10257</v>
      </c>
      <c r="G988" s="14" t="s">
        <v>10258</v>
      </c>
    </row>
    <row r="989">
      <c r="A989" s="13" t="s">
        <v>3719</v>
      </c>
      <c r="B989" s="13" t="s">
        <v>10259</v>
      </c>
      <c r="C989" s="13" t="s">
        <v>10260</v>
      </c>
      <c r="D989" s="13" t="s">
        <v>10261</v>
      </c>
      <c r="E989" s="13" t="s">
        <v>10262</v>
      </c>
      <c r="F989" s="13" t="s">
        <v>10263</v>
      </c>
      <c r="G989" s="14" t="s">
        <v>10264</v>
      </c>
    </row>
    <row r="990">
      <c r="A990" s="13" t="s">
        <v>3724</v>
      </c>
      <c r="B990" s="13" t="s">
        <v>10265</v>
      </c>
      <c r="C990" s="13" t="s">
        <v>10266</v>
      </c>
      <c r="D990" s="13" t="s">
        <v>10267</v>
      </c>
      <c r="E990" s="13" t="s">
        <v>10268</v>
      </c>
      <c r="F990" s="13" t="s">
        <v>10269</v>
      </c>
      <c r="G990" s="14" t="s">
        <v>10270</v>
      </c>
    </row>
    <row r="991">
      <c r="A991" s="13" t="s">
        <v>3728</v>
      </c>
      <c r="B991" s="13" t="s">
        <v>10271</v>
      </c>
      <c r="C991" s="13" t="s">
        <v>10272</v>
      </c>
      <c r="D991" s="13" t="s">
        <v>10273</v>
      </c>
      <c r="E991" s="13" t="s">
        <v>10274</v>
      </c>
      <c r="F991" s="13" t="s">
        <v>10275</v>
      </c>
      <c r="G991" s="14" t="s">
        <v>10276</v>
      </c>
    </row>
    <row r="992">
      <c r="A992" s="13" t="s">
        <v>325</v>
      </c>
      <c r="B992" s="13" t="s">
        <v>6074</v>
      </c>
      <c r="C992" s="13" t="s">
        <v>6075</v>
      </c>
      <c r="D992" s="13" t="s">
        <v>6076</v>
      </c>
      <c r="E992" s="13" t="s">
        <v>6077</v>
      </c>
      <c r="F992" s="13" t="s">
        <v>6078</v>
      </c>
      <c r="G992" s="14" t="s">
        <v>10277</v>
      </c>
    </row>
    <row r="993">
      <c r="A993" s="13" t="s">
        <v>3733</v>
      </c>
      <c r="B993" s="13" t="s">
        <v>10278</v>
      </c>
      <c r="C993" s="13" t="s">
        <v>10279</v>
      </c>
      <c r="D993" s="13" t="s">
        <v>10280</v>
      </c>
      <c r="E993" s="13" t="s">
        <v>10281</v>
      </c>
      <c r="F993" s="13" t="s">
        <v>10282</v>
      </c>
      <c r="G993" s="14" t="s">
        <v>10283</v>
      </c>
    </row>
    <row r="994">
      <c r="A994" s="13" t="s">
        <v>329</v>
      </c>
      <c r="B994" s="13" t="s">
        <v>6080</v>
      </c>
      <c r="C994" s="13" t="s">
        <v>6081</v>
      </c>
      <c r="D994" s="13" t="s">
        <v>6082</v>
      </c>
      <c r="E994" s="13" t="s">
        <v>6083</v>
      </c>
      <c r="F994" s="13" t="s">
        <v>6084</v>
      </c>
      <c r="G994" s="14" t="s">
        <v>10284</v>
      </c>
    </row>
    <row r="995">
      <c r="A995" s="13" t="s">
        <v>3738</v>
      </c>
      <c r="B995" s="13" t="s">
        <v>10285</v>
      </c>
      <c r="C995" s="13" t="s">
        <v>10286</v>
      </c>
      <c r="D995" s="13" t="s">
        <v>10287</v>
      </c>
      <c r="E995" s="13" t="s">
        <v>10288</v>
      </c>
      <c r="F995" s="13" t="s">
        <v>10289</v>
      </c>
      <c r="G995" s="14" t="s">
        <v>10290</v>
      </c>
    </row>
    <row r="996">
      <c r="A996" s="13" t="s">
        <v>3743</v>
      </c>
      <c r="B996" s="13" t="s">
        <v>10291</v>
      </c>
      <c r="C996" s="13" t="s">
        <v>10292</v>
      </c>
      <c r="D996" s="13" t="s">
        <v>10293</v>
      </c>
      <c r="E996" s="13" t="s">
        <v>10294</v>
      </c>
      <c r="F996" s="13" t="s">
        <v>10295</v>
      </c>
      <c r="G996" s="14" t="s">
        <v>10296</v>
      </c>
    </row>
    <row r="997">
      <c r="A997" s="13" t="s">
        <v>3747</v>
      </c>
      <c r="B997" s="13" t="s">
        <v>10297</v>
      </c>
      <c r="C997" s="13" t="s">
        <v>10298</v>
      </c>
      <c r="D997" s="13" t="s">
        <v>10299</v>
      </c>
      <c r="E997" s="13" t="s">
        <v>10300</v>
      </c>
      <c r="F997" s="13" t="s">
        <v>10301</v>
      </c>
      <c r="G997" s="14" t="s">
        <v>10302</v>
      </c>
    </row>
    <row r="998">
      <c r="A998" s="13" t="s">
        <v>3751</v>
      </c>
      <c r="B998" s="13" t="s">
        <v>10303</v>
      </c>
      <c r="C998" s="13" t="s">
        <v>10304</v>
      </c>
      <c r="D998" s="13" t="s">
        <v>10305</v>
      </c>
      <c r="E998" s="13" t="s">
        <v>10306</v>
      </c>
      <c r="F998" s="13" t="s">
        <v>10307</v>
      </c>
      <c r="G998" s="14" t="s">
        <v>10308</v>
      </c>
    </row>
    <row r="999">
      <c r="A999" s="13" t="s">
        <v>3755</v>
      </c>
      <c r="B999" s="13" t="s">
        <v>10309</v>
      </c>
      <c r="C999" s="13" t="s">
        <v>10310</v>
      </c>
      <c r="D999" s="13" t="s">
        <v>10311</v>
      </c>
      <c r="E999" s="13" t="s">
        <v>10312</v>
      </c>
      <c r="F999" s="13" t="s">
        <v>10313</v>
      </c>
      <c r="G999" s="14" t="s">
        <v>10314</v>
      </c>
    </row>
    <row r="1000">
      <c r="A1000" s="13" t="s">
        <v>3758</v>
      </c>
      <c r="B1000" s="13" t="s">
        <v>10315</v>
      </c>
      <c r="C1000" s="13" t="s">
        <v>10316</v>
      </c>
      <c r="D1000" s="13" t="s">
        <v>10317</v>
      </c>
      <c r="E1000" s="13" t="s">
        <v>10318</v>
      </c>
      <c r="F1000" s="13" t="s">
        <v>10319</v>
      </c>
      <c r="G1000" s="14" t="s">
        <v>10320</v>
      </c>
    </row>
    <row r="1001">
      <c r="A1001" s="13" t="s">
        <v>3762</v>
      </c>
      <c r="B1001" s="13" t="s">
        <v>10321</v>
      </c>
      <c r="C1001" s="13" t="s">
        <v>10322</v>
      </c>
      <c r="D1001" s="13" t="s">
        <v>10323</v>
      </c>
      <c r="E1001" s="13" t="s">
        <v>10324</v>
      </c>
      <c r="F1001" s="13" t="s">
        <v>10325</v>
      </c>
      <c r="G1001" s="14" t="s">
        <v>10326</v>
      </c>
    </row>
    <row r="1002">
      <c r="A1002" s="13" t="s">
        <v>337</v>
      </c>
      <c r="B1002" s="13" t="s">
        <v>6092</v>
      </c>
      <c r="C1002" s="13" t="s">
        <v>6093</v>
      </c>
      <c r="D1002" s="13" t="s">
        <v>6094</v>
      </c>
      <c r="E1002" s="13" t="s">
        <v>6095</v>
      </c>
      <c r="F1002" s="13" t="s">
        <v>6096</v>
      </c>
      <c r="G1002" s="14" t="s">
        <v>6097</v>
      </c>
    </row>
    <row r="1003">
      <c r="A1003" s="13" t="s">
        <v>3767</v>
      </c>
      <c r="B1003" s="13" t="s">
        <v>10327</v>
      </c>
      <c r="C1003" s="13" t="s">
        <v>10328</v>
      </c>
      <c r="D1003" s="13" t="s">
        <v>10329</v>
      </c>
      <c r="E1003" s="13" t="s">
        <v>10330</v>
      </c>
      <c r="F1003" s="13" t="s">
        <v>10331</v>
      </c>
      <c r="G1003" s="14" t="s">
        <v>10332</v>
      </c>
    </row>
    <row r="1004">
      <c r="A1004" s="13" t="s">
        <v>3771</v>
      </c>
      <c r="B1004" s="13" t="s">
        <v>10333</v>
      </c>
      <c r="C1004" s="13" t="s">
        <v>10334</v>
      </c>
      <c r="D1004" s="13" t="s">
        <v>10335</v>
      </c>
      <c r="E1004" s="13" t="s">
        <v>10336</v>
      </c>
      <c r="F1004" s="13" t="s">
        <v>10337</v>
      </c>
      <c r="G1004" s="14" t="s">
        <v>10338</v>
      </c>
    </row>
    <row r="1005">
      <c r="A1005" s="13" t="s">
        <v>3775</v>
      </c>
      <c r="B1005" s="13" t="s">
        <v>10339</v>
      </c>
      <c r="C1005" s="13" t="s">
        <v>10340</v>
      </c>
      <c r="D1005" s="13" t="s">
        <v>10341</v>
      </c>
      <c r="E1005" s="13" t="s">
        <v>10342</v>
      </c>
      <c r="F1005" s="13" t="s">
        <v>10343</v>
      </c>
      <c r="G1005" s="14" t="s">
        <v>10344</v>
      </c>
    </row>
    <row r="1006">
      <c r="A1006" s="13" t="s">
        <v>3779</v>
      </c>
      <c r="B1006" s="13" t="s">
        <v>10345</v>
      </c>
      <c r="C1006" s="13" t="s">
        <v>10346</v>
      </c>
      <c r="D1006" s="13" t="s">
        <v>10347</v>
      </c>
      <c r="E1006" s="13" t="s">
        <v>10348</v>
      </c>
      <c r="F1006" s="13" t="s">
        <v>10349</v>
      </c>
      <c r="G1006" s="14" t="s">
        <v>10350</v>
      </c>
    </row>
    <row r="1007">
      <c r="A1007" s="13" t="s">
        <v>3783</v>
      </c>
      <c r="B1007" s="13" t="s">
        <v>10351</v>
      </c>
      <c r="C1007" s="13" t="s">
        <v>10352</v>
      </c>
      <c r="D1007" s="13" t="s">
        <v>10353</v>
      </c>
      <c r="E1007" s="13" t="s">
        <v>10354</v>
      </c>
      <c r="F1007" s="13" t="s">
        <v>10355</v>
      </c>
      <c r="G1007" s="14" t="s">
        <v>10356</v>
      </c>
    </row>
    <row r="1008">
      <c r="A1008" s="13" t="s">
        <v>3788</v>
      </c>
      <c r="B1008" s="13" t="s">
        <v>10357</v>
      </c>
      <c r="C1008" s="13" t="s">
        <v>10358</v>
      </c>
      <c r="D1008" s="13" t="s">
        <v>10359</v>
      </c>
      <c r="E1008" s="13" t="s">
        <v>10360</v>
      </c>
      <c r="F1008" s="13" t="s">
        <v>10361</v>
      </c>
      <c r="G1008" s="14" t="s">
        <v>10362</v>
      </c>
    </row>
    <row r="1009">
      <c r="A1009" s="13" t="s">
        <v>2202</v>
      </c>
      <c r="B1009" s="13" t="s">
        <v>8204</v>
      </c>
      <c r="C1009" s="13" t="s">
        <v>8205</v>
      </c>
      <c r="D1009" s="13" t="s">
        <v>8206</v>
      </c>
      <c r="E1009" s="13" t="s">
        <v>8207</v>
      </c>
      <c r="F1009" s="13" t="s">
        <v>8208</v>
      </c>
      <c r="G1009" s="14" t="s">
        <v>10363</v>
      </c>
    </row>
    <row r="1010">
      <c r="A1010" s="13" t="s">
        <v>3794</v>
      </c>
      <c r="B1010" s="13" t="s">
        <v>10364</v>
      </c>
      <c r="C1010" s="13" t="s">
        <v>10365</v>
      </c>
      <c r="D1010" s="13" t="s">
        <v>10366</v>
      </c>
      <c r="E1010" s="13" t="s">
        <v>10367</v>
      </c>
      <c r="F1010" s="13" t="s">
        <v>10368</v>
      </c>
      <c r="G1010" s="14" t="s">
        <v>10369</v>
      </c>
    </row>
    <row r="1011">
      <c r="A1011" s="13" t="s">
        <v>3798</v>
      </c>
      <c r="B1011" s="13" t="s">
        <v>10370</v>
      </c>
      <c r="C1011" s="13" t="s">
        <v>10371</v>
      </c>
      <c r="D1011" s="13" t="s">
        <v>10372</v>
      </c>
      <c r="E1011" s="13" t="s">
        <v>10373</v>
      </c>
      <c r="F1011" s="13" t="s">
        <v>10374</v>
      </c>
      <c r="G1011" s="14" t="s">
        <v>10375</v>
      </c>
    </row>
    <row r="1012">
      <c r="A1012" s="13" t="s">
        <v>361</v>
      </c>
      <c r="B1012" s="13" t="s">
        <v>6120</v>
      </c>
      <c r="C1012" s="13" t="s">
        <v>6121</v>
      </c>
      <c r="D1012" s="13" t="s">
        <v>6122</v>
      </c>
      <c r="E1012" s="13" t="s">
        <v>6123</v>
      </c>
      <c r="F1012" s="13" t="s">
        <v>6124</v>
      </c>
      <c r="G1012" s="14" t="s">
        <v>10376</v>
      </c>
    </row>
    <row r="1013">
      <c r="A1013" s="13" t="s">
        <v>3803</v>
      </c>
      <c r="B1013" s="13" t="s">
        <v>10377</v>
      </c>
      <c r="C1013" s="13" t="s">
        <v>10378</v>
      </c>
      <c r="D1013" s="13" t="s">
        <v>10379</v>
      </c>
      <c r="E1013" s="13" t="s">
        <v>10380</v>
      </c>
      <c r="F1013" s="13" t="s">
        <v>10381</v>
      </c>
      <c r="G1013" s="14" t="s">
        <v>10382</v>
      </c>
    </row>
    <row r="1014">
      <c r="A1014" s="13" t="s">
        <v>3807</v>
      </c>
      <c r="B1014" s="13" t="s">
        <v>10383</v>
      </c>
      <c r="C1014" s="13" t="s">
        <v>10384</v>
      </c>
      <c r="D1014" s="13" t="s">
        <v>10385</v>
      </c>
      <c r="E1014" s="13" t="s">
        <v>10386</v>
      </c>
      <c r="F1014" s="13" t="s">
        <v>10387</v>
      </c>
      <c r="G1014" s="14" t="s">
        <v>10388</v>
      </c>
    </row>
    <row r="1015">
      <c r="A1015" s="13" t="s">
        <v>3811</v>
      </c>
      <c r="B1015" s="13" t="s">
        <v>10389</v>
      </c>
      <c r="C1015" s="13" t="s">
        <v>10390</v>
      </c>
      <c r="D1015" s="13" t="s">
        <v>10391</v>
      </c>
      <c r="E1015" s="13" t="s">
        <v>10392</v>
      </c>
      <c r="F1015" s="13" t="s">
        <v>10393</v>
      </c>
      <c r="G1015" s="14" t="s">
        <v>10394</v>
      </c>
    </row>
    <row r="1016">
      <c r="A1016" s="13" t="s">
        <v>3815</v>
      </c>
      <c r="B1016" s="13" t="s">
        <v>10395</v>
      </c>
      <c r="C1016" s="13" t="s">
        <v>10396</v>
      </c>
      <c r="D1016" s="13" t="s">
        <v>10397</v>
      </c>
      <c r="E1016" s="13" t="s">
        <v>10398</v>
      </c>
      <c r="F1016" s="13" t="s">
        <v>10399</v>
      </c>
      <c r="G1016" s="14" t="s">
        <v>10400</v>
      </c>
    </row>
    <row r="1017">
      <c r="A1017" s="13" t="s">
        <v>3820</v>
      </c>
      <c r="B1017" s="13" t="s">
        <v>10401</v>
      </c>
      <c r="C1017" s="13" t="s">
        <v>10402</v>
      </c>
      <c r="D1017" s="13" t="s">
        <v>10403</v>
      </c>
      <c r="E1017" s="13" t="s">
        <v>10404</v>
      </c>
      <c r="F1017" s="13" t="s">
        <v>10405</v>
      </c>
      <c r="G1017" s="14" t="s">
        <v>10406</v>
      </c>
    </row>
    <row r="1018">
      <c r="A1018" s="13" t="s">
        <v>3824</v>
      </c>
      <c r="B1018" s="13" t="s">
        <v>10407</v>
      </c>
      <c r="C1018" s="13" t="s">
        <v>10408</v>
      </c>
      <c r="D1018" s="13" t="s">
        <v>10409</v>
      </c>
      <c r="E1018" s="13" t="s">
        <v>10410</v>
      </c>
      <c r="F1018" s="13" t="s">
        <v>10411</v>
      </c>
      <c r="G1018" s="14" t="s">
        <v>10412</v>
      </c>
    </row>
    <row r="1019">
      <c r="A1019" s="13" t="s">
        <v>2249</v>
      </c>
      <c r="B1019" s="13" t="s">
        <v>8261</v>
      </c>
      <c r="C1019" s="13" t="s">
        <v>8262</v>
      </c>
      <c r="D1019" s="13" t="s">
        <v>8263</v>
      </c>
      <c r="E1019" s="13" t="s">
        <v>8264</v>
      </c>
      <c r="F1019" s="13" t="s">
        <v>8265</v>
      </c>
      <c r="G1019" s="14" t="s">
        <v>10413</v>
      </c>
    </row>
    <row r="1020">
      <c r="A1020" s="13" t="s">
        <v>377</v>
      </c>
      <c r="B1020" s="13" t="s">
        <v>6129</v>
      </c>
      <c r="C1020" s="13" t="s">
        <v>6130</v>
      </c>
      <c r="D1020" s="13" t="s">
        <v>6131</v>
      </c>
      <c r="E1020" s="13" t="s">
        <v>6132</v>
      </c>
      <c r="F1020" s="13" t="s">
        <v>6133</v>
      </c>
      <c r="G1020" s="14" t="s">
        <v>6134</v>
      </c>
    </row>
    <row r="1021">
      <c r="A1021" s="13" t="s">
        <v>384</v>
      </c>
      <c r="B1021" s="13" t="s">
        <v>6137</v>
      </c>
      <c r="C1021" s="13" t="s">
        <v>6138</v>
      </c>
      <c r="D1021" s="13" t="s">
        <v>6139</v>
      </c>
      <c r="E1021" s="13" t="s">
        <v>6140</v>
      </c>
      <c r="F1021" s="13" t="s">
        <v>6141</v>
      </c>
      <c r="G1021" s="14" t="s">
        <v>10414</v>
      </c>
    </row>
    <row r="1022">
      <c r="A1022" s="13" t="s">
        <v>3831</v>
      </c>
      <c r="B1022" s="13" t="s">
        <v>10415</v>
      </c>
      <c r="C1022" s="13" t="s">
        <v>10416</v>
      </c>
      <c r="D1022" s="13" t="s">
        <v>10417</v>
      </c>
      <c r="E1022" s="13" t="s">
        <v>10418</v>
      </c>
      <c r="F1022" s="13" t="s">
        <v>10419</v>
      </c>
      <c r="G1022" s="14" t="s">
        <v>10420</v>
      </c>
    </row>
    <row r="1023">
      <c r="A1023" s="13" t="s">
        <v>3835</v>
      </c>
      <c r="B1023" s="13" t="s">
        <v>10421</v>
      </c>
      <c r="C1023" s="13" t="s">
        <v>10422</v>
      </c>
      <c r="D1023" s="13" t="s">
        <v>10423</v>
      </c>
      <c r="E1023" s="13" t="s">
        <v>10424</v>
      </c>
      <c r="F1023" s="13" t="s">
        <v>10425</v>
      </c>
      <c r="G1023" s="14" t="s">
        <v>10426</v>
      </c>
    </row>
    <row r="1024">
      <c r="A1024" s="13" t="s">
        <v>3839</v>
      </c>
      <c r="B1024" s="13" t="s">
        <v>10427</v>
      </c>
      <c r="C1024" s="13" t="s">
        <v>10428</v>
      </c>
      <c r="D1024" s="13" t="s">
        <v>10429</v>
      </c>
      <c r="E1024" s="13" t="s">
        <v>10430</v>
      </c>
      <c r="F1024" s="13" t="s">
        <v>10431</v>
      </c>
      <c r="G1024" s="14" t="s">
        <v>10432</v>
      </c>
    </row>
    <row r="1025">
      <c r="A1025" s="13" t="s">
        <v>3844</v>
      </c>
      <c r="B1025" s="13" t="s">
        <v>10433</v>
      </c>
      <c r="C1025" s="13" t="s">
        <v>10434</v>
      </c>
      <c r="D1025" s="13" t="s">
        <v>10435</v>
      </c>
      <c r="E1025" s="13" t="s">
        <v>10436</v>
      </c>
      <c r="F1025" s="13" t="s">
        <v>10437</v>
      </c>
      <c r="G1025" s="14" t="s">
        <v>10438</v>
      </c>
    </row>
    <row r="1026">
      <c r="A1026" s="13" t="s">
        <v>3849</v>
      </c>
      <c r="B1026" s="13" t="s">
        <v>10439</v>
      </c>
      <c r="C1026" s="13" t="s">
        <v>10440</v>
      </c>
      <c r="D1026" s="13" t="s">
        <v>10441</v>
      </c>
      <c r="E1026" s="13" t="s">
        <v>10442</v>
      </c>
      <c r="F1026" s="13" t="s">
        <v>10443</v>
      </c>
      <c r="G1026" s="14" t="s">
        <v>10444</v>
      </c>
    </row>
    <row r="1027">
      <c r="A1027" s="13" t="s">
        <v>3854</v>
      </c>
      <c r="B1027" s="13" t="s">
        <v>10445</v>
      </c>
      <c r="C1027" s="13" t="s">
        <v>10446</v>
      </c>
      <c r="D1027" s="13" t="s">
        <v>10447</v>
      </c>
      <c r="E1027" s="13" t="s">
        <v>10448</v>
      </c>
      <c r="F1027" s="13" t="s">
        <v>10449</v>
      </c>
      <c r="G1027" s="14" t="s">
        <v>10450</v>
      </c>
    </row>
    <row r="1028">
      <c r="A1028" s="13" t="s">
        <v>3859</v>
      </c>
      <c r="B1028" s="13" t="s">
        <v>10451</v>
      </c>
      <c r="C1028" s="13" t="s">
        <v>10452</v>
      </c>
      <c r="D1028" s="13" t="s">
        <v>10453</v>
      </c>
      <c r="E1028" s="13" t="s">
        <v>10454</v>
      </c>
      <c r="F1028" s="13" t="s">
        <v>10455</v>
      </c>
      <c r="G1028" s="14" t="s">
        <v>10456</v>
      </c>
    </row>
    <row r="1029">
      <c r="A1029" s="13" t="s">
        <v>3864</v>
      </c>
      <c r="B1029" s="13" t="s">
        <v>10457</v>
      </c>
      <c r="C1029" s="13" t="s">
        <v>10458</v>
      </c>
      <c r="D1029" s="13" t="s">
        <v>10459</v>
      </c>
      <c r="E1029" s="13" t="s">
        <v>10460</v>
      </c>
      <c r="F1029" s="13" t="s">
        <v>10461</v>
      </c>
      <c r="G1029" s="14" t="s">
        <v>10462</v>
      </c>
    </row>
    <row r="1030">
      <c r="A1030" s="13" t="s">
        <v>3868</v>
      </c>
      <c r="B1030" s="13" t="s">
        <v>10463</v>
      </c>
      <c r="C1030" s="13" t="s">
        <v>10464</v>
      </c>
      <c r="D1030" s="13" t="s">
        <v>10465</v>
      </c>
      <c r="E1030" s="13" t="s">
        <v>10466</v>
      </c>
      <c r="F1030" s="13" t="s">
        <v>10467</v>
      </c>
      <c r="G1030" s="14" t="s">
        <v>10468</v>
      </c>
    </row>
    <row r="1031">
      <c r="A1031" s="13" t="s">
        <v>3873</v>
      </c>
      <c r="B1031" s="13" t="s">
        <v>10469</v>
      </c>
      <c r="C1031" s="13" t="s">
        <v>10470</v>
      </c>
      <c r="D1031" s="13" t="s">
        <v>10471</v>
      </c>
      <c r="E1031" s="13" t="s">
        <v>10472</v>
      </c>
      <c r="F1031" s="13" t="s">
        <v>10473</v>
      </c>
      <c r="G1031" s="14" t="s">
        <v>10474</v>
      </c>
    </row>
    <row r="1032">
      <c r="A1032" s="13" t="s">
        <v>3877</v>
      </c>
      <c r="B1032" s="13" t="s">
        <v>10475</v>
      </c>
      <c r="C1032" s="13" t="s">
        <v>10476</v>
      </c>
      <c r="D1032" s="13" t="s">
        <v>10477</v>
      </c>
      <c r="E1032" s="13" t="s">
        <v>10478</v>
      </c>
      <c r="F1032" s="13" t="s">
        <v>10479</v>
      </c>
      <c r="G1032" s="14" t="s">
        <v>10480</v>
      </c>
    </row>
    <row r="1033">
      <c r="A1033" s="13" t="s">
        <v>3881</v>
      </c>
      <c r="B1033" s="13" t="s">
        <v>10481</v>
      </c>
      <c r="C1033" s="13" t="s">
        <v>10482</v>
      </c>
      <c r="D1033" s="13" t="s">
        <v>10483</v>
      </c>
      <c r="E1033" s="13" t="s">
        <v>10484</v>
      </c>
      <c r="F1033" s="13" t="s">
        <v>10485</v>
      </c>
      <c r="G1033" s="14" t="s">
        <v>10486</v>
      </c>
    </row>
    <row r="1034">
      <c r="A1034" s="13" t="s">
        <v>3885</v>
      </c>
      <c r="B1034" s="13" t="s">
        <v>10487</v>
      </c>
      <c r="C1034" s="13" t="s">
        <v>10488</v>
      </c>
      <c r="D1034" s="13" t="s">
        <v>10489</v>
      </c>
      <c r="E1034" s="13" t="s">
        <v>10490</v>
      </c>
      <c r="F1034" s="13" t="s">
        <v>10491</v>
      </c>
      <c r="G1034" s="14" t="s">
        <v>10492</v>
      </c>
    </row>
    <row r="1035">
      <c r="A1035" s="13" t="s">
        <v>3890</v>
      </c>
      <c r="B1035" s="13" t="s">
        <v>10493</v>
      </c>
      <c r="C1035" s="13" t="s">
        <v>10494</v>
      </c>
      <c r="D1035" s="13" t="s">
        <v>10495</v>
      </c>
      <c r="E1035" s="13" t="s">
        <v>10496</v>
      </c>
      <c r="F1035" s="13" t="s">
        <v>10497</v>
      </c>
      <c r="G1035" s="14" t="s">
        <v>10498</v>
      </c>
    </row>
    <row r="1036">
      <c r="A1036" s="13" t="s">
        <v>3894</v>
      </c>
      <c r="B1036" s="13" t="s">
        <v>10499</v>
      </c>
      <c r="C1036" s="13" t="s">
        <v>10500</v>
      </c>
      <c r="D1036" s="13" t="s">
        <v>10501</v>
      </c>
      <c r="E1036" s="13" t="s">
        <v>10502</v>
      </c>
      <c r="F1036" s="13" t="s">
        <v>10503</v>
      </c>
      <c r="G1036" s="14" t="s">
        <v>10504</v>
      </c>
    </row>
    <row r="1037">
      <c r="A1037" s="13" t="s">
        <v>3898</v>
      </c>
      <c r="B1037" s="13" t="s">
        <v>10505</v>
      </c>
      <c r="C1037" s="13" t="s">
        <v>10506</v>
      </c>
      <c r="D1037" s="13" t="s">
        <v>10507</v>
      </c>
      <c r="E1037" s="13" t="s">
        <v>10508</v>
      </c>
      <c r="F1037" s="13" t="s">
        <v>10509</v>
      </c>
      <c r="G1037" s="14" t="s">
        <v>10510</v>
      </c>
    </row>
    <row r="1038">
      <c r="A1038" s="13" t="s">
        <v>3902</v>
      </c>
      <c r="B1038" s="13" t="s">
        <v>10511</v>
      </c>
      <c r="C1038" s="13" t="s">
        <v>10512</v>
      </c>
      <c r="D1038" s="13" t="s">
        <v>10513</v>
      </c>
      <c r="E1038" s="13" t="s">
        <v>10514</v>
      </c>
      <c r="F1038" s="13" t="s">
        <v>10515</v>
      </c>
      <c r="G1038" s="14" t="s">
        <v>10516</v>
      </c>
    </row>
    <row r="1039">
      <c r="A1039" s="13" t="s">
        <v>3907</v>
      </c>
      <c r="B1039" s="13" t="s">
        <v>10517</v>
      </c>
      <c r="C1039" s="13" t="s">
        <v>10518</v>
      </c>
      <c r="D1039" s="13" t="s">
        <v>10519</v>
      </c>
      <c r="E1039" s="13" t="s">
        <v>10520</v>
      </c>
      <c r="F1039" s="13" t="s">
        <v>10521</v>
      </c>
      <c r="G1039" s="14" t="s">
        <v>10522</v>
      </c>
    </row>
    <row r="1040">
      <c r="A1040" s="13" t="s">
        <v>3912</v>
      </c>
      <c r="B1040" s="13" t="s">
        <v>10523</v>
      </c>
      <c r="C1040" s="13" t="s">
        <v>10524</v>
      </c>
      <c r="D1040" s="13" t="s">
        <v>10525</v>
      </c>
      <c r="E1040" s="13" t="s">
        <v>10526</v>
      </c>
      <c r="F1040" s="13" t="s">
        <v>10527</v>
      </c>
      <c r="G1040" s="14" t="s">
        <v>10528</v>
      </c>
    </row>
    <row r="1041">
      <c r="A1041" s="13" t="s">
        <v>3917</v>
      </c>
      <c r="B1041" s="13" t="s">
        <v>10529</v>
      </c>
      <c r="C1041" s="13" t="s">
        <v>10530</v>
      </c>
      <c r="D1041" s="13" t="s">
        <v>10531</v>
      </c>
      <c r="E1041" s="13" t="s">
        <v>10532</v>
      </c>
      <c r="F1041" s="13" t="s">
        <v>10533</v>
      </c>
      <c r="G1041" s="14" t="s">
        <v>10534</v>
      </c>
    </row>
    <row r="1042">
      <c r="A1042" s="13" t="s">
        <v>3922</v>
      </c>
      <c r="B1042" s="13" t="s">
        <v>10535</v>
      </c>
      <c r="C1042" s="13" t="s">
        <v>10536</v>
      </c>
      <c r="D1042" s="13" t="s">
        <v>10537</v>
      </c>
      <c r="E1042" s="13" t="s">
        <v>10538</v>
      </c>
      <c r="F1042" s="13" t="s">
        <v>10539</v>
      </c>
      <c r="G1042" s="14" t="s">
        <v>10540</v>
      </c>
    </row>
    <row r="1043">
      <c r="A1043" s="13" t="s">
        <v>3927</v>
      </c>
      <c r="B1043" s="13" t="s">
        <v>10541</v>
      </c>
      <c r="C1043" s="13" t="s">
        <v>10542</v>
      </c>
      <c r="D1043" s="13" t="s">
        <v>10543</v>
      </c>
      <c r="E1043" s="13" t="s">
        <v>10544</v>
      </c>
      <c r="F1043" s="13" t="s">
        <v>10545</v>
      </c>
      <c r="G1043" s="14" t="s">
        <v>10546</v>
      </c>
    </row>
    <row r="1044">
      <c r="A1044" s="13" t="s">
        <v>3931</v>
      </c>
      <c r="B1044" s="13" t="s">
        <v>10547</v>
      </c>
      <c r="C1044" s="13" t="s">
        <v>10548</v>
      </c>
      <c r="D1044" s="13" t="s">
        <v>10549</v>
      </c>
      <c r="E1044" s="13" t="s">
        <v>10550</v>
      </c>
      <c r="F1044" s="13" t="s">
        <v>10551</v>
      </c>
      <c r="G1044" s="14" t="s">
        <v>10552</v>
      </c>
    </row>
    <row r="1045">
      <c r="A1045" s="13" t="s">
        <v>3935</v>
      </c>
      <c r="B1045" s="13" t="s">
        <v>10553</v>
      </c>
      <c r="C1045" s="13" t="s">
        <v>10554</v>
      </c>
      <c r="D1045" s="13" t="s">
        <v>10555</v>
      </c>
      <c r="E1045" s="13" t="s">
        <v>10556</v>
      </c>
      <c r="F1045" s="13" t="s">
        <v>10557</v>
      </c>
      <c r="G1045" s="14" t="s">
        <v>10558</v>
      </c>
    </row>
    <row r="1046">
      <c r="A1046" s="13" t="s">
        <v>3940</v>
      </c>
      <c r="B1046" s="13" t="s">
        <v>10559</v>
      </c>
      <c r="C1046" s="13" t="s">
        <v>10560</v>
      </c>
      <c r="D1046" s="13" t="s">
        <v>10561</v>
      </c>
      <c r="E1046" s="13" t="s">
        <v>10562</v>
      </c>
      <c r="F1046" s="13" t="s">
        <v>10563</v>
      </c>
      <c r="G1046" s="14" t="s">
        <v>10564</v>
      </c>
    </row>
    <row r="1047">
      <c r="A1047" s="13" t="s">
        <v>3945</v>
      </c>
      <c r="B1047" s="13" t="s">
        <v>10565</v>
      </c>
      <c r="C1047" s="13" t="s">
        <v>10566</v>
      </c>
      <c r="D1047" s="13" t="s">
        <v>10567</v>
      </c>
      <c r="E1047" s="13" t="s">
        <v>10568</v>
      </c>
      <c r="F1047" s="13" t="s">
        <v>10569</v>
      </c>
      <c r="G1047" s="14" t="s">
        <v>10570</v>
      </c>
    </row>
    <row r="1048">
      <c r="A1048" s="13" t="s">
        <v>3949</v>
      </c>
      <c r="B1048" s="13" t="s">
        <v>10571</v>
      </c>
      <c r="C1048" s="13" t="s">
        <v>10572</v>
      </c>
      <c r="D1048" s="13" t="s">
        <v>10573</v>
      </c>
      <c r="E1048" s="13" t="s">
        <v>10574</v>
      </c>
      <c r="F1048" s="13" t="s">
        <v>10575</v>
      </c>
      <c r="G1048" s="14" t="s">
        <v>10576</v>
      </c>
    </row>
    <row r="1049">
      <c r="A1049" s="13" t="s">
        <v>3953</v>
      </c>
      <c r="B1049" s="13" t="s">
        <v>10577</v>
      </c>
      <c r="C1049" s="13" t="s">
        <v>10578</v>
      </c>
      <c r="D1049" s="13" t="s">
        <v>10579</v>
      </c>
      <c r="E1049" s="13" t="s">
        <v>10580</v>
      </c>
      <c r="F1049" s="13" t="s">
        <v>10581</v>
      </c>
      <c r="G1049" s="14" t="s">
        <v>10582</v>
      </c>
    </row>
    <row r="1050">
      <c r="A1050" s="13" t="s">
        <v>3957</v>
      </c>
      <c r="B1050" s="13" t="s">
        <v>10583</v>
      </c>
      <c r="C1050" s="13" t="s">
        <v>10584</v>
      </c>
      <c r="D1050" s="13" t="s">
        <v>10585</v>
      </c>
      <c r="E1050" s="13" t="s">
        <v>10586</v>
      </c>
      <c r="F1050" s="13" t="s">
        <v>10587</v>
      </c>
      <c r="G1050" s="14" t="s">
        <v>10588</v>
      </c>
    </row>
    <row r="1051">
      <c r="A1051" s="13" t="s">
        <v>3961</v>
      </c>
      <c r="B1051" s="13" t="s">
        <v>10589</v>
      </c>
      <c r="C1051" s="13" t="s">
        <v>10590</v>
      </c>
      <c r="D1051" s="13" t="s">
        <v>10591</v>
      </c>
      <c r="E1051" s="13" t="s">
        <v>10592</v>
      </c>
      <c r="F1051" s="13" t="s">
        <v>10593</v>
      </c>
      <c r="G1051" s="14" t="s">
        <v>10594</v>
      </c>
    </row>
    <row r="1052">
      <c r="A1052" s="13" t="s">
        <v>3965</v>
      </c>
      <c r="B1052" s="13" t="s">
        <v>10595</v>
      </c>
      <c r="C1052" s="13" t="s">
        <v>10596</v>
      </c>
      <c r="D1052" s="13" t="s">
        <v>10597</v>
      </c>
      <c r="E1052" s="13" t="s">
        <v>10598</v>
      </c>
      <c r="F1052" s="13" t="s">
        <v>10599</v>
      </c>
      <c r="G1052" s="14" t="s">
        <v>10600</v>
      </c>
    </row>
    <row r="1053">
      <c r="A1053" s="13" t="s">
        <v>3969</v>
      </c>
      <c r="B1053" s="13" t="s">
        <v>10601</v>
      </c>
      <c r="C1053" s="13" t="s">
        <v>10602</v>
      </c>
      <c r="D1053" s="13" t="s">
        <v>10603</v>
      </c>
      <c r="E1053" s="13" t="s">
        <v>10604</v>
      </c>
      <c r="F1053" s="13" t="s">
        <v>10605</v>
      </c>
      <c r="G1053" s="14" t="s">
        <v>10606</v>
      </c>
    </row>
    <row r="1054">
      <c r="A1054" s="13" t="s">
        <v>3974</v>
      </c>
      <c r="B1054" s="13" t="s">
        <v>10607</v>
      </c>
      <c r="C1054" s="13" t="s">
        <v>10608</v>
      </c>
      <c r="D1054" s="13" t="s">
        <v>10609</v>
      </c>
      <c r="E1054" s="13" t="s">
        <v>10610</v>
      </c>
      <c r="F1054" s="13" t="s">
        <v>10611</v>
      </c>
      <c r="G1054" s="14" t="s">
        <v>10612</v>
      </c>
    </row>
    <row r="1055">
      <c r="A1055" s="13" t="s">
        <v>3978</v>
      </c>
      <c r="B1055" s="13" t="s">
        <v>10613</v>
      </c>
      <c r="C1055" s="13" t="s">
        <v>10614</v>
      </c>
      <c r="D1055" s="13" t="s">
        <v>10615</v>
      </c>
      <c r="E1055" s="13" t="s">
        <v>10616</v>
      </c>
      <c r="F1055" s="13" t="s">
        <v>10617</v>
      </c>
      <c r="G1055" s="14" t="s">
        <v>10618</v>
      </c>
    </row>
    <row r="1056">
      <c r="A1056" s="13" t="s">
        <v>3982</v>
      </c>
      <c r="B1056" s="13" t="s">
        <v>10619</v>
      </c>
      <c r="C1056" s="13" t="s">
        <v>10620</v>
      </c>
      <c r="D1056" s="13" t="s">
        <v>10621</v>
      </c>
      <c r="E1056" s="13" t="s">
        <v>10622</v>
      </c>
      <c r="F1056" s="13" t="s">
        <v>10623</v>
      </c>
      <c r="G1056" s="14" t="s">
        <v>10624</v>
      </c>
    </row>
    <row r="1057">
      <c r="A1057" s="13" t="s">
        <v>3987</v>
      </c>
      <c r="B1057" s="13" t="s">
        <v>10625</v>
      </c>
      <c r="C1057" s="13" t="s">
        <v>10626</v>
      </c>
      <c r="D1057" s="13" t="s">
        <v>10627</v>
      </c>
      <c r="E1057" s="13" t="s">
        <v>10628</v>
      </c>
      <c r="F1057" s="13" t="s">
        <v>10629</v>
      </c>
      <c r="G1057" s="14" t="s">
        <v>10630</v>
      </c>
    </row>
    <row r="1058">
      <c r="A1058" s="13" t="s">
        <v>3992</v>
      </c>
      <c r="B1058" s="13" t="s">
        <v>10631</v>
      </c>
      <c r="C1058" s="13" t="s">
        <v>10632</v>
      </c>
      <c r="D1058" s="13" t="s">
        <v>10633</v>
      </c>
      <c r="E1058" s="13" t="s">
        <v>10634</v>
      </c>
      <c r="F1058" s="13" t="s">
        <v>10635</v>
      </c>
      <c r="G1058" s="14" t="s">
        <v>10636</v>
      </c>
    </row>
    <row r="1059">
      <c r="A1059" s="13" t="s">
        <v>3997</v>
      </c>
      <c r="B1059" s="13" t="s">
        <v>10637</v>
      </c>
      <c r="C1059" s="13" t="s">
        <v>10638</v>
      </c>
      <c r="D1059" s="13" t="s">
        <v>10639</v>
      </c>
      <c r="E1059" s="13" t="s">
        <v>10640</v>
      </c>
      <c r="F1059" s="13" t="s">
        <v>10641</v>
      </c>
      <c r="G1059" s="14" t="s">
        <v>10642</v>
      </c>
    </row>
    <row r="1060">
      <c r="A1060" s="13" t="s">
        <v>4001</v>
      </c>
      <c r="B1060" s="13" t="s">
        <v>10643</v>
      </c>
      <c r="C1060" s="13" t="s">
        <v>10644</v>
      </c>
      <c r="D1060" s="13" t="s">
        <v>10645</v>
      </c>
      <c r="E1060" s="13" t="s">
        <v>10646</v>
      </c>
      <c r="F1060" s="13" t="s">
        <v>10647</v>
      </c>
      <c r="G1060" s="14" t="s">
        <v>10648</v>
      </c>
    </row>
    <row r="1061">
      <c r="A1061" s="13" t="s">
        <v>4005</v>
      </c>
      <c r="B1061" s="13" t="s">
        <v>10649</v>
      </c>
      <c r="C1061" s="13" t="s">
        <v>10650</v>
      </c>
      <c r="D1061" s="13" t="s">
        <v>10651</v>
      </c>
      <c r="E1061" s="13" t="s">
        <v>10652</v>
      </c>
      <c r="F1061" s="13" t="s">
        <v>10653</v>
      </c>
      <c r="G1061" s="14" t="s">
        <v>10654</v>
      </c>
    </row>
    <row r="1062">
      <c r="A1062" s="13" t="s">
        <v>4009</v>
      </c>
      <c r="B1062" s="13" t="s">
        <v>10655</v>
      </c>
      <c r="C1062" s="13" t="s">
        <v>10656</v>
      </c>
      <c r="D1062" s="13" t="s">
        <v>10657</v>
      </c>
      <c r="E1062" s="13" t="s">
        <v>10658</v>
      </c>
      <c r="F1062" s="13" t="s">
        <v>10659</v>
      </c>
      <c r="G1062" s="14" t="s">
        <v>10660</v>
      </c>
    </row>
    <row r="1063">
      <c r="A1063" s="13" t="s">
        <v>4014</v>
      </c>
      <c r="B1063" s="13" t="s">
        <v>10661</v>
      </c>
      <c r="C1063" s="13" t="s">
        <v>10662</v>
      </c>
      <c r="D1063" s="13" t="s">
        <v>10663</v>
      </c>
      <c r="E1063" s="13" t="s">
        <v>10664</v>
      </c>
      <c r="F1063" s="13" t="s">
        <v>10665</v>
      </c>
      <c r="G1063" s="14" t="s">
        <v>10666</v>
      </c>
    </row>
    <row r="1064">
      <c r="A1064" s="13" t="s">
        <v>4018</v>
      </c>
      <c r="B1064" s="13" t="s">
        <v>10667</v>
      </c>
      <c r="C1064" s="13" t="s">
        <v>10668</v>
      </c>
      <c r="D1064" s="13" t="s">
        <v>10669</v>
      </c>
      <c r="E1064" s="13" t="s">
        <v>10670</v>
      </c>
      <c r="F1064" s="13" t="s">
        <v>10671</v>
      </c>
      <c r="G1064" s="14" t="s">
        <v>10672</v>
      </c>
    </row>
    <row r="1065">
      <c r="A1065" s="13" t="s">
        <v>4022</v>
      </c>
      <c r="B1065" s="13" t="s">
        <v>10673</v>
      </c>
      <c r="C1065" s="13" t="s">
        <v>10674</v>
      </c>
      <c r="D1065" s="13" t="s">
        <v>10675</v>
      </c>
      <c r="E1065" s="13" t="s">
        <v>10676</v>
      </c>
      <c r="F1065" s="13" t="s">
        <v>10677</v>
      </c>
      <c r="G1065" s="14" t="s">
        <v>10678</v>
      </c>
    </row>
    <row r="1066">
      <c r="A1066" s="13" t="s">
        <v>4027</v>
      </c>
      <c r="B1066" s="13" t="s">
        <v>10679</v>
      </c>
      <c r="C1066" s="13" t="s">
        <v>10680</v>
      </c>
      <c r="D1066" s="13" t="s">
        <v>10681</v>
      </c>
      <c r="E1066" s="13" t="s">
        <v>10682</v>
      </c>
      <c r="F1066" s="13" t="s">
        <v>10683</v>
      </c>
      <c r="G1066" s="14" t="s">
        <v>10684</v>
      </c>
    </row>
    <row r="1067">
      <c r="A1067" s="13" t="s">
        <v>4031</v>
      </c>
      <c r="B1067" s="13" t="s">
        <v>10685</v>
      </c>
      <c r="C1067" s="13" t="s">
        <v>10686</v>
      </c>
      <c r="D1067" s="13" t="s">
        <v>10687</v>
      </c>
      <c r="E1067" s="13" t="s">
        <v>10688</v>
      </c>
      <c r="F1067" s="13" t="s">
        <v>10689</v>
      </c>
      <c r="G1067" s="14" t="s">
        <v>10690</v>
      </c>
    </row>
    <row r="1068">
      <c r="A1068" s="13" t="s">
        <v>4035</v>
      </c>
      <c r="B1068" s="13" t="s">
        <v>10691</v>
      </c>
      <c r="C1068" s="13" t="s">
        <v>10692</v>
      </c>
      <c r="D1068" s="13" t="s">
        <v>10693</v>
      </c>
      <c r="E1068" s="13" t="s">
        <v>10694</v>
      </c>
      <c r="F1068" s="13" t="s">
        <v>10695</v>
      </c>
      <c r="G1068" s="14" t="s">
        <v>10696</v>
      </c>
    </row>
    <row r="1069">
      <c r="A1069" s="13" t="s">
        <v>4039</v>
      </c>
      <c r="B1069" s="13" t="s">
        <v>10697</v>
      </c>
      <c r="C1069" s="13" t="s">
        <v>10698</v>
      </c>
      <c r="D1069" s="13" t="s">
        <v>10699</v>
      </c>
      <c r="E1069" s="13" t="s">
        <v>10700</v>
      </c>
      <c r="F1069" s="13" t="s">
        <v>10701</v>
      </c>
      <c r="G1069" s="14" t="s">
        <v>10702</v>
      </c>
    </row>
    <row r="1070">
      <c r="A1070" s="13" t="s">
        <v>4043</v>
      </c>
      <c r="B1070" s="13" t="s">
        <v>10703</v>
      </c>
      <c r="C1070" s="13" t="s">
        <v>10704</v>
      </c>
      <c r="D1070" s="13" t="s">
        <v>10705</v>
      </c>
      <c r="E1070" s="13" t="s">
        <v>10706</v>
      </c>
      <c r="F1070" s="13" t="s">
        <v>10707</v>
      </c>
      <c r="G1070" s="14" t="s">
        <v>10708</v>
      </c>
    </row>
    <row r="1071">
      <c r="A1071" s="13" t="s">
        <v>4047</v>
      </c>
      <c r="B1071" s="13" t="s">
        <v>10709</v>
      </c>
      <c r="C1071" s="13" t="s">
        <v>10710</v>
      </c>
      <c r="D1071" s="13" t="s">
        <v>10711</v>
      </c>
      <c r="E1071" s="13" t="s">
        <v>10712</v>
      </c>
      <c r="F1071" s="13" t="s">
        <v>10713</v>
      </c>
      <c r="G1071" s="14" t="s">
        <v>10714</v>
      </c>
    </row>
    <row r="1072">
      <c r="A1072" s="13" t="s">
        <v>4052</v>
      </c>
      <c r="B1072" s="13" t="s">
        <v>10715</v>
      </c>
      <c r="C1072" s="13" t="s">
        <v>10716</v>
      </c>
      <c r="D1072" s="13" t="s">
        <v>10717</v>
      </c>
      <c r="E1072" s="13" t="s">
        <v>10718</v>
      </c>
      <c r="F1072" s="13" t="s">
        <v>10719</v>
      </c>
      <c r="G1072" s="14" t="s">
        <v>10720</v>
      </c>
    </row>
    <row r="1073">
      <c r="A1073" s="13" t="s">
        <v>4056</v>
      </c>
      <c r="B1073" s="13" t="s">
        <v>10721</v>
      </c>
      <c r="C1073" s="13" t="s">
        <v>10722</v>
      </c>
      <c r="D1073" s="13" t="s">
        <v>10723</v>
      </c>
      <c r="E1073" s="13" t="s">
        <v>10724</v>
      </c>
      <c r="F1073" s="13" t="s">
        <v>10725</v>
      </c>
      <c r="G1073" s="14" t="s">
        <v>10726</v>
      </c>
    </row>
    <row r="1074">
      <c r="A1074" s="13" t="s">
        <v>4060</v>
      </c>
      <c r="B1074" s="13" t="s">
        <v>10727</v>
      </c>
      <c r="C1074" s="13" t="s">
        <v>10728</v>
      </c>
      <c r="D1074" s="13" t="s">
        <v>10729</v>
      </c>
      <c r="E1074" s="13" t="s">
        <v>10730</v>
      </c>
      <c r="F1074" s="13" t="s">
        <v>10731</v>
      </c>
      <c r="G1074" s="14" t="s">
        <v>10732</v>
      </c>
    </row>
    <row r="1075">
      <c r="A1075" s="13" t="s">
        <v>4065</v>
      </c>
      <c r="B1075" s="13" t="s">
        <v>10733</v>
      </c>
      <c r="C1075" s="13" t="s">
        <v>10734</v>
      </c>
      <c r="D1075" s="13" t="s">
        <v>10735</v>
      </c>
      <c r="E1075" s="13" t="s">
        <v>10736</v>
      </c>
      <c r="F1075" s="13" t="s">
        <v>10737</v>
      </c>
      <c r="G1075" s="14" t="s">
        <v>10738</v>
      </c>
    </row>
    <row r="1076">
      <c r="A1076" s="13" t="s">
        <v>4069</v>
      </c>
      <c r="B1076" s="13" t="s">
        <v>10739</v>
      </c>
      <c r="C1076" s="13" t="s">
        <v>10740</v>
      </c>
      <c r="D1076" s="13" t="s">
        <v>10741</v>
      </c>
      <c r="E1076" s="13" t="s">
        <v>10742</v>
      </c>
      <c r="F1076" s="13" t="s">
        <v>10743</v>
      </c>
      <c r="G1076" s="14" t="s">
        <v>10744</v>
      </c>
    </row>
    <row r="1077">
      <c r="A1077" s="13" t="s">
        <v>4073</v>
      </c>
      <c r="B1077" s="13" t="s">
        <v>10745</v>
      </c>
      <c r="C1077" s="13" t="s">
        <v>10746</v>
      </c>
      <c r="D1077" s="13" t="s">
        <v>10747</v>
      </c>
      <c r="E1077" s="13" t="s">
        <v>10748</v>
      </c>
      <c r="F1077" s="13" t="s">
        <v>10749</v>
      </c>
      <c r="G1077" s="14" t="s">
        <v>10750</v>
      </c>
    </row>
    <row r="1078">
      <c r="A1078" s="13" t="s">
        <v>4077</v>
      </c>
      <c r="B1078" s="13" t="s">
        <v>10751</v>
      </c>
      <c r="C1078" s="13" t="s">
        <v>10752</v>
      </c>
      <c r="D1078" s="13" t="s">
        <v>10753</v>
      </c>
      <c r="E1078" s="13" t="s">
        <v>10754</v>
      </c>
      <c r="F1078" s="13" t="s">
        <v>10755</v>
      </c>
      <c r="G1078" s="14" t="s">
        <v>10756</v>
      </c>
    </row>
    <row r="1079">
      <c r="A1079" s="13" t="s">
        <v>4081</v>
      </c>
      <c r="B1079" s="13" t="s">
        <v>10757</v>
      </c>
      <c r="C1079" s="13" t="s">
        <v>10758</v>
      </c>
      <c r="D1079" s="13" t="s">
        <v>10759</v>
      </c>
      <c r="E1079" s="13" t="s">
        <v>10760</v>
      </c>
      <c r="F1079" s="13" t="s">
        <v>10761</v>
      </c>
      <c r="G1079" s="14" t="s">
        <v>10762</v>
      </c>
    </row>
    <row r="1080">
      <c r="A1080" s="13" t="s">
        <v>4085</v>
      </c>
      <c r="B1080" s="13" t="s">
        <v>10763</v>
      </c>
      <c r="C1080" s="13" t="s">
        <v>10764</v>
      </c>
      <c r="D1080" s="13" t="s">
        <v>10765</v>
      </c>
      <c r="E1080" s="13" t="s">
        <v>10766</v>
      </c>
      <c r="F1080" s="13" t="s">
        <v>10767</v>
      </c>
      <c r="G1080" s="14" t="s">
        <v>10768</v>
      </c>
    </row>
    <row r="1081">
      <c r="A1081" s="13" t="s">
        <v>4089</v>
      </c>
      <c r="B1081" s="13" t="s">
        <v>10769</v>
      </c>
      <c r="C1081" s="13" t="s">
        <v>10770</v>
      </c>
      <c r="D1081" s="13" t="s">
        <v>10771</v>
      </c>
      <c r="E1081" s="13" t="s">
        <v>10772</v>
      </c>
      <c r="F1081" s="13" t="s">
        <v>10773</v>
      </c>
      <c r="G1081" s="14" t="s">
        <v>10774</v>
      </c>
    </row>
    <row r="1082">
      <c r="A1082" s="13" t="s">
        <v>4093</v>
      </c>
      <c r="B1082" s="13" t="s">
        <v>10775</v>
      </c>
      <c r="C1082" s="13" t="s">
        <v>10776</v>
      </c>
      <c r="D1082" s="13" t="s">
        <v>10777</v>
      </c>
      <c r="E1082" s="13" t="s">
        <v>10778</v>
      </c>
      <c r="F1082" s="13" t="s">
        <v>10779</v>
      </c>
      <c r="G1082" s="14" t="s">
        <v>10780</v>
      </c>
    </row>
    <row r="1083">
      <c r="A1083" s="13" t="s">
        <v>4097</v>
      </c>
      <c r="B1083" s="13" t="s">
        <v>10781</v>
      </c>
      <c r="C1083" s="13" t="s">
        <v>10782</v>
      </c>
      <c r="D1083" s="13" t="s">
        <v>10783</v>
      </c>
      <c r="E1083" s="13" t="s">
        <v>10784</v>
      </c>
      <c r="F1083" s="13" t="s">
        <v>10785</v>
      </c>
      <c r="G1083" s="14" t="s">
        <v>10786</v>
      </c>
    </row>
    <row r="1084">
      <c r="A1084" s="13" t="s">
        <v>4101</v>
      </c>
      <c r="B1084" s="13" t="s">
        <v>10787</v>
      </c>
      <c r="C1084" s="13" t="s">
        <v>10788</v>
      </c>
      <c r="D1084" s="13" t="s">
        <v>10789</v>
      </c>
      <c r="E1084" s="13" t="s">
        <v>10790</v>
      </c>
      <c r="F1084" s="13" t="s">
        <v>10791</v>
      </c>
      <c r="G1084" s="14" t="s">
        <v>10792</v>
      </c>
    </row>
    <row r="1085">
      <c r="A1085" s="13" t="s">
        <v>4105</v>
      </c>
      <c r="B1085" s="13" t="s">
        <v>10793</v>
      </c>
      <c r="C1085" s="13" t="s">
        <v>10794</v>
      </c>
      <c r="D1085" s="13" t="s">
        <v>10795</v>
      </c>
      <c r="E1085" s="13" t="s">
        <v>10796</v>
      </c>
      <c r="F1085" s="13" t="s">
        <v>10797</v>
      </c>
      <c r="G1085" s="14" t="s">
        <v>10798</v>
      </c>
    </row>
    <row r="1086">
      <c r="A1086" s="13" t="s">
        <v>4109</v>
      </c>
      <c r="B1086" s="13" t="s">
        <v>10799</v>
      </c>
      <c r="C1086" s="13" t="s">
        <v>10800</v>
      </c>
      <c r="D1086" s="13" t="s">
        <v>10801</v>
      </c>
      <c r="E1086" s="13" t="s">
        <v>10802</v>
      </c>
      <c r="F1086" s="13" t="s">
        <v>10803</v>
      </c>
      <c r="G1086" s="14" t="s">
        <v>10804</v>
      </c>
    </row>
    <row r="1087">
      <c r="A1087" s="13" t="s">
        <v>4113</v>
      </c>
      <c r="B1087" s="13" t="s">
        <v>10805</v>
      </c>
      <c r="C1087" s="13" t="s">
        <v>10806</v>
      </c>
      <c r="D1087" s="13" t="s">
        <v>10807</v>
      </c>
      <c r="E1087" s="13" t="s">
        <v>10808</v>
      </c>
      <c r="F1087" s="13" t="s">
        <v>10809</v>
      </c>
      <c r="G1087" s="14" t="s">
        <v>10810</v>
      </c>
    </row>
    <row r="1088">
      <c r="A1088" s="13" t="s">
        <v>4118</v>
      </c>
      <c r="B1088" s="13" t="s">
        <v>10811</v>
      </c>
      <c r="C1088" s="13" t="s">
        <v>10812</v>
      </c>
      <c r="D1088" s="13" t="s">
        <v>10813</v>
      </c>
      <c r="E1088" s="13" t="s">
        <v>10814</v>
      </c>
      <c r="F1088" s="13" t="s">
        <v>10815</v>
      </c>
      <c r="G1088" s="14" t="s">
        <v>10816</v>
      </c>
    </row>
    <row r="1089">
      <c r="A1089" s="13" t="s">
        <v>4122</v>
      </c>
      <c r="B1089" s="13" t="s">
        <v>10817</v>
      </c>
      <c r="C1089" s="13" t="s">
        <v>10818</v>
      </c>
      <c r="D1089" s="13" t="s">
        <v>10819</v>
      </c>
      <c r="E1089" s="13" t="s">
        <v>10820</v>
      </c>
      <c r="F1089" s="13" t="s">
        <v>10821</v>
      </c>
      <c r="G1089" s="14" t="s">
        <v>10822</v>
      </c>
    </row>
    <row r="1090">
      <c r="A1090" s="13" t="s">
        <v>4126</v>
      </c>
      <c r="B1090" s="13" t="s">
        <v>10823</v>
      </c>
      <c r="C1090" s="13" t="s">
        <v>10824</v>
      </c>
      <c r="D1090" s="13" t="s">
        <v>10825</v>
      </c>
      <c r="E1090" s="13" t="s">
        <v>10826</v>
      </c>
      <c r="F1090" s="13" t="s">
        <v>10827</v>
      </c>
      <c r="G1090" s="14" t="s">
        <v>10828</v>
      </c>
    </row>
    <row r="1091">
      <c r="A1091" s="13" t="s">
        <v>4130</v>
      </c>
      <c r="B1091" s="13" t="s">
        <v>10829</v>
      </c>
      <c r="C1091" s="13" t="s">
        <v>10830</v>
      </c>
      <c r="D1091" s="13" t="s">
        <v>10831</v>
      </c>
      <c r="E1091" s="13" t="s">
        <v>10832</v>
      </c>
      <c r="F1091" s="13" t="s">
        <v>10833</v>
      </c>
      <c r="G1091" s="14" t="s">
        <v>10834</v>
      </c>
    </row>
    <row r="1092">
      <c r="A1092" s="13" t="s">
        <v>4134</v>
      </c>
      <c r="B1092" s="13" t="s">
        <v>10835</v>
      </c>
      <c r="C1092" s="13" t="s">
        <v>10836</v>
      </c>
      <c r="D1092" s="13" t="s">
        <v>10837</v>
      </c>
      <c r="E1092" s="13" t="s">
        <v>10838</v>
      </c>
      <c r="F1092" s="13" t="s">
        <v>10839</v>
      </c>
      <c r="G1092" s="14" t="s">
        <v>10840</v>
      </c>
    </row>
    <row r="1093">
      <c r="A1093" s="13" t="s">
        <v>4139</v>
      </c>
      <c r="B1093" s="13" t="s">
        <v>10841</v>
      </c>
      <c r="C1093" s="13" t="s">
        <v>10842</v>
      </c>
      <c r="D1093" s="13" t="s">
        <v>10843</v>
      </c>
      <c r="E1093" s="13" t="s">
        <v>10844</v>
      </c>
      <c r="F1093" s="13" t="s">
        <v>10845</v>
      </c>
      <c r="G1093" s="14" t="s">
        <v>10846</v>
      </c>
    </row>
    <row r="1094">
      <c r="A1094" s="13" t="s">
        <v>4143</v>
      </c>
      <c r="B1094" s="13" t="s">
        <v>10847</v>
      </c>
      <c r="C1094" s="13" t="s">
        <v>10848</v>
      </c>
      <c r="D1094" s="13" t="s">
        <v>10849</v>
      </c>
      <c r="E1094" s="13" t="s">
        <v>10850</v>
      </c>
      <c r="F1094" s="13" t="s">
        <v>10851</v>
      </c>
      <c r="G1094" s="14" t="s">
        <v>10852</v>
      </c>
    </row>
    <row r="1095">
      <c r="A1095" s="13" t="s">
        <v>4147</v>
      </c>
      <c r="B1095" s="13" t="s">
        <v>10853</v>
      </c>
      <c r="C1095" s="13" t="s">
        <v>10854</v>
      </c>
      <c r="D1095" s="13" t="s">
        <v>10855</v>
      </c>
      <c r="E1095" s="13" t="s">
        <v>10856</v>
      </c>
      <c r="F1095" s="13" t="s">
        <v>10857</v>
      </c>
      <c r="G1095" s="14" t="s">
        <v>10858</v>
      </c>
    </row>
    <row r="1096">
      <c r="A1096" s="13" t="s">
        <v>4151</v>
      </c>
      <c r="B1096" s="13" t="s">
        <v>10859</v>
      </c>
      <c r="C1096" s="13" t="s">
        <v>10860</v>
      </c>
      <c r="D1096" s="13" t="s">
        <v>10861</v>
      </c>
      <c r="E1096" s="13" t="s">
        <v>10862</v>
      </c>
      <c r="F1096" s="13" t="s">
        <v>10863</v>
      </c>
      <c r="G1096" s="14" t="s">
        <v>10864</v>
      </c>
    </row>
    <row r="1097">
      <c r="A1097" s="13" t="s">
        <v>4156</v>
      </c>
      <c r="B1097" s="13" t="s">
        <v>10865</v>
      </c>
      <c r="C1097" s="13" t="s">
        <v>10866</v>
      </c>
      <c r="D1097" s="13" t="s">
        <v>10867</v>
      </c>
      <c r="E1097" s="13" t="s">
        <v>10868</v>
      </c>
      <c r="F1097" s="13" t="s">
        <v>10869</v>
      </c>
      <c r="G1097" s="14" t="s">
        <v>10870</v>
      </c>
    </row>
    <row r="1098">
      <c r="A1098" s="13" t="s">
        <v>4161</v>
      </c>
      <c r="B1098" s="13" t="s">
        <v>10871</v>
      </c>
      <c r="C1098" s="13" t="s">
        <v>10872</v>
      </c>
      <c r="D1098" s="13" t="s">
        <v>10873</v>
      </c>
      <c r="E1098" s="13" t="s">
        <v>10874</v>
      </c>
      <c r="F1098" s="13" t="s">
        <v>10875</v>
      </c>
      <c r="G1098" s="14" t="s">
        <v>10876</v>
      </c>
    </row>
    <row r="1099">
      <c r="A1099" s="13" t="s">
        <v>4165</v>
      </c>
      <c r="B1099" s="13" t="s">
        <v>10877</v>
      </c>
      <c r="C1099" s="13" t="s">
        <v>10878</v>
      </c>
      <c r="D1099" s="13" t="s">
        <v>10879</v>
      </c>
      <c r="E1099" s="13" t="s">
        <v>10880</v>
      </c>
      <c r="F1099" s="13" t="s">
        <v>10881</v>
      </c>
      <c r="G1099" s="14" t="s">
        <v>10882</v>
      </c>
    </row>
    <row r="1100">
      <c r="A1100" s="13" t="s">
        <v>4169</v>
      </c>
      <c r="B1100" s="13" t="s">
        <v>10883</v>
      </c>
      <c r="C1100" s="13" t="s">
        <v>10884</v>
      </c>
      <c r="D1100" s="13" t="s">
        <v>10885</v>
      </c>
      <c r="E1100" s="13" t="s">
        <v>10886</v>
      </c>
      <c r="F1100" s="13" t="s">
        <v>10887</v>
      </c>
      <c r="G1100" s="14" t="s">
        <v>10888</v>
      </c>
    </row>
    <row r="1101">
      <c r="A1101" s="13" t="s">
        <v>4174</v>
      </c>
      <c r="B1101" s="13" t="s">
        <v>10889</v>
      </c>
      <c r="C1101" s="13" t="s">
        <v>10890</v>
      </c>
      <c r="D1101" s="13" t="s">
        <v>10891</v>
      </c>
      <c r="E1101" s="13" t="s">
        <v>10892</v>
      </c>
      <c r="F1101" s="13" t="s">
        <v>10893</v>
      </c>
      <c r="G1101" s="14" t="s">
        <v>10894</v>
      </c>
    </row>
    <row r="1102">
      <c r="A1102" s="13" t="s">
        <v>4178</v>
      </c>
      <c r="B1102" s="13" t="s">
        <v>10895</v>
      </c>
      <c r="C1102" s="13" t="s">
        <v>10896</v>
      </c>
      <c r="D1102" s="13" t="s">
        <v>10897</v>
      </c>
      <c r="E1102" s="13" t="s">
        <v>10898</v>
      </c>
      <c r="F1102" s="13" t="s">
        <v>10899</v>
      </c>
      <c r="G1102" s="14" t="s">
        <v>10900</v>
      </c>
    </row>
    <row r="1103">
      <c r="A1103" s="13" t="s">
        <v>4182</v>
      </c>
      <c r="B1103" s="13" t="s">
        <v>10901</v>
      </c>
      <c r="C1103" s="13" t="s">
        <v>10902</v>
      </c>
      <c r="D1103" s="13" t="s">
        <v>10903</v>
      </c>
      <c r="E1103" s="13" t="s">
        <v>10904</v>
      </c>
      <c r="F1103" s="13" t="s">
        <v>10905</v>
      </c>
      <c r="G1103" s="14" t="s">
        <v>10906</v>
      </c>
    </row>
    <row r="1104">
      <c r="A1104" s="13" t="s">
        <v>4186</v>
      </c>
      <c r="B1104" s="13" t="s">
        <v>10907</v>
      </c>
      <c r="C1104" s="13" t="s">
        <v>10908</v>
      </c>
      <c r="D1104" s="13" t="s">
        <v>10909</v>
      </c>
      <c r="E1104" s="13" t="s">
        <v>10910</v>
      </c>
      <c r="F1104" s="13" t="s">
        <v>10911</v>
      </c>
      <c r="G1104" s="14" t="s">
        <v>10912</v>
      </c>
    </row>
    <row r="1105">
      <c r="A1105" s="13" t="s">
        <v>4190</v>
      </c>
      <c r="B1105" s="13" t="s">
        <v>10913</v>
      </c>
      <c r="C1105" s="13" t="s">
        <v>10914</v>
      </c>
      <c r="D1105" s="13" t="s">
        <v>10915</v>
      </c>
      <c r="E1105" s="13" t="s">
        <v>10916</v>
      </c>
      <c r="F1105" s="13" t="s">
        <v>10917</v>
      </c>
      <c r="G1105" s="14" t="s">
        <v>10918</v>
      </c>
    </row>
    <row r="1106">
      <c r="A1106" s="13" t="s">
        <v>4194</v>
      </c>
      <c r="B1106" s="13" t="s">
        <v>10919</v>
      </c>
      <c r="C1106" s="13" t="s">
        <v>10920</v>
      </c>
      <c r="D1106" s="13" t="s">
        <v>10921</v>
      </c>
      <c r="E1106" s="13" t="s">
        <v>10922</v>
      </c>
      <c r="F1106" s="13" t="s">
        <v>10923</v>
      </c>
      <c r="G1106" s="14" t="s">
        <v>10924</v>
      </c>
    </row>
    <row r="1107">
      <c r="A1107" s="13" t="s">
        <v>4199</v>
      </c>
      <c r="B1107" s="13" t="s">
        <v>10925</v>
      </c>
      <c r="C1107" s="13" t="s">
        <v>10926</v>
      </c>
      <c r="D1107" s="13" t="s">
        <v>10927</v>
      </c>
      <c r="E1107" s="13" t="s">
        <v>10928</v>
      </c>
      <c r="F1107" s="13" t="s">
        <v>10929</v>
      </c>
      <c r="G1107" s="14" t="s">
        <v>10930</v>
      </c>
    </row>
    <row r="1108">
      <c r="A1108" s="13" t="s">
        <v>4204</v>
      </c>
      <c r="B1108" s="13" t="s">
        <v>10931</v>
      </c>
      <c r="C1108" s="13" t="s">
        <v>10932</v>
      </c>
      <c r="D1108" s="13" t="s">
        <v>10933</v>
      </c>
      <c r="E1108" s="13" t="s">
        <v>10934</v>
      </c>
      <c r="F1108" s="13" t="s">
        <v>10935</v>
      </c>
      <c r="G1108" s="14" t="s">
        <v>10936</v>
      </c>
    </row>
    <row r="1109">
      <c r="A1109" s="13" t="s">
        <v>4208</v>
      </c>
      <c r="B1109" s="13" t="s">
        <v>10937</v>
      </c>
      <c r="C1109" s="13" t="s">
        <v>10938</v>
      </c>
      <c r="D1109" s="13" t="s">
        <v>10939</v>
      </c>
      <c r="E1109" s="13" t="s">
        <v>10940</v>
      </c>
      <c r="F1109" s="13" t="s">
        <v>10941</v>
      </c>
      <c r="G1109" s="14" t="s">
        <v>10942</v>
      </c>
    </row>
    <row r="1110">
      <c r="A1110" s="13" t="s">
        <v>4212</v>
      </c>
      <c r="B1110" s="13" t="s">
        <v>10943</v>
      </c>
      <c r="C1110" s="13" t="s">
        <v>10944</v>
      </c>
      <c r="D1110" s="13" t="s">
        <v>10945</v>
      </c>
      <c r="E1110" s="13" t="s">
        <v>10946</v>
      </c>
      <c r="F1110" s="13" t="s">
        <v>10947</v>
      </c>
      <c r="G1110" s="14" t="s">
        <v>10948</v>
      </c>
    </row>
    <row r="1111">
      <c r="A1111" s="13" t="s">
        <v>4216</v>
      </c>
      <c r="B1111" s="13" t="s">
        <v>10949</v>
      </c>
      <c r="C1111" s="13" t="s">
        <v>10950</v>
      </c>
      <c r="D1111" s="13" t="s">
        <v>10951</v>
      </c>
      <c r="E1111" s="13" t="s">
        <v>10952</v>
      </c>
      <c r="F1111" s="13" t="s">
        <v>10953</v>
      </c>
      <c r="G1111" s="14" t="s">
        <v>10954</v>
      </c>
    </row>
    <row r="1112">
      <c r="A1112" s="13" t="s">
        <v>4220</v>
      </c>
      <c r="B1112" s="13" t="s">
        <v>10955</v>
      </c>
      <c r="C1112" s="13" t="s">
        <v>10956</v>
      </c>
      <c r="D1112" s="13" t="s">
        <v>10957</v>
      </c>
      <c r="E1112" s="13" t="s">
        <v>10958</v>
      </c>
      <c r="F1112" s="13" t="s">
        <v>10959</v>
      </c>
      <c r="G1112" s="14" t="s">
        <v>10960</v>
      </c>
    </row>
    <row r="1113">
      <c r="A1113" s="13" t="s">
        <v>4224</v>
      </c>
      <c r="B1113" s="13" t="s">
        <v>10961</v>
      </c>
      <c r="C1113" s="13" t="s">
        <v>10962</v>
      </c>
      <c r="D1113" s="13" t="s">
        <v>10963</v>
      </c>
      <c r="E1113" s="13" t="s">
        <v>10964</v>
      </c>
      <c r="F1113" s="13" t="s">
        <v>10965</v>
      </c>
      <c r="G1113" s="14" t="s">
        <v>10966</v>
      </c>
    </row>
    <row r="1114">
      <c r="A1114" s="13" t="s">
        <v>4229</v>
      </c>
      <c r="B1114" s="13" t="s">
        <v>10967</v>
      </c>
      <c r="C1114" s="13" t="s">
        <v>10968</v>
      </c>
      <c r="D1114" s="13" t="s">
        <v>10969</v>
      </c>
      <c r="E1114" s="13" t="s">
        <v>10970</v>
      </c>
      <c r="F1114" s="13" t="s">
        <v>10971</v>
      </c>
      <c r="G1114" s="14" t="s">
        <v>10972</v>
      </c>
    </row>
    <row r="1115">
      <c r="A1115" s="13" t="s">
        <v>4233</v>
      </c>
      <c r="B1115" s="13" t="s">
        <v>10973</v>
      </c>
      <c r="C1115" s="13" t="s">
        <v>10974</v>
      </c>
      <c r="D1115" s="13" t="s">
        <v>10975</v>
      </c>
      <c r="E1115" s="13" t="s">
        <v>10976</v>
      </c>
      <c r="F1115" s="13" t="s">
        <v>10977</v>
      </c>
      <c r="G1115" s="14" t="s">
        <v>10978</v>
      </c>
    </row>
    <row r="1116">
      <c r="A1116" s="13" t="s">
        <v>4238</v>
      </c>
      <c r="B1116" s="13" t="s">
        <v>10979</v>
      </c>
      <c r="C1116" s="13" t="s">
        <v>10980</v>
      </c>
      <c r="D1116" s="13" t="s">
        <v>10981</v>
      </c>
      <c r="E1116" s="13" t="s">
        <v>10982</v>
      </c>
      <c r="F1116" s="13" t="s">
        <v>10983</v>
      </c>
      <c r="G1116" s="14" t="s">
        <v>10984</v>
      </c>
    </row>
    <row r="1117">
      <c r="A1117" s="13" t="s">
        <v>4242</v>
      </c>
      <c r="B1117" s="13" t="s">
        <v>10985</v>
      </c>
      <c r="C1117" s="13" t="s">
        <v>10986</v>
      </c>
      <c r="D1117" s="13" t="s">
        <v>10987</v>
      </c>
      <c r="E1117" s="13" t="s">
        <v>10988</v>
      </c>
      <c r="F1117" s="13" t="s">
        <v>10989</v>
      </c>
      <c r="G1117" s="14" t="s">
        <v>10990</v>
      </c>
    </row>
    <row r="1118">
      <c r="A1118" s="13" t="s">
        <v>4246</v>
      </c>
      <c r="B1118" s="13" t="s">
        <v>10991</v>
      </c>
      <c r="C1118" s="13" t="s">
        <v>10992</v>
      </c>
      <c r="D1118" s="13" t="s">
        <v>10993</v>
      </c>
      <c r="E1118" s="13" t="s">
        <v>10994</v>
      </c>
      <c r="F1118" s="13" t="s">
        <v>10995</v>
      </c>
      <c r="G1118" s="14" t="s">
        <v>10996</v>
      </c>
    </row>
    <row r="1119">
      <c r="A1119" s="13" t="s">
        <v>4250</v>
      </c>
      <c r="B1119" s="13" t="s">
        <v>10997</v>
      </c>
      <c r="C1119" s="13" t="s">
        <v>10998</v>
      </c>
      <c r="D1119" s="13" t="s">
        <v>10999</v>
      </c>
      <c r="E1119" s="13" t="s">
        <v>11000</v>
      </c>
      <c r="F1119" s="13" t="s">
        <v>11001</v>
      </c>
      <c r="G1119" s="14" t="s">
        <v>11002</v>
      </c>
    </row>
    <row r="1120">
      <c r="A1120" s="13" t="s">
        <v>4255</v>
      </c>
      <c r="B1120" s="13" t="s">
        <v>11003</v>
      </c>
      <c r="C1120" s="13" t="s">
        <v>11004</v>
      </c>
      <c r="D1120" s="13" t="s">
        <v>11005</v>
      </c>
      <c r="E1120" s="13" t="s">
        <v>11006</v>
      </c>
      <c r="F1120" s="13" t="s">
        <v>11007</v>
      </c>
      <c r="G1120" s="14" t="s">
        <v>11008</v>
      </c>
    </row>
    <row r="1121">
      <c r="A1121" s="13" t="s">
        <v>4259</v>
      </c>
      <c r="B1121" s="13" t="s">
        <v>11009</v>
      </c>
      <c r="C1121" s="13" t="s">
        <v>11010</v>
      </c>
      <c r="D1121" s="13" t="s">
        <v>11011</v>
      </c>
      <c r="E1121" s="13" t="s">
        <v>11012</v>
      </c>
      <c r="F1121" s="13" t="s">
        <v>11013</v>
      </c>
      <c r="G1121" s="14" t="s">
        <v>11014</v>
      </c>
    </row>
    <row r="1122">
      <c r="A1122" s="13" t="s">
        <v>4263</v>
      </c>
      <c r="B1122" s="13" t="s">
        <v>11015</v>
      </c>
      <c r="C1122" s="13" t="s">
        <v>11016</v>
      </c>
      <c r="D1122" s="13" t="s">
        <v>11017</v>
      </c>
      <c r="E1122" s="13" t="s">
        <v>11018</v>
      </c>
      <c r="F1122" s="13" t="s">
        <v>11019</v>
      </c>
      <c r="G1122" s="14" t="s">
        <v>11020</v>
      </c>
    </row>
    <row r="1123">
      <c r="A1123" s="13" t="s">
        <v>4267</v>
      </c>
      <c r="B1123" s="13" t="s">
        <v>11021</v>
      </c>
      <c r="C1123" s="13" t="s">
        <v>11022</v>
      </c>
      <c r="D1123" s="13" t="s">
        <v>11023</v>
      </c>
      <c r="E1123" s="13" t="s">
        <v>11024</v>
      </c>
      <c r="F1123" s="13" t="s">
        <v>11025</v>
      </c>
      <c r="G1123" s="14" t="s">
        <v>11026</v>
      </c>
    </row>
    <row r="1124">
      <c r="A1124" s="13" t="s">
        <v>4271</v>
      </c>
      <c r="B1124" s="13" t="s">
        <v>11027</v>
      </c>
      <c r="C1124" s="13" t="s">
        <v>11028</v>
      </c>
      <c r="D1124" s="13" t="s">
        <v>11029</v>
      </c>
      <c r="E1124" s="13" t="s">
        <v>11030</v>
      </c>
      <c r="F1124" s="13" t="s">
        <v>11031</v>
      </c>
      <c r="G1124" s="14" t="s">
        <v>11032</v>
      </c>
    </row>
    <row r="1125">
      <c r="A1125" s="13" t="s">
        <v>4275</v>
      </c>
      <c r="B1125" s="13" t="s">
        <v>11033</v>
      </c>
      <c r="C1125" s="13" t="s">
        <v>11034</v>
      </c>
      <c r="D1125" s="13" t="s">
        <v>11035</v>
      </c>
      <c r="E1125" s="13" t="s">
        <v>11036</v>
      </c>
      <c r="F1125" s="13" t="s">
        <v>11037</v>
      </c>
      <c r="G1125" s="14" t="s">
        <v>11038</v>
      </c>
    </row>
    <row r="1126">
      <c r="A1126" s="13" t="s">
        <v>4279</v>
      </c>
      <c r="B1126" s="13" t="s">
        <v>11039</v>
      </c>
      <c r="C1126" s="13" t="s">
        <v>11040</v>
      </c>
      <c r="D1126" s="13" t="s">
        <v>11041</v>
      </c>
      <c r="E1126" s="13" t="s">
        <v>11042</v>
      </c>
      <c r="F1126" s="13" t="s">
        <v>11043</v>
      </c>
      <c r="G1126" s="14" t="s">
        <v>11044</v>
      </c>
    </row>
    <row r="1127">
      <c r="A1127" s="13" t="s">
        <v>4284</v>
      </c>
      <c r="B1127" s="13" t="s">
        <v>11045</v>
      </c>
      <c r="C1127" s="13" t="s">
        <v>11046</v>
      </c>
      <c r="D1127" s="13" t="s">
        <v>11047</v>
      </c>
      <c r="E1127" s="13" t="s">
        <v>11048</v>
      </c>
      <c r="F1127" s="13" t="s">
        <v>11049</v>
      </c>
      <c r="G1127" s="14" t="s">
        <v>11050</v>
      </c>
    </row>
    <row r="1128">
      <c r="A1128" s="13" t="s">
        <v>4288</v>
      </c>
      <c r="B1128" s="13" t="s">
        <v>11051</v>
      </c>
      <c r="C1128" s="13" t="s">
        <v>11052</v>
      </c>
      <c r="D1128" s="13" t="s">
        <v>11053</v>
      </c>
      <c r="E1128" s="13" t="s">
        <v>11054</v>
      </c>
      <c r="F1128" s="13" t="s">
        <v>11055</v>
      </c>
      <c r="G1128" s="14" t="s">
        <v>11056</v>
      </c>
    </row>
    <row r="1129">
      <c r="A1129" s="13" t="s">
        <v>4293</v>
      </c>
      <c r="B1129" s="13" t="s">
        <v>11057</v>
      </c>
      <c r="C1129" s="13" t="s">
        <v>11058</v>
      </c>
      <c r="D1129" s="13" t="s">
        <v>11059</v>
      </c>
      <c r="E1129" s="13" t="s">
        <v>11060</v>
      </c>
      <c r="F1129" s="13" t="s">
        <v>11061</v>
      </c>
      <c r="G1129" s="14" t="s">
        <v>11062</v>
      </c>
    </row>
    <row r="1130">
      <c r="A1130" s="13" t="s">
        <v>4297</v>
      </c>
      <c r="B1130" s="13" t="s">
        <v>11063</v>
      </c>
      <c r="C1130" s="13" t="s">
        <v>11064</v>
      </c>
      <c r="D1130" s="13" t="s">
        <v>11065</v>
      </c>
      <c r="E1130" s="13" t="s">
        <v>11066</v>
      </c>
      <c r="F1130" s="13" t="s">
        <v>11067</v>
      </c>
      <c r="G1130" s="14" t="s">
        <v>11068</v>
      </c>
    </row>
    <row r="1131">
      <c r="A1131" s="13" t="s">
        <v>4302</v>
      </c>
      <c r="B1131" s="13" t="s">
        <v>11069</v>
      </c>
      <c r="C1131" s="13" t="s">
        <v>11070</v>
      </c>
      <c r="D1131" s="13" t="s">
        <v>11071</v>
      </c>
      <c r="E1131" s="13" t="s">
        <v>11072</v>
      </c>
      <c r="F1131" s="13" t="s">
        <v>11073</v>
      </c>
      <c r="G1131" s="14" t="s">
        <v>11074</v>
      </c>
    </row>
    <row r="1132">
      <c r="A1132" s="13" t="s">
        <v>4307</v>
      </c>
      <c r="B1132" s="13" t="s">
        <v>11075</v>
      </c>
      <c r="C1132" s="13" t="s">
        <v>11076</v>
      </c>
      <c r="D1132" s="13" t="s">
        <v>11077</v>
      </c>
      <c r="E1132" s="13" t="s">
        <v>11078</v>
      </c>
      <c r="F1132" s="13" t="s">
        <v>11079</v>
      </c>
      <c r="G1132" s="14" t="s">
        <v>11080</v>
      </c>
    </row>
    <row r="1133">
      <c r="A1133" s="13" t="s">
        <v>4311</v>
      </c>
      <c r="B1133" s="13" t="s">
        <v>11081</v>
      </c>
      <c r="C1133" s="13" t="s">
        <v>11082</v>
      </c>
      <c r="D1133" s="13" t="s">
        <v>11083</v>
      </c>
      <c r="E1133" s="13" t="s">
        <v>11084</v>
      </c>
      <c r="F1133" s="13" t="s">
        <v>11085</v>
      </c>
      <c r="G1133" s="14" t="s">
        <v>11086</v>
      </c>
    </row>
    <row r="1134">
      <c r="A1134" s="13" t="s">
        <v>4315</v>
      </c>
      <c r="B1134" s="13" t="s">
        <v>11087</v>
      </c>
      <c r="C1134" s="13" t="s">
        <v>11088</v>
      </c>
      <c r="D1134" s="13" t="s">
        <v>11089</v>
      </c>
      <c r="E1134" s="13" t="s">
        <v>11090</v>
      </c>
      <c r="F1134" s="13" t="s">
        <v>11091</v>
      </c>
      <c r="G1134" s="14" t="s">
        <v>11092</v>
      </c>
    </row>
    <row r="1135">
      <c r="A1135" s="13" t="s">
        <v>4319</v>
      </c>
      <c r="B1135" s="13" t="s">
        <v>11093</v>
      </c>
      <c r="C1135" s="13" t="s">
        <v>11094</v>
      </c>
      <c r="D1135" s="13" t="s">
        <v>11095</v>
      </c>
      <c r="E1135" s="13" t="s">
        <v>11096</v>
      </c>
      <c r="F1135" s="13" t="s">
        <v>11097</v>
      </c>
      <c r="G1135" s="14" t="s">
        <v>11098</v>
      </c>
    </row>
    <row r="1136">
      <c r="A1136" s="13" t="s">
        <v>4323</v>
      </c>
      <c r="B1136" s="13" t="s">
        <v>11099</v>
      </c>
      <c r="C1136" s="13" t="s">
        <v>11100</v>
      </c>
      <c r="D1136" s="13" t="s">
        <v>11101</v>
      </c>
      <c r="E1136" s="13" t="s">
        <v>11102</v>
      </c>
      <c r="F1136" s="13" t="s">
        <v>11103</v>
      </c>
      <c r="G1136" s="14" t="s">
        <v>11104</v>
      </c>
    </row>
    <row r="1137">
      <c r="A1137" s="13" t="s">
        <v>4328</v>
      </c>
      <c r="B1137" s="13" t="s">
        <v>11105</v>
      </c>
      <c r="C1137" s="13" t="s">
        <v>11106</v>
      </c>
      <c r="D1137" s="13" t="s">
        <v>11107</v>
      </c>
      <c r="E1137" s="13" t="s">
        <v>11108</v>
      </c>
      <c r="F1137" s="13" t="s">
        <v>11109</v>
      </c>
      <c r="G1137" s="14" t="s">
        <v>11110</v>
      </c>
    </row>
    <row r="1138">
      <c r="A1138" s="13" t="s">
        <v>4332</v>
      </c>
      <c r="B1138" s="13" t="s">
        <v>11111</v>
      </c>
      <c r="C1138" s="13" t="s">
        <v>11112</v>
      </c>
      <c r="D1138" s="13" t="s">
        <v>11113</v>
      </c>
      <c r="E1138" s="13" t="s">
        <v>11114</v>
      </c>
      <c r="F1138" s="13" t="s">
        <v>11115</v>
      </c>
      <c r="G1138" s="14" t="s">
        <v>11116</v>
      </c>
    </row>
    <row r="1139">
      <c r="A1139" s="13" t="s">
        <v>4336</v>
      </c>
      <c r="B1139" s="13" t="s">
        <v>11117</v>
      </c>
      <c r="C1139" s="13" t="s">
        <v>11118</v>
      </c>
      <c r="D1139" s="13" t="s">
        <v>11119</v>
      </c>
      <c r="E1139" s="13" t="s">
        <v>11120</v>
      </c>
      <c r="F1139" s="13" t="s">
        <v>11121</v>
      </c>
      <c r="G1139" s="14" t="s">
        <v>11122</v>
      </c>
    </row>
    <row r="1140">
      <c r="A1140" s="13" t="s">
        <v>4340</v>
      </c>
      <c r="B1140" s="13" t="s">
        <v>11123</v>
      </c>
      <c r="C1140" s="13" t="s">
        <v>11124</v>
      </c>
      <c r="D1140" s="13" t="s">
        <v>11125</v>
      </c>
      <c r="E1140" s="13" t="s">
        <v>11126</v>
      </c>
      <c r="F1140" s="13" t="s">
        <v>11127</v>
      </c>
      <c r="G1140" s="14" t="s">
        <v>11128</v>
      </c>
    </row>
    <row r="1141">
      <c r="A1141" s="13" t="s">
        <v>4344</v>
      </c>
      <c r="B1141" s="13" t="s">
        <v>11129</v>
      </c>
      <c r="C1141" s="13" t="s">
        <v>11130</v>
      </c>
      <c r="D1141" s="13" t="s">
        <v>11131</v>
      </c>
      <c r="E1141" s="13" t="s">
        <v>11132</v>
      </c>
      <c r="F1141" s="13" t="s">
        <v>11133</v>
      </c>
      <c r="G1141" s="14" t="s">
        <v>11134</v>
      </c>
    </row>
    <row r="1142">
      <c r="A1142" s="13" t="s">
        <v>4348</v>
      </c>
      <c r="B1142" s="13" t="s">
        <v>11135</v>
      </c>
      <c r="C1142" s="13" t="s">
        <v>11136</v>
      </c>
      <c r="D1142" s="13" t="s">
        <v>11137</v>
      </c>
      <c r="E1142" s="13" t="s">
        <v>11138</v>
      </c>
      <c r="F1142" s="13" t="s">
        <v>11139</v>
      </c>
      <c r="G1142" s="14" t="s">
        <v>11140</v>
      </c>
    </row>
    <row r="1143">
      <c r="A1143" s="13" t="s">
        <v>4352</v>
      </c>
      <c r="B1143" s="13" t="s">
        <v>11141</v>
      </c>
      <c r="C1143" s="13" t="s">
        <v>11142</v>
      </c>
      <c r="D1143" s="13" t="s">
        <v>11143</v>
      </c>
      <c r="E1143" s="13" t="s">
        <v>11144</v>
      </c>
      <c r="F1143" s="13" t="s">
        <v>11145</v>
      </c>
      <c r="G1143" s="14" t="s">
        <v>11146</v>
      </c>
    </row>
    <row r="1144">
      <c r="A1144" s="13" t="s">
        <v>4356</v>
      </c>
      <c r="B1144" s="13" t="s">
        <v>11147</v>
      </c>
      <c r="C1144" s="13" t="s">
        <v>11148</v>
      </c>
      <c r="D1144" s="13" t="s">
        <v>11149</v>
      </c>
      <c r="E1144" s="13" t="s">
        <v>11150</v>
      </c>
      <c r="F1144" s="13" t="s">
        <v>11151</v>
      </c>
      <c r="G1144" s="14" t="s">
        <v>11152</v>
      </c>
    </row>
    <row r="1145">
      <c r="A1145" s="13" t="s">
        <v>4360</v>
      </c>
      <c r="B1145" s="13" t="s">
        <v>11153</v>
      </c>
      <c r="C1145" s="13" t="s">
        <v>11154</v>
      </c>
      <c r="D1145" s="13" t="s">
        <v>11155</v>
      </c>
      <c r="E1145" s="13" t="s">
        <v>11156</v>
      </c>
      <c r="F1145" s="13" t="s">
        <v>11157</v>
      </c>
      <c r="G1145" s="14" t="s">
        <v>11158</v>
      </c>
    </row>
    <row r="1146">
      <c r="A1146" s="13" t="s">
        <v>4364</v>
      </c>
      <c r="B1146" s="13" t="s">
        <v>11159</v>
      </c>
      <c r="C1146" s="13" t="s">
        <v>11160</v>
      </c>
      <c r="D1146" s="13" t="s">
        <v>11161</v>
      </c>
      <c r="E1146" s="13" t="s">
        <v>11162</v>
      </c>
      <c r="F1146" s="13" t="s">
        <v>11163</v>
      </c>
      <c r="G1146" s="14" t="s">
        <v>11164</v>
      </c>
    </row>
    <row r="1147">
      <c r="A1147" s="13" t="s">
        <v>4368</v>
      </c>
      <c r="B1147" s="13" t="s">
        <v>11165</v>
      </c>
      <c r="C1147" s="13" t="s">
        <v>11166</v>
      </c>
      <c r="D1147" s="13" t="s">
        <v>11167</v>
      </c>
      <c r="E1147" s="13" t="s">
        <v>11168</v>
      </c>
      <c r="F1147" s="13" t="s">
        <v>11169</v>
      </c>
      <c r="G1147" s="14" t="s">
        <v>11170</v>
      </c>
    </row>
    <row r="1148">
      <c r="A1148" s="13" t="s">
        <v>4372</v>
      </c>
      <c r="B1148" s="13" t="s">
        <v>11171</v>
      </c>
      <c r="C1148" s="13" t="s">
        <v>11172</v>
      </c>
      <c r="D1148" s="13" t="s">
        <v>11173</v>
      </c>
      <c r="E1148" s="13" t="s">
        <v>11174</v>
      </c>
      <c r="F1148" s="13" t="s">
        <v>11175</v>
      </c>
      <c r="G1148" s="14" t="s">
        <v>11176</v>
      </c>
    </row>
    <row r="1149">
      <c r="A1149" s="13" t="s">
        <v>4376</v>
      </c>
      <c r="B1149" s="13" t="s">
        <v>11177</v>
      </c>
      <c r="C1149" s="13" t="s">
        <v>11178</v>
      </c>
      <c r="D1149" s="13" t="s">
        <v>11179</v>
      </c>
      <c r="E1149" s="13" t="s">
        <v>11180</v>
      </c>
      <c r="F1149" s="13" t="s">
        <v>11181</v>
      </c>
      <c r="G1149" s="14" t="s">
        <v>11182</v>
      </c>
    </row>
    <row r="1150">
      <c r="A1150" s="13" t="s">
        <v>4380</v>
      </c>
      <c r="B1150" s="13" t="s">
        <v>11183</v>
      </c>
      <c r="C1150" s="13" t="s">
        <v>11184</v>
      </c>
      <c r="D1150" s="13" t="s">
        <v>11185</v>
      </c>
      <c r="E1150" s="13" t="s">
        <v>11186</v>
      </c>
      <c r="F1150" s="13" t="s">
        <v>11187</v>
      </c>
      <c r="G1150" s="14" t="s">
        <v>11188</v>
      </c>
    </row>
    <row r="1151">
      <c r="A1151" s="13" t="s">
        <v>4384</v>
      </c>
      <c r="B1151" s="13" t="s">
        <v>11189</v>
      </c>
      <c r="C1151" s="13" t="s">
        <v>11190</v>
      </c>
      <c r="D1151" s="13" t="s">
        <v>11191</v>
      </c>
      <c r="E1151" s="13" t="s">
        <v>11192</v>
      </c>
      <c r="F1151" s="13" t="s">
        <v>11193</v>
      </c>
      <c r="G1151" s="14" t="s">
        <v>11194</v>
      </c>
    </row>
    <row r="1152">
      <c r="A1152" s="13" t="s">
        <v>4388</v>
      </c>
      <c r="B1152" s="13" t="s">
        <v>11195</v>
      </c>
      <c r="C1152" s="13" t="s">
        <v>11196</v>
      </c>
      <c r="D1152" s="13" t="s">
        <v>11197</v>
      </c>
      <c r="E1152" s="13" t="s">
        <v>11198</v>
      </c>
      <c r="F1152" s="13" t="s">
        <v>11199</v>
      </c>
      <c r="G1152" s="14" t="s">
        <v>11200</v>
      </c>
    </row>
    <row r="1153">
      <c r="A1153" s="13" t="s">
        <v>4392</v>
      </c>
      <c r="B1153" s="13" t="s">
        <v>11201</v>
      </c>
      <c r="C1153" s="13" t="s">
        <v>11202</v>
      </c>
      <c r="D1153" s="13" t="s">
        <v>11203</v>
      </c>
      <c r="E1153" s="13" t="s">
        <v>11204</v>
      </c>
      <c r="F1153" s="13" t="s">
        <v>11205</v>
      </c>
      <c r="G1153" s="14" t="s">
        <v>11206</v>
      </c>
    </row>
    <row r="1154">
      <c r="A1154" s="13" t="s">
        <v>4396</v>
      </c>
      <c r="B1154" s="13" t="s">
        <v>11207</v>
      </c>
      <c r="C1154" s="13" t="s">
        <v>11208</v>
      </c>
      <c r="D1154" s="13" t="s">
        <v>11209</v>
      </c>
      <c r="E1154" s="13" t="s">
        <v>11210</v>
      </c>
      <c r="F1154" s="13" t="s">
        <v>11211</v>
      </c>
      <c r="G1154" s="14" t="s">
        <v>11212</v>
      </c>
    </row>
    <row r="1155">
      <c r="A1155" s="13" t="s">
        <v>4400</v>
      </c>
      <c r="B1155" s="13" t="s">
        <v>11213</v>
      </c>
      <c r="C1155" s="13" t="s">
        <v>11214</v>
      </c>
      <c r="D1155" s="13" t="s">
        <v>11215</v>
      </c>
      <c r="E1155" s="13" t="s">
        <v>11216</v>
      </c>
      <c r="F1155" s="13" t="s">
        <v>11217</v>
      </c>
      <c r="G1155" s="14" t="s">
        <v>11218</v>
      </c>
    </row>
    <row r="1156">
      <c r="A1156" s="13" t="s">
        <v>4404</v>
      </c>
      <c r="B1156" s="13" t="s">
        <v>11219</v>
      </c>
      <c r="C1156" s="13" t="s">
        <v>11220</v>
      </c>
      <c r="D1156" s="13" t="s">
        <v>11221</v>
      </c>
      <c r="E1156" s="13" t="s">
        <v>11222</v>
      </c>
      <c r="F1156" s="13" t="s">
        <v>11223</v>
      </c>
      <c r="G1156" s="14" t="s">
        <v>11224</v>
      </c>
    </row>
    <row r="1157">
      <c r="A1157" s="13" t="s">
        <v>4408</v>
      </c>
      <c r="B1157" s="13" t="s">
        <v>11225</v>
      </c>
      <c r="C1157" s="13" t="s">
        <v>11226</v>
      </c>
      <c r="D1157" s="13" t="s">
        <v>11227</v>
      </c>
      <c r="E1157" s="13" t="s">
        <v>11228</v>
      </c>
      <c r="F1157" s="13" t="s">
        <v>11229</v>
      </c>
      <c r="G1157" s="14" t="s">
        <v>11230</v>
      </c>
    </row>
    <row r="1158">
      <c r="A1158" s="13" t="s">
        <v>4412</v>
      </c>
      <c r="B1158" s="13" t="s">
        <v>11231</v>
      </c>
      <c r="C1158" s="13" t="s">
        <v>11232</v>
      </c>
      <c r="D1158" s="13" t="s">
        <v>11233</v>
      </c>
      <c r="E1158" s="13" t="s">
        <v>11234</v>
      </c>
      <c r="F1158" s="13" t="s">
        <v>11235</v>
      </c>
      <c r="G1158" s="14" t="s">
        <v>11236</v>
      </c>
    </row>
    <row r="1159">
      <c r="A1159" s="13" t="s">
        <v>4416</v>
      </c>
      <c r="B1159" s="13" t="s">
        <v>11237</v>
      </c>
      <c r="C1159" s="13" t="s">
        <v>11238</v>
      </c>
      <c r="D1159" s="13" t="s">
        <v>11239</v>
      </c>
      <c r="E1159" s="13" t="s">
        <v>11240</v>
      </c>
      <c r="F1159" s="13" t="s">
        <v>11241</v>
      </c>
      <c r="G1159" s="14" t="s">
        <v>11242</v>
      </c>
    </row>
    <row r="1160">
      <c r="A1160" s="13" t="s">
        <v>4421</v>
      </c>
      <c r="B1160" s="13" t="s">
        <v>11243</v>
      </c>
      <c r="C1160" s="13" t="s">
        <v>11244</v>
      </c>
      <c r="D1160" s="13" t="s">
        <v>11245</v>
      </c>
      <c r="E1160" s="13" t="s">
        <v>11246</v>
      </c>
      <c r="F1160" s="13" t="s">
        <v>11247</v>
      </c>
      <c r="G1160" s="14" t="s">
        <v>11248</v>
      </c>
    </row>
    <row r="1161">
      <c r="A1161" s="13" t="s">
        <v>4425</v>
      </c>
      <c r="B1161" s="13" t="s">
        <v>11249</v>
      </c>
      <c r="C1161" s="13" t="s">
        <v>11250</v>
      </c>
      <c r="D1161" s="13" t="s">
        <v>11251</v>
      </c>
      <c r="E1161" s="13" t="s">
        <v>11252</v>
      </c>
      <c r="F1161" s="13" t="s">
        <v>11253</v>
      </c>
      <c r="G1161" s="14" t="s">
        <v>11254</v>
      </c>
    </row>
    <row r="1162">
      <c r="A1162" s="13" t="s">
        <v>4430</v>
      </c>
      <c r="B1162" s="13" t="s">
        <v>11255</v>
      </c>
      <c r="C1162" s="13" t="s">
        <v>11256</v>
      </c>
      <c r="D1162" s="13" t="s">
        <v>11257</v>
      </c>
      <c r="E1162" s="13" t="s">
        <v>11258</v>
      </c>
      <c r="F1162" s="13" t="s">
        <v>11259</v>
      </c>
      <c r="G1162" s="14" t="s">
        <v>11260</v>
      </c>
    </row>
    <row r="1163">
      <c r="A1163" s="13" t="s">
        <v>4434</v>
      </c>
      <c r="B1163" s="13" t="s">
        <v>11261</v>
      </c>
      <c r="C1163" s="13" t="s">
        <v>11262</v>
      </c>
      <c r="D1163" s="13" t="s">
        <v>11263</v>
      </c>
      <c r="E1163" s="13" t="s">
        <v>11264</v>
      </c>
      <c r="F1163" s="13" t="s">
        <v>11265</v>
      </c>
      <c r="G1163" s="14" t="s">
        <v>11266</v>
      </c>
    </row>
    <row r="1164">
      <c r="A1164" s="13" t="s">
        <v>4438</v>
      </c>
      <c r="B1164" s="13" t="s">
        <v>11267</v>
      </c>
      <c r="C1164" s="13" t="s">
        <v>11268</v>
      </c>
      <c r="D1164" s="13" t="s">
        <v>11269</v>
      </c>
      <c r="E1164" s="13" t="s">
        <v>11270</v>
      </c>
      <c r="F1164" s="13" t="s">
        <v>11271</v>
      </c>
      <c r="G1164" s="14" t="s">
        <v>11272</v>
      </c>
    </row>
    <row r="1165">
      <c r="A1165" s="13" t="s">
        <v>4441</v>
      </c>
      <c r="B1165" s="13" t="s">
        <v>11273</v>
      </c>
      <c r="C1165" s="13" t="s">
        <v>11274</v>
      </c>
      <c r="D1165" s="13" t="s">
        <v>11275</v>
      </c>
      <c r="E1165" s="13" t="s">
        <v>11276</v>
      </c>
      <c r="F1165" s="13" t="s">
        <v>11277</v>
      </c>
      <c r="G1165" s="14" t="s">
        <v>11278</v>
      </c>
    </row>
    <row r="1166">
      <c r="A1166" s="13" t="s">
        <v>4445</v>
      </c>
      <c r="B1166" s="13" t="s">
        <v>11279</v>
      </c>
      <c r="C1166" s="13" t="s">
        <v>11280</v>
      </c>
      <c r="D1166" s="13" t="s">
        <v>11281</v>
      </c>
      <c r="E1166" s="13" t="s">
        <v>11282</v>
      </c>
      <c r="F1166" s="13" t="s">
        <v>11283</v>
      </c>
      <c r="G1166" s="14" t="s">
        <v>11284</v>
      </c>
    </row>
    <row r="1167">
      <c r="A1167" s="13" t="s">
        <v>4449</v>
      </c>
      <c r="B1167" s="13" t="s">
        <v>11285</v>
      </c>
      <c r="C1167" s="13" t="s">
        <v>11286</v>
      </c>
      <c r="D1167" s="13" t="s">
        <v>11287</v>
      </c>
      <c r="E1167" s="13" t="s">
        <v>11288</v>
      </c>
      <c r="F1167" s="13" t="s">
        <v>11289</v>
      </c>
      <c r="G1167" s="14" t="s">
        <v>11290</v>
      </c>
    </row>
    <row r="1168">
      <c r="A1168" s="13" t="s">
        <v>4453</v>
      </c>
      <c r="B1168" s="13" t="s">
        <v>11291</v>
      </c>
      <c r="C1168" s="13" t="s">
        <v>11292</v>
      </c>
      <c r="D1168" s="13" t="s">
        <v>11293</v>
      </c>
      <c r="E1168" s="13" t="s">
        <v>11294</v>
      </c>
      <c r="F1168" s="13" t="s">
        <v>11295</v>
      </c>
      <c r="G1168" s="14" t="s">
        <v>11296</v>
      </c>
    </row>
    <row r="1169">
      <c r="A1169" s="13" t="s">
        <v>4457</v>
      </c>
      <c r="B1169" s="13" t="s">
        <v>11297</v>
      </c>
      <c r="C1169" s="13" t="s">
        <v>11298</v>
      </c>
      <c r="D1169" s="13" t="s">
        <v>11299</v>
      </c>
      <c r="E1169" s="13" t="s">
        <v>11300</v>
      </c>
      <c r="F1169" s="13" t="s">
        <v>11301</v>
      </c>
      <c r="G1169" s="14" t="s">
        <v>11302</v>
      </c>
    </row>
    <row r="1170">
      <c r="A1170" s="13" t="s">
        <v>4461</v>
      </c>
      <c r="B1170" s="13" t="s">
        <v>11303</v>
      </c>
      <c r="C1170" s="13" t="s">
        <v>11304</v>
      </c>
      <c r="D1170" s="13" t="s">
        <v>11305</v>
      </c>
      <c r="E1170" s="13" t="s">
        <v>11306</v>
      </c>
      <c r="F1170" s="13" t="s">
        <v>11307</v>
      </c>
      <c r="G1170" s="14" t="s">
        <v>11308</v>
      </c>
    </row>
    <row r="1171">
      <c r="A1171" s="13" t="s">
        <v>4465</v>
      </c>
      <c r="B1171" s="13" t="s">
        <v>11309</v>
      </c>
      <c r="C1171" s="13" t="s">
        <v>11310</v>
      </c>
      <c r="D1171" s="13" t="s">
        <v>11311</v>
      </c>
      <c r="E1171" s="13" t="s">
        <v>11312</v>
      </c>
      <c r="F1171" s="13" t="s">
        <v>11313</v>
      </c>
      <c r="G1171" s="14" t="s">
        <v>11314</v>
      </c>
    </row>
    <row r="1172">
      <c r="A1172" s="13" t="s">
        <v>4469</v>
      </c>
      <c r="B1172" s="13" t="s">
        <v>11315</v>
      </c>
      <c r="C1172" s="13" t="s">
        <v>11316</v>
      </c>
      <c r="D1172" s="13" t="s">
        <v>11317</v>
      </c>
      <c r="E1172" s="13" t="s">
        <v>11318</v>
      </c>
      <c r="F1172" s="13" t="s">
        <v>11319</v>
      </c>
      <c r="G1172" s="14" t="s">
        <v>11320</v>
      </c>
    </row>
    <row r="1173">
      <c r="A1173" s="13" t="s">
        <v>4473</v>
      </c>
      <c r="B1173" s="13" t="s">
        <v>11321</v>
      </c>
      <c r="C1173" s="13" t="s">
        <v>11322</v>
      </c>
      <c r="D1173" s="13" t="s">
        <v>11323</v>
      </c>
      <c r="E1173" s="13" t="s">
        <v>11324</v>
      </c>
      <c r="F1173" s="13" t="s">
        <v>11325</v>
      </c>
      <c r="G1173" s="14" t="s">
        <v>11326</v>
      </c>
    </row>
    <row r="1174">
      <c r="A1174" s="13" t="s">
        <v>4477</v>
      </c>
      <c r="B1174" s="13" t="s">
        <v>11327</v>
      </c>
      <c r="C1174" s="13" t="s">
        <v>11328</v>
      </c>
      <c r="D1174" s="13" t="s">
        <v>11329</v>
      </c>
      <c r="E1174" s="13" t="s">
        <v>11330</v>
      </c>
      <c r="F1174" s="13" t="s">
        <v>11331</v>
      </c>
      <c r="G1174" s="14" t="s">
        <v>11332</v>
      </c>
    </row>
    <row r="1175">
      <c r="A1175" s="13" t="s">
        <v>4481</v>
      </c>
      <c r="B1175" s="13" t="s">
        <v>11333</v>
      </c>
      <c r="C1175" s="13" t="s">
        <v>11334</v>
      </c>
      <c r="D1175" s="13" t="s">
        <v>11335</v>
      </c>
      <c r="E1175" s="13" t="s">
        <v>11336</v>
      </c>
      <c r="F1175" s="13" t="s">
        <v>11337</v>
      </c>
      <c r="G1175" s="14" t="s">
        <v>11338</v>
      </c>
    </row>
    <row r="1176">
      <c r="A1176" s="13" t="s">
        <v>4486</v>
      </c>
      <c r="B1176" s="13" t="s">
        <v>11339</v>
      </c>
      <c r="C1176" s="13" t="s">
        <v>11340</v>
      </c>
      <c r="D1176" s="13" t="s">
        <v>11341</v>
      </c>
      <c r="E1176" s="13" t="s">
        <v>11342</v>
      </c>
      <c r="F1176" s="13" t="s">
        <v>11343</v>
      </c>
      <c r="G1176" s="14" t="s">
        <v>11344</v>
      </c>
    </row>
    <row r="1177">
      <c r="A1177" s="13" t="s">
        <v>4491</v>
      </c>
      <c r="B1177" s="13" t="s">
        <v>11345</v>
      </c>
      <c r="C1177" s="13" t="s">
        <v>11346</v>
      </c>
      <c r="D1177" s="13" t="s">
        <v>11347</v>
      </c>
      <c r="E1177" s="13" t="s">
        <v>11348</v>
      </c>
      <c r="F1177" s="13" t="s">
        <v>11349</v>
      </c>
      <c r="G1177" s="14" t="s">
        <v>11350</v>
      </c>
    </row>
    <row r="1178">
      <c r="A1178" s="13" t="s">
        <v>4495</v>
      </c>
      <c r="B1178" s="13" t="s">
        <v>11351</v>
      </c>
      <c r="C1178" s="13" t="s">
        <v>11352</v>
      </c>
      <c r="D1178" s="13" t="s">
        <v>11353</v>
      </c>
      <c r="E1178" s="13" t="s">
        <v>11354</v>
      </c>
      <c r="F1178" s="13" t="s">
        <v>11355</v>
      </c>
      <c r="G1178" s="14" t="s">
        <v>11356</v>
      </c>
    </row>
    <row r="1179">
      <c r="A1179" s="13" t="s">
        <v>4500</v>
      </c>
      <c r="B1179" s="13" t="s">
        <v>11357</v>
      </c>
      <c r="C1179" s="13" t="s">
        <v>11358</v>
      </c>
      <c r="D1179" s="13" t="s">
        <v>11359</v>
      </c>
      <c r="E1179" s="13" t="s">
        <v>11360</v>
      </c>
      <c r="F1179" s="13" t="s">
        <v>11361</v>
      </c>
      <c r="G1179" s="14" t="s">
        <v>11362</v>
      </c>
    </row>
    <row r="1180">
      <c r="A1180" s="13" t="s">
        <v>4504</v>
      </c>
      <c r="B1180" s="13" t="s">
        <v>11363</v>
      </c>
      <c r="C1180" s="13" t="s">
        <v>11364</v>
      </c>
      <c r="D1180" s="13" t="s">
        <v>11365</v>
      </c>
      <c r="E1180" s="13" t="s">
        <v>11366</v>
      </c>
      <c r="F1180" s="13" t="s">
        <v>11367</v>
      </c>
      <c r="G1180" s="14" t="s">
        <v>11368</v>
      </c>
    </row>
    <row r="1181">
      <c r="A1181" s="13" t="s">
        <v>4508</v>
      </c>
      <c r="B1181" s="13" t="s">
        <v>11369</v>
      </c>
      <c r="C1181" s="13" t="s">
        <v>11370</v>
      </c>
      <c r="D1181" s="13" t="s">
        <v>11371</v>
      </c>
      <c r="E1181" s="13" t="s">
        <v>11372</v>
      </c>
      <c r="F1181" s="13" t="s">
        <v>11373</v>
      </c>
      <c r="G1181" s="14" t="s">
        <v>11374</v>
      </c>
    </row>
    <row r="1182">
      <c r="A1182" s="13" t="s">
        <v>4512</v>
      </c>
      <c r="B1182" s="13" t="s">
        <v>11375</v>
      </c>
      <c r="C1182" s="13" t="s">
        <v>11376</v>
      </c>
      <c r="D1182" s="13" t="s">
        <v>11377</v>
      </c>
      <c r="E1182" s="13" t="s">
        <v>11378</v>
      </c>
      <c r="F1182" s="13" t="s">
        <v>11379</v>
      </c>
      <c r="G1182" s="14" t="s">
        <v>11380</v>
      </c>
    </row>
    <row r="1183">
      <c r="A1183" s="13" t="s">
        <v>4516</v>
      </c>
      <c r="B1183" s="13" t="s">
        <v>11381</v>
      </c>
      <c r="C1183" s="13" t="s">
        <v>11382</v>
      </c>
      <c r="D1183" s="13" t="s">
        <v>11383</v>
      </c>
      <c r="E1183" s="13" t="s">
        <v>11384</v>
      </c>
      <c r="F1183" s="13" t="s">
        <v>11385</v>
      </c>
      <c r="G1183" s="14" t="s">
        <v>11386</v>
      </c>
    </row>
    <row r="1184">
      <c r="A1184" s="13" t="s">
        <v>4520</v>
      </c>
      <c r="B1184" s="13" t="s">
        <v>11387</v>
      </c>
      <c r="C1184" s="13" t="s">
        <v>11388</v>
      </c>
      <c r="D1184" s="13" t="s">
        <v>11389</v>
      </c>
      <c r="E1184" s="13" t="s">
        <v>11390</v>
      </c>
      <c r="F1184" s="13" t="s">
        <v>11391</v>
      </c>
      <c r="G1184" s="14" t="s">
        <v>11392</v>
      </c>
    </row>
    <row r="1185">
      <c r="A1185" s="13" t="s">
        <v>4524</v>
      </c>
      <c r="B1185" s="13" t="s">
        <v>11393</v>
      </c>
      <c r="C1185" s="13" t="s">
        <v>11394</v>
      </c>
      <c r="D1185" s="13" t="s">
        <v>11395</v>
      </c>
      <c r="E1185" s="13" t="s">
        <v>11396</v>
      </c>
      <c r="F1185" s="13" t="s">
        <v>11397</v>
      </c>
      <c r="G1185" s="14" t="s">
        <v>11398</v>
      </c>
    </row>
    <row r="1186">
      <c r="A1186" s="13" t="s">
        <v>4528</v>
      </c>
      <c r="B1186" s="13" t="s">
        <v>11399</v>
      </c>
      <c r="C1186" s="13" t="s">
        <v>11400</v>
      </c>
      <c r="D1186" s="13" t="s">
        <v>11401</v>
      </c>
      <c r="E1186" s="13" t="s">
        <v>11402</v>
      </c>
      <c r="F1186" s="13" t="s">
        <v>11403</v>
      </c>
      <c r="G1186" s="14" t="s">
        <v>11404</v>
      </c>
    </row>
    <row r="1187">
      <c r="A1187" s="13" t="s">
        <v>4532</v>
      </c>
      <c r="B1187" s="13" t="s">
        <v>11405</v>
      </c>
      <c r="C1187" s="13" t="s">
        <v>11406</v>
      </c>
      <c r="D1187" s="13" t="s">
        <v>11407</v>
      </c>
      <c r="E1187" s="13" t="s">
        <v>11408</v>
      </c>
      <c r="F1187" s="13" t="s">
        <v>11409</v>
      </c>
      <c r="G1187" s="14" t="s">
        <v>11410</v>
      </c>
    </row>
    <row r="1188">
      <c r="A1188" s="13" t="s">
        <v>4536</v>
      </c>
      <c r="B1188" s="13" t="s">
        <v>11411</v>
      </c>
      <c r="C1188" s="13" t="s">
        <v>11412</v>
      </c>
      <c r="D1188" s="13" t="s">
        <v>11413</v>
      </c>
      <c r="E1188" s="13" t="s">
        <v>11414</v>
      </c>
      <c r="F1188" s="13" t="s">
        <v>11415</v>
      </c>
      <c r="G1188" s="14" t="s">
        <v>11416</v>
      </c>
    </row>
    <row r="1189">
      <c r="A1189" s="13" t="s">
        <v>4540</v>
      </c>
      <c r="B1189" s="13" t="s">
        <v>11417</v>
      </c>
      <c r="C1189" s="13" t="s">
        <v>11418</v>
      </c>
      <c r="D1189" s="13" t="s">
        <v>11419</v>
      </c>
      <c r="E1189" s="13" t="s">
        <v>11420</v>
      </c>
      <c r="F1189" s="13" t="s">
        <v>11421</v>
      </c>
      <c r="G1189" s="14" t="s">
        <v>11422</v>
      </c>
    </row>
    <row r="1190">
      <c r="A1190" s="13" t="s">
        <v>4544</v>
      </c>
      <c r="B1190" s="13" t="s">
        <v>11423</v>
      </c>
      <c r="C1190" s="13" t="s">
        <v>11424</v>
      </c>
      <c r="D1190" s="13" t="s">
        <v>11425</v>
      </c>
      <c r="E1190" s="13" t="s">
        <v>11426</v>
      </c>
      <c r="F1190" s="13" t="s">
        <v>11427</v>
      </c>
      <c r="G1190" s="14" t="s">
        <v>11428</v>
      </c>
    </row>
    <row r="1191">
      <c r="A1191" s="13" t="s">
        <v>4548</v>
      </c>
      <c r="B1191" s="13" t="s">
        <v>11429</v>
      </c>
      <c r="C1191" s="13" t="s">
        <v>11430</v>
      </c>
      <c r="D1191" s="13" t="s">
        <v>11431</v>
      </c>
      <c r="E1191" s="13" t="s">
        <v>11432</v>
      </c>
      <c r="F1191" s="13" t="s">
        <v>11433</v>
      </c>
      <c r="G1191" s="14" t="s">
        <v>11434</v>
      </c>
    </row>
    <row r="1192">
      <c r="A1192" s="13" t="s">
        <v>4552</v>
      </c>
      <c r="B1192" s="13" t="s">
        <v>11435</v>
      </c>
      <c r="C1192" s="13" t="s">
        <v>11436</v>
      </c>
      <c r="D1192" s="13" t="s">
        <v>11437</v>
      </c>
      <c r="E1192" s="13" t="s">
        <v>11438</v>
      </c>
      <c r="F1192" s="13" t="s">
        <v>11439</v>
      </c>
      <c r="G1192" s="14" t="s">
        <v>11440</v>
      </c>
    </row>
    <row r="1193">
      <c r="A1193" s="13" t="s">
        <v>4556</v>
      </c>
      <c r="B1193" s="13" t="s">
        <v>11441</v>
      </c>
      <c r="C1193" s="13" t="s">
        <v>11442</v>
      </c>
      <c r="D1193" s="13" t="s">
        <v>11443</v>
      </c>
      <c r="E1193" s="13" t="s">
        <v>11444</v>
      </c>
      <c r="F1193" s="13" t="s">
        <v>11445</v>
      </c>
      <c r="G1193" s="14" t="s">
        <v>11446</v>
      </c>
    </row>
    <row r="1194">
      <c r="A1194" s="13" t="s">
        <v>4561</v>
      </c>
      <c r="B1194" s="13" t="s">
        <v>11447</v>
      </c>
      <c r="C1194" s="13" t="s">
        <v>11448</v>
      </c>
      <c r="D1194" s="13" t="s">
        <v>11449</v>
      </c>
      <c r="E1194" s="13" t="s">
        <v>11450</v>
      </c>
      <c r="F1194" s="13" t="s">
        <v>11451</v>
      </c>
      <c r="G1194" s="14" t="s">
        <v>11452</v>
      </c>
    </row>
    <row r="1195">
      <c r="A1195" s="13" t="s">
        <v>4565</v>
      </c>
      <c r="B1195" s="13" t="s">
        <v>11453</v>
      </c>
      <c r="C1195" s="13" t="s">
        <v>11454</v>
      </c>
      <c r="D1195" s="13" t="s">
        <v>11455</v>
      </c>
      <c r="E1195" s="13" t="s">
        <v>11456</v>
      </c>
      <c r="F1195" s="13" t="s">
        <v>11457</v>
      </c>
      <c r="G1195" s="14" t="s">
        <v>11458</v>
      </c>
    </row>
    <row r="1196">
      <c r="A1196" s="13" t="s">
        <v>4569</v>
      </c>
      <c r="B1196" s="13" t="s">
        <v>11459</v>
      </c>
      <c r="C1196" s="13" t="s">
        <v>11460</v>
      </c>
      <c r="D1196" s="13" t="s">
        <v>11461</v>
      </c>
      <c r="E1196" s="13" t="s">
        <v>11462</v>
      </c>
      <c r="F1196" s="13" t="s">
        <v>11463</v>
      </c>
      <c r="G1196" s="14" t="s">
        <v>11464</v>
      </c>
    </row>
    <row r="1197">
      <c r="A1197" s="13" t="s">
        <v>4573</v>
      </c>
      <c r="B1197" s="13" t="s">
        <v>11465</v>
      </c>
      <c r="C1197" s="13" t="s">
        <v>11466</v>
      </c>
      <c r="D1197" s="13" t="s">
        <v>11467</v>
      </c>
      <c r="E1197" s="13" t="s">
        <v>11468</v>
      </c>
      <c r="F1197" s="13" t="s">
        <v>11469</v>
      </c>
      <c r="G1197" s="14" t="s">
        <v>11470</v>
      </c>
    </row>
    <row r="1198">
      <c r="A1198" s="13" t="s">
        <v>4577</v>
      </c>
      <c r="B1198" s="13" t="s">
        <v>11471</v>
      </c>
      <c r="C1198" s="13" t="s">
        <v>11472</v>
      </c>
      <c r="D1198" s="13" t="s">
        <v>11473</v>
      </c>
      <c r="E1198" s="13" t="s">
        <v>11474</v>
      </c>
      <c r="F1198" s="13" t="s">
        <v>11475</v>
      </c>
      <c r="G1198" s="14" t="s">
        <v>11476</v>
      </c>
    </row>
    <row r="1199">
      <c r="A1199" s="13" t="s">
        <v>4581</v>
      </c>
      <c r="B1199" s="13" t="s">
        <v>11477</v>
      </c>
      <c r="C1199" s="13" t="s">
        <v>11478</v>
      </c>
      <c r="D1199" s="13" t="s">
        <v>11479</v>
      </c>
      <c r="E1199" s="13" t="s">
        <v>11480</v>
      </c>
      <c r="F1199" s="13" t="s">
        <v>11481</v>
      </c>
      <c r="G1199" s="14" t="s">
        <v>11482</v>
      </c>
    </row>
    <row r="1200">
      <c r="A1200" s="13" t="s">
        <v>4586</v>
      </c>
      <c r="B1200" s="13" t="s">
        <v>11483</v>
      </c>
      <c r="C1200" s="13" t="s">
        <v>11484</v>
      </c>
      <c r="D1200" s="13" t="s">
        <v>11485</v>
      </c>
      <c r="E1200" s="13" t="s">
        <v>11486</v>
      </c>
      <c r="F1200" s="13" t="s">
        <v>11487</v>
      </c>
      <c r="G1200" s="14" t="s">
        <v>11488</v>
      </c>
    </row>
    <row r="1201">
      <c r="A1201" s="13" t="s">
        <v>4590</v>
      </c>
      <c r="B1201" s="13" t="s">
        <v>11489</v>
      </c>
      <c r="C1201" s="13" t="s">
        <v>11490</v>
      </c>
      <c r="D1201" s="13" t="s">
        <v>11491</v>
      </c>
      <c r="E1201" s="13" t="s">
        <v>11492</v>
      </c>
      <c r="F1201" s="13" t="s">
        <v>11493</v>
      </c>
      <c r="G1201" s="14" t="s">
        <v>11494</v>
      </c>
    </row>
    <row r="1202">
      <c r="A1202" s="13" t="s">
        <v>4594</v>
      </c>
      <c r="B1202" s="13" t="s">
        <v>11495</v>
      </c>
      <c r="C1202" s="13" t="s">
        <v>11496</v>
      </c>
      <c r="D1202" s="13" t="s">
        <v>11497</v>
      </c>
      <c r="E1202" s="13" t="s">
        <v>11498</v>
      </c>
      <c r="F1202" s="13" t="s">
        <v>11499</v>
      </c>
      <c r="G1202" s="14" t="s">
        <v>11500</v>
      </c>
    </row>
    <row r="1203">
      <c r="A1203" s="13" t="s">
        <v>4599</v>
      </c>
      <c r="B1203" s="13" t="s">
        <v>11501</v>
      </c>
      <c r="C1203" s="13" t="s">
        <v>11502</v>
      </c>
      <c r="D1203" s="13" t="s">
        <v>11503</v>
      </c>
      <c r="E1203" s="13" t="s">
        <v>11504</v>
      </c>
      <c r="F1203" s="13" t="s">
        <v>11505</v>
      </c>
      <c r="G1203" s="14" t="s">
        <v>11506</v>
      </c>
    </row>
    <row r="1204">
      <c r="A1204" s="13" t="s">
        <v>4603</v>
      </c>
      <c r="B1204" s="13" t="s">
        <v>11507</v>
      </c>
      <c r="C1204" s="13" t="s">
        <v>11508</v>
      </c>
      <c r="D1204" s="13" t="s">
        <v>11509</v>
      </c>
      <c r="E1204" s="13" t="s">
        <v>11510</v>
      </c>
      <c r="F1204" s="13" t="s">
        <v>11511</v>
      </c>
      <c r="G1204" s="14" t="s">
        <v>11512</v>
      </c>
    </row>
    <row r="1205">
      <c r="A1205" s="13" t="s">
        <v>4607</v>
      </c>
      <c r="B1205" s="13" t="s">
        <v>11513</v>
      </c>
      <c r="C1205" s="13" t="s">
        <v>11514</v>
      </c>
      <c r="D1205" s="13" t="s">
        <v>11515</v>
      </c>
      <c r="E1205" s="13" t="s">
        <v>11516</v>
      </c>
      <c r="F1205" s="13" t="s">
        <v>11517</v>
      </c>
      <c r="G1205" s="14" t="s">
        <v>11518</v>
      </c>
    </row>
    <row r="1206">
      <c r="A1206" s="13" t="s">
        <v>4611</v>
      </c>
      <c r="B1206" s="13" t="s">
        <v>11519</v>
      </c>
      <c r="C1206" s="13" t="s">
        <v>11520</v>
      </c>
      <c r="D1206" s="13" t="s">
        <v>11521</v>
      </c>
      <c r="E1206" s="13" t="s">
        <v>11522</v>
      </c>
      <c r="F1206" s="13" t="s">
        <v>11523</v>
      </c>
      <c r="G1206" s="14" t="s">
        <v>11524</v>
      </c>
    </row>
    <row r="1207">
      <c r="A1207" s="13" t="s">
        <v>4615</v>
      </c>
      <c r="B1207" s="13" t="s">
        <v>11525</v>
      </c>
      <c r="C1207" s="13" t="s">
        <v>11526</v>
      </c>
      <c r="D1207" s="13" t="s">
        <v>11527</v>
      </c>
      <c r="E1207" s="13" t="s">
        <v>11528</v>
      </c>
      <c r="F1207" s="13" t="s">
        <v>11529</v>
      </c>
      <c r="G1207" s="14" t="s">
        <v>11530</v>
      </c>
    </row>
    <row r="1208">
      <c r="A1208" s="13" t="s">
        <v>4620</v>
      </c>
      <c r="B1208" s="13" t="s">
        <v>11531</v>
      </c>
      <c r="C1208" s="13" t="s">
        <v>11532</v>
      </c>
      <c r="D1208" s="13" t="s">
        <v>11533</v>
      </c>
      <c r="E1208" s="13" t="s">
        <v>11534</v>
      </c>
      <c r="F1208" s="13" t="s">
        <v>11535</v>
      </c>
      <c r="G1208" s="14" t="s">
        <v>11536</v>
      </c>
    </row>
    <row r="1209">
      <c r="A1209" s="13" t="s">
        <v>4625</v>
      </c>
      <c r="B1209" s="13" t="s">
        <v>11537</v>
      </c>
      <c r="C1209" s="13" t="s">
        <v>11538</v>
      </c>
      <c r="D1209" s="13" t="s">
        <v>11539</v>
      </c>
      <c r="E1209" s="13" t="s">
        <v>11540</v>
      </c>
      <c r="F1209" s="13" t="s">
        <v>11541</v>
      </c>
      <c r="G1209" s="14" t="s">
        <v>11542</v>
      </c>
    </row>
    <row r="1210">
      <c r="A1210" s="13" t="s">
        <v>4629</v>
      </c>
      <c r="B1210" s="13" t="s">
        <v>11543</v>
      </c>
      <c r="C1210" s="13" t="s">
        <v>11544</v>
      </c>
      <c r="D1210" s="13" t="s">
        <v>11545</v>
      </c>
      <c r="E1210" s="13" t="s">
        <v>11546</v>
      </c>
      <c r="F1210" s="13" t="s">
        <v>11547</v>
      </c>
      <c r="G1210" s="14" t="s">
        <v>11548</v>
      </c>
    </row>
    <row r="1211">
      <c r="A1211" s="13" t="s">
        <v>4633</v>
      </c>
      <c r="B1211" s="13" t="s">
        <v>11549</v>
      </c>
      <c r="C1211" s="13" t="s">
        <v>11550</v>
      </c>
      <c r="D1211" s="13" t="s">
        <v>11551</v>
      </c>
      <c r="E1211" s="13" t="s">
        <v>11552</v>
      </c>
      <c r="F1211" s="13" t="s">
        <v>11553</v>
      </c>
      <c r="G1211" s="14" t="s">
        <v>11554</v>
      </c>
    </row>
    <row r="1212">
      <c r="A1212" s="13" t="s">
        <v>4637</v>
      </c>
      <c r="B1212" s="13" t="s">
        <v>11555</v>
      </c>
      <c r="C1212" s="13" t="s">
        <v>11556</v>
      </c>
      <c r="D1212" s="13" t="s">
        <v>11557</v>
      </c>
      <c r="E1212" s="13" t="s">
        <v>11558</v>
      </c>
      <c r="F1212" s="13" t="s">
        <v>11559</v>
      </c>
      <c r="G1212" s="14" t="s">
        <v>11560</v>
      </c>
    </row>
    <row r="1213">
      <c r="A1213" s="13" t="s">
        <v>4641</v>
      </c>
      <c r="B1213" s="13" t="s">
        <v>11561</v>
      </c>
      <c r="C1213" s="13" t="s">
        <v>11562</v>
      </c>
      <c r="D1213" s="13" t="s">
        <v>11563</v>
      </c>
      <c r="E1213" s="13" t="s">
        <v>11564</v>
      </c>
      <c r="F1213" s="13" t="s">
        <v>11565</v>
      </c>
      <c r="G1213" s="14" t="s">
        <v>11566</v>
      </c>
    </row>
    <row r="1214">
      <c r="A1214" s="13" t="s">
        <v>4645</v>
      </c>
      <c r="B1214" s="13" t="s">
        <v>11567</v>
      </c>
      <c r="C1214" s="13" t="s">
        <v>11568</v>
      </c>
      <c r="D1214" s="13" t="s">
        <v>11569</v>
      </c>
      <c r="E1214" s="13" t="s">
        <v>11570</v>
      </c>
      <c r="F1214" s="13" t="s">
        <v>11571</v>
      </c>
      <c r="G1214" s="14" t="s">
        <v>11572</v>
      </c>
    </row>
    <row r="1215">
      <c r="A1215" s="13" t="s">
        <v>4649</v>
      </c>
      <c r="B1215" s="13" t="s">
        <v>11573</v>
      </c>
      <c r="C1215" s="13" t="s">
        <v>11574</v>
      </c>
      <c r="D1215" s="13" t="s">
        <v>11575</v>
      </c>
      <c r="E1215" s="13" t="s">
        <v>11576</v>
      </c>
      <c r="F1215" s="13" t="s">
        <v>11577</v>
      </c>
      <c r="G1215" s="14" t="s">
        <v>11578</v>
      </c>
    </row>
    <row r="1216">
      <c r="A1216" s="13" t="s">
        <v>4653</v>
      </c>
      <c r="B1216" s="13" t="s">
        <v>11579</v>
      </c>
      <c r="C1216" s="13" t="s">
        <v>11580</v>
      </c>
      <c r="D1216" s="13" t="s">
        <v>11581</v>
      </c>
      <c r="E1216" s="13" t="s">
        <v>11582</v>
      </c>
      <c r="F1216" s="13" t="s">
        <v>11583</v>
      </c>
      <c r="G1216" s="14" t="s">
        <v>11584</v>
      </c>
    </row>
    <row r="1217">
      <c r="A1217" s="13" t="s">
        <v>4657</v>
      </c>
      <c r="B1217" s="13" t="s">
        <v>11585</v>
      </c>
      <c r="C1217" s="13" t="s">
        <v>11586</v>
      </c>
      <c r="D1217" s="13" t="s">
        <v>11587</v>
      </c>
      <c r="E1217" s="13" t="s">
        <v>11588</v>
      </c>
      <c r="F1217" s="13" t="s">
        <v>11589</v>
      </c>
      <c r="G1217" s="14" t="s">
        <v>11590</v>
      </c>
    </row>
    <row r="1218">
      <c r="A1218" s="13" t="s">
        <v>4661</v>
      </c>
      <c r="B1218" s="13" t="s">
        <v>11591</v>
      </c>
      <c r="C1218" s="13" t="s">
        <v>11592</v>
      </c>
      <c r="D1218" s="13" t="s">
        <v>11593</v>
      </c>
      <c r="E1218" s="13" t="s">
        <v>11594</v>
      </c>
      <c r="F1218" s="13" t="s">
        <v>11595</v>
      </c>
      <c r="G1218" s="14" t="s">
        <v>11596</v>
      </c>
    </row>
    <row r="1219">
      <c r="A1219" s="13" t="s">
        <v>4665</v>
      </c>
      <c r="B1219" s="13" t="s">
        <v>11597</v>
      </c>
      <c r="C1219" s="13" t="s">
        <v>11598</v>
      </c>
      <c r="D1219" s="13" t="s">
        <v>11599</v>
      </c>
      <c r="E1219" s="13" t="s">
        <v>11600</v>
      </c>
      <c r="F1219" s="13" t="s">
        <v>11601</v>
      </c>
      <c r="G1219" s="14" t="s">
        <v>11602</v>
      </c>
    </row>
    <row r="1220">
      <c r="A1220" s="13" t="s">
        <v>4669</v>
      </c>
      <c r="B1220" s="13" t="s">
        <v>11603</v>
      </c>
      <c r="C1220" s="13" t="s">
        <v>11604</v>
      </c>
      <c r="D1220" s="13" t="s">
        <v>11605</v>
      </c>
      <c r="E1220" s="13" t="s">
        <v>11606</v>
      </c>
      <c r="F1220" s="13" t="s">
        <v>11607</v>
      </c>
      <c r="G1220" s="14" t="s">
        <v>11608</v>
      </c>
    </row>
    <row r="1221">
      <c r="A1221" s="13" t="s">
        <v>4673</v>
      </c>
      <c r="B1221" s="13" t="s">
        <v>11609</v>
      </c>
      <c r="C1221" s="13" t="s">
        <v>11610</v>
      </c>
      <c r="D1221" s="13" t="s">
        <v>11611</v>
      </c>
      <c r="E1221" s="13" t="s">
        <v>11612</v>
      </c>
      <c r="F1221" s="13" t="s">
        <v>11613</v>
      </c>
      <c r="G1221" s="14" t="s">
        <v>11614</v>
      </c>
    </row>
    <row r="1222">
      <c r="A1222" s="13" t="s">
        <v>4677</v>
      </c>
      <c r="B1222" s="13" t="s">
        <v>11615</v>
      </c>
      <c r="C1222" s="13" t="s">
        <v>11616</v>
      </c>
      <c r="D1222" s="13" t="s">
        <v>11617</v>
      </c>
      <c r="E1222" s="13" t="s">
        <v>11618</v>
      </c>
      <c r="F1222" s="13" t="s">
        <v>11619</v>
      </c>
      <c r="G1222" s="14" t="s">
        <v>11620</v>
      </c>
    </row>
    <row r="1223">
      <c r="A1223" s="13" t="s">
        <v>4681</v>
      </c>
      <c r="B1223" s="13" t="s">
        <v>11621</v>
      </c>
      <c r="C1223" s="13" t="s">
        <v>11622</v>
      </c>
      <c r="D1223" s="13" t="s">
        <v>11623</v>
      </c>
      <c r="E1223" s="13" t="s">
        <v>11624</v>
      </c>
      <c r="F1223" s="13" t="s">
        <v>11625</v>
      </c>
      <c r="G1223" s="14" t="s">
        <v>11626</v>
      </c>
    </row>
    <row r="1224">
      <c r="A1224" s="13" t="s">
        <v>4686</v>
      </c>
      <c r="B1224" s="13" t="s">
        <v>11627</v>
      </c>
      <c r="C1224" s="13" t="s">
        <v>11628</v>
      </c>
      <c r="D1224" s="13" t="s">
        <v>11629</v>
      </c>
      <c r="E1224" s="13" t="s">
        <v>11630</v>
      </c>
      <c r="F1224" s="13" t="s">
        <v>11631</v>
      </c>
      <c r="G1224" s="14" t="s">
        <v>11632</v>
      </c>
    </row>
    <row r="1225">
      <c r="A1225" s="13" t="s">
        <v>4690</v>
      </c>
      <c r="B1225" s="13" t="s">
        <v>11633</v>
      </c>
      <c r="C1225" s="13" t="s">
        <v>11634</v>
      </c>
      <c r="D1225" s="13" t="s">
        <v>11635</v>
      </c>
      <c r="E1225" s="13" t="s">
        <v>11636</v>
      </c>
      <c r="F1225" s="13" t="s">
        <v>11637</v>
      </c>
      <c r="G1225" s="14" t="s">
        <v>11638</v>
      </c>
    </row>
    <row r="1226">
      <c r="A1226" s="13" t="s">
        <v>4694</v>
      </c>
      <c r="B1226" s="13" t="s">
        <v>11639</v>
      </c>
      <c r="C1226" s="13" t="s">
        <v>11640</v>
      </c>
      <c r="D1226" s="13" t="s">
        <v>11641</v>
      </c>
      <c r="E1226" s="13" t="s">
        <v>11642</v>
      </c>
      <c r="F1226" s="13" t="s">
        <v>11643</v>
      </c>
      <c r="G1226" s="14" t="s">
        <v>11644</v>
      </c>
    </row>
    <row r="1227">
      <c r="A1227" s="13" t="s">
        <v>4699</v>
      </c>
      <c r="B1227" s="13" t="s">
        <v>11645</v>
      </c>
      <c r="C1227" s="13" t="s">
        <v>11646</v>
      </c>
      <c r="D1227" s="13" t="s">
        <v>11647</v>
      </c>
      <c r="E1227" s="13" t="s">
        <v>11648</v>
      </c>
      <c r="F1227" s="13" t="s">
        <v>11649</v>
      </c>
      <c r="G1227" s="14" t="s">
        <v>11650</v>
      </c>
    </row>
    <row r="1228">
      <c r="A1228" s="13" t="s">
        <v>4703</v>
      </c>
      <c r="B1228" s="13" t="s">
        <v>11651</v>
      </c>
      <c r="C1228" s="13" t="s">
        <v>11652</v>
      </c>
      <c r="D1228" s="13" t="s">
        <v>11653</v>
      </c>
      <c r="E1228" s="13" t="s">
        <v>11654</v>
      </c>
      <c r="F1228" s="13" t="s">
        <v>11655</v>
      </c>
      <c r="G1228" s="14" t="s">
        <v>11656</v>
      </c>
    </row>
    <row r="1229">
      <c r="A1229" s="13" t="s">
        <v>4707</v>
      </c>
      <c r="B1229" s="13" t="s">
        <v>11657</v>
      </c>
      <c r="C1229" s="13" t="s">
        <v>11658</v>
      </c>
      <c r="D1229" s="13" t="s">
        <v>11659</v>
      </c>
      <c r="E1229" s="13" t="s">
        <v>11660</v>
      </c>
      <c r="F1229" s="13" t="s">
        <v>11661</v>
      </c>
      <c r="G1229" s="14" t="s">
        <v>11662</v>
      </c>
    </row>
    <row r="1230">
      <c r="A1230" s="13" t="s">
        <v>4711</v>
      </c>
      <c r="B1230" s="13" t="s">
        <v>11663</v>
      </c>
      <c r="C1230" s="13" t="s">
        <v>11664</v>
      </c>
      <c r="D1230" s="13" t="s">
        <v>11665</v>
      </c>
      <c r="E1230" s="13" t="s">
        <v>11666</v>
      </c>
      <c r="F1230" s="13" t="s">
        <v>11667</v>
      </c>
      <c r="G1230" s="14" t="s">
        <v>11668</v>
      </c>
    </row>
    <row r="1231">
      <c r="A1231" s="13" t="s">
        <v>4715</v>
      </c>
      <c r="B1231" s="13" t="s">
        <v>11669</v>
      </c>
      <c r="C1231" s="13" t="s">
        <v>11670</v>
      </c>
      <c r="D1231" s="13" t="s">
        <v>11671</v>
      </c>
      <c r="E1231" s="13" t="s">
        <v>11672</v>
      </c>
      <c r="F1231" s="13" t="s">
        <v>11673</v>
      </c>
      <c r="G1231" s="14" t="s">
        <v>10534</v>
      </c>
    </row>
    <row r="1232">
      <c r="A1232" s="13" t="s">
        <v>4719</v>
      </c>
      <c r="B1232" s="13" t="s">
        <v>11674</v>
      </c>
      <c r="C1232" s="13" t="s">
        <v>11675</v>
      </c>
      <c r="D1232" s="13" t="s">
        <v>11676</v>
      </c>
      <c r="E1232" s="13" t="s">
        <v>11677</v>
      </c>
      <c r="F1232" s="13" t="s">
        <v>11678</v>
      </c>
      <c r="G1232" s="14" t="s">
        <v>11679</v>
      </c>
    </row>
    <row r="1233">
      <c r="A1233" s="13" t="s">
        <v>4723</v>
      </c>
      <c r="B1233" s="13" t="s">
        <v>11680</v>
      </c>
      <c r="C1233" s="13" t="s">
        <v>11681</v>
      </c>
      <c r="D1233" s="13" t="s">
        <v>11682</v>
      </c>
      <c r="E1233" s="13" t="s">
        <v>11683</v>
      </c>
      <c r="F1233" s="13" t="s">
        <v>11684</v>
      </c>
      <c r="G1233" s="14" t="s">
        <v>11685</v>
      </c>
    </row>
    <row r="1234">
      <c r="A1234" s="13" t="s">
        <v>4727</v>
      </c>
      <c r="B1234" s="13" t="s">
        <v>11686</v>
      </c>
      <c r="C1234" s="13" t="s">
        <v>11687</v>
      </c>
      <c r="D1234" s="13" t="s">
        <v>11688</v>
      </c>
      <c r="E1234" s="13" t="s">
        <v>11689</v>
      </c>
      <c r="F1234" s="13" t="s">
        <v>11690</v>
      </c>
      <c r="G1234" s="14" t="s">
        <v>11691</v>
      </c>
    </row>
    <row r="1235">
      <c r="A1235" s="13" t="s">
        <v>4731</v>
      </c>
      <c r="B1235" s="13" t="s">
        <v>11692</v>
      </c>
      <c r="C1235" s="13" t="s">
        <v>11693</v>
      </c>
      <c r="D1235" s="13" t="s">
        <v>11694</v>
      </c>
      <c r="E1235" s="13" t="s">
        <v>11695</v>
      </c>
      <c r="F1235" s="13" t="s">
        <v>11696</v>
      </c>
      <c r="G1235" s="14" t="s">
        <v>11697</v>
      </c>
    </row>
    <row r="1236">
      <c r="A1236" s="13" t="s">
        <v>4735</v>
      </c>
      <c r="B1236" s="13" t="s">
        <v>11698</v>
      </c>
      <c r="C1236" s="13" t="s">
        <v>11699</v>
      </c>
      <c r="D1236" s="13" t="s">
        <v>11700</v>
      </c>
      <c r="E1236" s="13" t="s">
        <v>11701</v>
      </c>
      <c r="F1236" s="13" t="s">
        <v>11702</v>
      </c>
      <c r="G1236" s="14" t="s">
        <v>11703</v>
      </c>
    </row>
    <row r="1237">
      <c r="A1237" s="13" t="s">
        <v>4739</v>
      </c>
      <c r="B1237" s="13" t="s">
        <v>11704</v>
      </c>
      <c r="C1237" s="13" t="s">
        <v>11705</v>
      </c>
      <c r="D1237" s="13" t="s">
        <v>11706</v>
      </c>
      <c r="E1237" s="13" t="s">
        <v>11707</v>
      </c>
      <c r="F1237" s="13" t="s">
        <v>11708</v>
      </c>
      <c r="G1237" s="14" t="s">
        <v>11709</v>
      </c>
    </row>
    <row r="1238">
      <c r="A1238" s="13" t="s">
        <v>4743</v>
      </c>
      <c r="B1238" s="13" t="s">
        <v>11710</v>
      </c>
      <c r="C1238" s="13" t="s">
        <v>11711</v>
      </c>
      <c r="D1238" s="13" t="s">
        <v>11712</v>
      </c>
      <c r="E1238" s="13" t="s">
        <v>11713</v>
      </c>
      <c r="F1238" s="13" t="s">
        <v>11714</v>
      </c>
      <c r="G1238" s="14" t="s">
        <v>11715</v>
      </c>
    </row>
    <row r="1239">
      <c r="A1239" s="13" t="s">
        <v>4747</v>
      </c>
      <c r="B1239" s="13" t="s">
        <v>11716</v>
      </c>
      <c r="C1239" s="13" t="s">
        <v>11717</v>
      </c>
      <c r="D1239" s="13" t="s">
        <v>11718</v>
      </c>
      <c r="E1239" s="13" t="s">
        <v>11719</v>
      </c>
      <c r="F1239" s="13" t="s">
        <v>11720</v>
      </c>
      <c r="G1239" s="14" t="s">
        <v>11721</v>
      </c>
    </row>
    <row r="1240">
      <c r="A1240" s="13" t="s">
        <v>4751</v>
      </c>
      <c r="B1240" s="13" t="s">
        <v>11722</v>
      </c>
      <c r="C1240" s="13" t="s">
        <v>11723</v>
      </c>
      <c r="D1240" s="13" t="s">
        <v>11724</v>
      </c>
      <c r="E1240" s="13" t="s">
        <v>11725</v>
      </c>
      <c r="F1240" s="13" t="s">
        <v>11726</v>
      </c>
      <c r="G1240" s="14" t="s">
        <v>11727</v>
      </c>
    </row>
    <row r="1241">
      <c r="A1241" s="13" t="s">
        <v>4755</v>
      </c>
      <c r="B1241" s="13" t="s">
        <v>11728</v>
      </c>
      <c r="C1241" s="13" t="s">
        <v>11729</v>
      </c>
      <c r="D1241" s="13" t="s">
        <v>11730</v>
      </c>
      <c r="E1241" s="13" t="s">
        <v>11731</v>
      </c>
      <c r="F1241" s="13" t="s">
        <v>11732</v>
      </c>
      <c r="G1241" s="14" t="s">
        <v>11733</v>
      </c>
    </row>
    <row r="1242">
      <c r="A1242" s="13" t="s">
        <v>4759</v>
      </c>
      <c r="B1242" s="13" t="s">
        <v>11734</v>
      </c>
      <c r="C1242" s="13" t="s">
        <v>11735</v>
      </c>
      <c r="D1242" s="13" t="s">
        <v>11736</v>
      </c>
      <c r="E1242" s="13" t="s">
        <v>11737</v>
      </c>
      <c r="F1242" s="13" t="s">
        <v>11738</v>
      </c>
      <c r="G1242" s="14" t="s">
        <v>11739</v>
      </c>
    </row>
    <row r="1243">
      <c r="A1243" s="13" t="s">
        <v>4763</v>
      </c>
      <c r="B1243" s="13" t="s">
        <v>11740</v>
      </c>
      <c r="C1243" s="13" t="s">
        <v>11741</v>
      </c>
      <c r="D1243" s="13" t="s">
        <v>11742</v>
      </c>
      <c r="E1243" s="13" t="s">
        <v>11743</v>
      </c>
      <c r="F1243" s="13" t="s">
        <v>11744</v>
      </c>
      <c r="G1243" s="14" t="s">
        <v>11745</v>
      </c>
    </row>
    <row r="1244">
      <c r="A1244" s="13" t="s">
        <v>4767</v>
      </c>
      <c r="B1244" s="13" t="s">
        <v>11746</v>
      </c>
      <c r="C1244" s="13" t="s">
        <v>11747</v>
      </c>
      <c r="D1244" s="13" t="s">
        <v>11748</v>
      </c>
      <c r="E1244" s="13" t="s">
        <v>11749</v>
      </c>
      <c r="F1244" s="13" t="s">
        <v>11750</v>
      </c>
      <c r="G1244" s="14" t="s">
        <v>11751</v>
      </c>
    </row>
    <row r="1245">
      <c r="A1245" s="13" t="s">
        <v>4771</v>
      </c>
      <c r="B1245" s="13" t="s">
        <v>11752</v>
      </c>
      <c r="C1245" s="13" t="s">
        <v>11753</v>
      </c>
      <c r="D1245" s="13" t="s">
        <v>11754</v>
      </c>
      <c r="E1245" s="13" t="s">
        <v>11755</v>
      </c>
      <c r="F1245" s="13" t="s">
        <v>11756</v>
      </c>
      <c r="G1245" s="14" t="s">
        <v>11757</v>
      </c>
    </row>
    <row r="1246">
      <c r="A1246" s="13" t="s">
        <v>4775</v>
      </c>
      <c r="B1246" s="13" t="s">
        <v>11758</v>
      </c>
      <c r="C1246" s="13" t="s">
        <v>11759</v>
      </c>
      <c r="D1246" s="13" t="s">
        <v>11760</v>
      </c>
      <c r="E1246" s="13" t="s">
        <v>11761</v>
      </c>
      <c r="F1246" s="13" t="s">
        <v>11762</v>
      </c>
      <c r="G1246" s="14" t="s">
        <v>11763</v>
      </c>
    </row>
    <row r="1247">
      <c r="A1247" s="13" t="s">
        <v>4779</v>
      </c>
      <c r="B1247" s="13" t="s">
        <v>11764</v>
      </c>
      <c r="C1247" s="13" t="s">
        <v>11765</v>
      </c>
      <c r="D1247" s="13" t="s">
        <v>11766</v>
      </c>
      <c r="E1247" s="13" t="s">
        <v>11767</v>
      </c>
      <c r="F1247" s="13" t="s">
        <v>11768</v>
      </c>
      <c r="G1247" s="14" t="s">
        <v>11769</v>
      </c>
    </row>
    <row r="1248">
      <c r="A1248" s="13" t="s">
        <v>4783</v>
      </c>
      <c r="B1248" s="13" t="s">
        <v>11770</v>
      </c>
      <c r="C1248" s="13" t="s">
        <v>11771</v>
      </c>
      <c r="D1248" s="13" t="s">
        <v>11772</v>
      </c>
      <c r="E1248" s="13" t="s">
        <v>11773</v>
      </c>
      <c r="F1248" s="13" t="s">
        <v>11774</v>
      </c>
      <c r="G1248" s="14" t="s">
        <v>11775</v>
      </c>
    </row>
    <row r="1249">
      <c r="A1249" s="13" t="s">
        <v>4787</v>
      </c>
      <c r="B1249" s="13" t="s">
        <v>11776</v>
      </c>
      <c r="C1249" s="13" t="s">
        <v>11777</v>
      </c>
      <c r="D1249" s="13" t="s">
        <v>11778</v>
      </c>
      <c r="E1249" s="13" t="s">
        <v>11779</v>
      </c>
      <c r="F1249" s="13" t="s">
        <v>11780</v>
      </c>
      <c r="G1249" s="14" t="s">
        <v>11781</v>
      </c>
    </row>
    <row r="1250">
      <c r="A1250" s="13" t="s">
        <v>4792</v>
      </c>
      <c r="B1250" s="13" t="s">
        <v>11782</v>
      </c>
      <c r="C1250" s="13" t="s">
        <v>11783</v>
      </c>
      <c r="D1250" s="13" t="s">
        <v>11784</v>
      </c>
      <c r="E1250" s="13" t="s">
        <v>11785</v>
      </c>
      <c r="F1250" s="13" t="s">
        <v>11786</v>
      </c>
      <c r="G1250" s="14" t="s">
        <v>11787</v>
      </c>
    </row>
    <row r="1251">
      <c r="A1251" s="13" t="s">
        <v>4796</v>
      </c>
      <c r="B1251" s="13" t="s">
        <v>11788</v>
      </c>
      <c r="C1251" s="13" t="s">
        <v>11789</v>
      </c>
      <c r="D1251" s="13" t="s">
        <v>11790</v>
      </c>
      <c r="E1251" s="13" t="s">
        <v>11791</v>
      </c>
      <c r="F1251" s="13" t="s">
        <v>11792</v>
      </c>
      <c r="G1251" s="14" t="s">
        <v>11793</v>
      </c>
    </row>
    <row r="1252">
      <c r="A1252" s="13" t="s">
        <v>4800</v>
      </c>
      <c r="B1252" s="13" t="s">
        <v>11794</v>
      </c>
      <c r="C1252" s="13" t="s">
        <v>11795</v>
      </c>
      <c r="D1252" s="13" t="s">
        <v>11796</v>
      </c>
      <c r="E1252" s="13" t="s">
        <v>11797</v>
      </c>
      <c r="F1252" s="13" t="s">
        <v>11798</v>
      </c>
      <c r="G1252" s="14" t="s">
        <v>11799</v>
      </c>
    </row>
    <row r="1253">
      <c r="A1253" s="13" t="s">
        <v>4804</v>
      </c>
      <c r="B1253" s="13" t="s">
        <v>11800</v>
      </c>
      <c r="C1253" s="13" t="s">
        <v>11801</v>
      </c>
      <c r="D1253" s="13" t="s">
        <v>11802</v>
      </c>
      <c r="E1253" s="13" t="s">
        <v>11803</v>
      </c>
      <c r="F1253" s="13" t="s">
        <v>11804</v>
      </c>
      <c r="G1253" s="14" t="s">
        <v>11805</v>
      </c>
    </row>
    <row r="1254">
      <c r="A1254" s="13" t="s">
        <v>4808</v>
      </c>
      <c r="B1254" s="13" t="s">
        <v>11806</v>
      </c>
      <c r="C1254" s="13" t="s">
        <v>11807</v>
      </c>
      <c r="D1254" s="13" t="s">
        <v>11808</v>
      </c>
      <c r="E1254" s="13" t="s">
        <v>11809</v>
      </c>
      <c r="F1254" s="13" t="s">
        <v>11810</v>
      </c>
      <c r="G1254" s="14" t="s">
        <v>11811</v>
      </c>
    </row>
    <row r="1255">
      <c r="A1255" s="13" t="s">
        <v>4812</v>
      </c>
      <c r="B1255" s="13" t="s">
        <v>11812</v>
      </c>
      <c r="C1255" s="13" t="s">
        <v>11813</v>
      </c>
      <c r="D1255" s="13" t="s">
        <v>11814</v>
      </c>
      <c r="E1255" s="13" t="s">
        <v>11815</v>
      </c>
      <c r="F1255" s="13" t="s">
        <v>11816</v>
      </c>
      <c r="G1255" s="14" t="s">
        <v>11817</v>
      </c>
    </row>
    <row r="1256">
      <c r="A1256" s="13" t="s">
        <v>4816</v>
      </c>
      <c r="B1256" s="13" t="s">
        <v>11818</v>
      </c>
      <c r="C1256" s="13" t="s">
        <v>11819</v>
      </c>
      <c r="D1256" s="13" t="s">
        <v>11820</v>
      </c>
      <c r="E1256" s="13" t="s">
        <v>11821</v>
      </c>
      <c r="F1256" s="13" t="s">
        <v>11822</v>
      </c>
      <c r="G1256" s="14" t="s">
        <v>11823</v>
      </c>
    </row>
    <row r="1257">
      <c r="A1257" s="13" t="s">
        <v>4820</v>
      </c>
      <c r="B1257" s="13" t="s">
        <v>11824</v>
      </c>
      <c r="C1257" s="13" t="s">
        <v>11825</v>
      </c>
      <c r="D1257" s="13" t="s">
        <v>11826</v>
      </c>
      <c r="E1257" s="13" t="s">
        <v>11827</v>
      </c>
      <c r="F1257" s="13" t="s">
        <v>11828</v>
      </c>
      <c r="G1257" s="14" t="s">
        <v>11829</v>
      </c>
    </row>
    <row r="1258">
      <c r="A1258" s="13" t="s">
        <v>4824</v>
      </c>
      <c r="B1258" s="13" t="s">
        <v>11830</v>
      </c>
      <c r="C1258" s="13" t="s">
        <v>11831</v>
      </c>
      <c r="D1258" s="13" t="s">
        <v>11832</v>
      </c>
      <c r="E1258" s="13" t="s">
        <v>11833</v>
      </c>
      <c r="F1258" s="13" t="s">
        <v>11834</v>
      </c>
      <c r="G1258" s="14" t="s">
        <v>11835</v>
      </c>
    </row>
    <row r="1259">
      <c r="A1259" s="13" t="s">
        <v>4828</v>
      </c>
      <c r="B1259" s="13" t="s">
        <v>11836</v>
      </c>
      <c r="C1259" s="13" t="s">
        <v>11837</v>
      </c>
      <c r="D1259" s="13" t="s">
        <v>11838</v>
      </c>
      <c r="E1259" s="13" t="s">
        <v>11839</v>
      </c>
      <c r="F1259" s="13" t="s">
        <v>11840</v>
      </c>
      <c r="G1259" s="14" t="s">
        <v>11841</v>
      </c>
    </row>
    <row r="1260">
      <c r="A1260" s="13" t="s">
        <v>4832</v>
      </c>
      <c r="B1260" s="13" t="s">
        <v>11842</v>
      </c>
      <c r="C1260" s="13" t="s">
        <v>11843</v>
      </c>
      <c r="D1260" s="13" t="s">
        <v>11844</v>
      </c>
      <c r="E1260" s="13" t="s">
        <v>11845</v>
      </c>
      <c r="F1260" s="13" t="s">
        <v>11846</v>
      </c>
      <c r="G1260" s="14" t="s">
        <v>11847</v>
      </c>
    </row>
    <row r="1261">
      <c r="A1261" s="13" t="s">
        <v>4836</v>
      </c>
      <c r="B1261" s="13" t="s">
        <v>11848</v>
      </c>
      <c r="C1261" s="13" t="s">
        <v>11849</v>
      </c>
      <c r="D1261" s="13" t="s">
        <v>11850</v>
      </c>
      <c r="E1261" s="13" t="s">
        <v>11851</v>
      </c>
      <c r="F1261" s="13" t="s">
        <v>11852</v>
      </c>
      <c r="G1261" s="14" t="s">
        <v>11853</v>
      </c>
    </row>
    <row r="1262">
      <c r="A1262" s="13" t="s">
        <v>4840</v>
      </c>
      <c r="B1262" s="13" t="s">
        <v>11854</v>
      </c>
      <c r="C1262" s="13" t="s">
        <v>11855</v>
      </c>
      <c r="D1262" s="13" t="s">
        <v>11856</v>
      </c>
      <c r="E1262" s="13" t="s">
        <v>11857</v>
      </c>
      <c r="F1262" s="13" t="s">
        <v>11858</v>
      </c>
      <c r="G1262" s="14" t="s">
        <v>11859</v>
      </c>
    </row>
    <row r="1263">
      <c r="A1263" s="13" t="s">
        <v>4845</v>
      </c>
      <c r="B1263" s="13" t="s">
        <v>11860</v>
      </c>
      <c r="C1263" s="13" t="s">
        <v>11861</v>
      </c>
      <c r="D1263" s="13" t="s">
        <v>11862</v>
      </c>
      <c r="E1263" s="13" t="s">
        <v>11863</v>
      </c>
      <c r="F1263" s="13" t="s">
        <v>11864</v>
      </c>
      <c r="G1263" s="14" t="s">
        <v>11865</v>
      </c>
    </row>
    <row r="1264">
      <c r="A1264" s="13" t="s">
        <v>4849</v>
      </c>
      <c r="B1264" s="13" t="s">
        <v>11866</v>
      </c>
      <c r="C1264" s="13" t="s">
        <v>11867</v>
      </c>
      <c r="D1264" s="13" t="s">
        <v>11868</v>
      </c>
      <c r="E1264" s="13" t="s">
        <v>11869</v>
      </c>
      <c r="F1264" s="13" t="s">
        <v>11870</v>
      </c>
      <c r="G1264" s="14" t="s">
        <v>11871</v>
      </c>
    </row>
    <row r="1265">
      <c r="A1265" s="13" t="s">
        <v>4853</v>
      </c>
      <c r="B1265" s="13" t="s">
        <v>11872</v>
      </c>
      <c r="C1265" s="13" t="s">
        <v>11873</v>
      </c>
      <c r="D1265" s="13" t="s">
        <v>11874</v>
      </c>
      <c r="E1265" s="13" t="s">
        <v>11875</v>
      </c>
      <c r="F1265" s="13" t="s">
        <v>11876</v>
      </c>
      <c r="G1265" s="14" t="s">
        <v>11877</v>
      </c>
    </row>
    <row r="1266">
      <c r="A1266" s="13" t="s">
        <v>4858</v>
      </c>
      <c r="B1266" s="13" t="s">
        <v>11878</v>
      </c>
      <c r="C1266" s="13" t="s">
        <v>11879</v>
      </c>
      <c r="D1266" s="13" t="s">
        <v>11880</v>
      </c>
      <c r="E1266" s="13" t="s">
        <v>11881</v>
      </c>
      <c r="F1266" s="13" t="s">
        <v>11882</v>
      </c>
      <c r="G1266" s="14" t="s">
        <v>11883</v>
      </c>
    </row>
    <row r="1267">
      <c r="A1267" s="13" t="s">
        <v>4862</v>
      </c>
      <c r="B1267" s="13" t="s">
        <v>11884</v>
      </c>
      <c r="C1267" s="13" t="s">
        <v>11885</v>
      </c>
      <c r="D1267" s="13" t="s">
        <v>11886</v>
      </c>
      <c r="E1267" s="13" t="s">
        <v>11887</v>
      </c>
      <c r="F1267" s="13" t="s">
        <v>11888</v>
      </c>
      <c r="G1267" s="14" t="s">
        <v>11889</v>
      </c>
    </row>
    <row r="1268">
      <c r="A1268" s="13" t="s">
        <v>4866</v>
      </c>
      <c r="B1268" s="13" t="s">
        <v>11890</v>
      </c>
      <c r="C1268" s="13" t="s">
        <v>11891</v>
      </c>
      <c r="D1268" s="13" t="s">
        <v>11892</v>
      </c>
      <c r="E1268" s="13" t="s">
        <v>11893</v>
      </c>
      <c r="F1268" s="13" t="s">
        <v>11894</v>
      </c>
      <c r="G1268" s="14" t="s">
        <v>11895</v>
      </c>
    </row>
    <row r="1269">
      <c r="A1269" s="13" t="s">
        <v>4870</v>
      </c>
      <c r="B1269" s="13" t="s">
        <v>11896</v>
      </c>
      <c r="C1269" s="13" t="s">
        <v>11897</v>
      </c>
      <c r="D1269" s="13" t="s">
        <v>11898</v>
      </c>
      <c r="E1269" s="13" t="s">
        <v>11899</v>
      </c>
      <c r="F1269" s="13" t="s">
        <v>11900</v>
      </c>
      <c r="G1269" s="14" t="s">
        <v>11901</v>
      </c>
    </row>
    <row r="1270">
      <c r="A1270" s="13" t="s">
        <v>4874</v>
      </c>
      <c r="B1270" s="13" t="s">
        <v>11902</v>
      </c>
      <c r="C1270" s="13" t="s">
        <v>11903</v>
      </c>
      <c r="D1270" s="13" t="s">
        <v>11904</v>
      </c>
      <c r="E1270" s="13" t="s">
        <v>11905</v>
      </c>
      <c r="F1270" s="13" t="s">
        <v>11906</v>
      </c>
      <c r="G1270" s="14" t="s">
        <v>11907</v>
      </c>
    </row>
    <row r="1271">
      <c r="A1271" s="13" t="s">
        <v>4878</v>
      </c>
      <c r="B1271" s="13" t="s">
        <v>11908</v>
      </c>
      <c r="C1271" s="13" t="s">
        <v>11909</v>
      </c>
      <c r="D1271" s="13" t="s">
        <v>11910</v>
      </c>
      <c r="E1271" s="13" t="s">
        <v>11911</v>
      </c>
      <c r="F1271" s="13" t="s">
        <v>11912</v>
      </c>
      <c r="G1271" s="14" t="s">
        <v>11913</v>
      </c>
    </row>
    <row r="1272">
      <c r="A1272" s="13" t="s">
        <v>4882</v>
      </c>
      <c r="B1272" s="13" t="s">
        <v>11914</v>
      </c>
      <c r="C1272" s="13" t="s">
        <v>11915</v>
      </c>
      <c r="D1272" s="13" t="s">
        <v>11916</v>
      </c>
      <c r="E1272" s="13" t="s">
        <v>11917</v>
      </c>
      <c r="F1272" s="13" t="s">
        <v>11918</v>
      </c>
      <c r="G1272" s="14" t="s">
        <v>11919</v>
      </c>
    </row>
    <row r="1273">
      <c r="A1273" s="13" t="s">
        <v>4887</v>
      </c>
      <c r="B1273" s="13" t="s">
        <v>11920</v>
      </c>
      <c r="C1273" s="13" t="s">
        <v>11921</v>
      </c>
      <c r="D1273" s="13" t="s">
        <v>11922</v>
      </c>
      <c r="E1273" s="13" t="s">
        <v>11923</v>
      </c>
      <c r="F1273" s="13" t="s">
        <v>11924</v>
      </c>
      <c r="G1273" s="14" t="s">
        <v>11925</v>
      </c>
    </row>
    <row r="1274">
      <c r="A1274" s="13" t="s">
        <v>4891</v>
      </c>
      <c r="B1274" s="13" t="s">
        <v>11926</v>
      </c>
      <c r="C1274" s="13" t="s">
        <v>11927</v>
      </c>
      <c r="D1274" s="13" t="s">
        <v>11928</v>
      </c>
      <c r="E1274" s="13" t="s">
        <v>11929</v>
      </c>
      <c r="F1274" s="13" t="s">
        <v>11930</v>
      </c>
      <c r="G1274" s="14" t="s">
        <v>11931</v>
      </c>
    </row>
    <row r="1275">
      <c r="A1275" s="13" t="s">
        <v>4895</v>
      </c>
      <c r="B1275" s="13" t="s">
        <v>11932</v>
      </c>
      <c r="C1275" s="13" t="s">
        <v>11933</v>
      </c>
      <c r="D1275" s="13" t="s">
        <v>11934</v>
      </c>
      <c r="E1275" s="13" t="s">
        <v>11935</v>
      </c>
      <c r="F1275" s="13" t="s">
        <v>11936</v>
      </c>
      <c r="G1275" s="14" t="s">
        <v>11937</v>
      </c>
    </row>
    <row r="1276">
      <c r="A1276" s="13" t="s">
        <v>4899</v>
      </c>
      <c r="B1276" s="13" t="s">
        <v>11938</v>
      </c>
      <c r="C1276" s="13" t="s">
        <v>11939</v>
      </c>
      <c r="D1276" s="13" t="s">
        <v>11940</v>
      </c>
      <c r="E1276" s="13" t="s">
        <v>11941</v>
      </c>
      <c r="F1276" s="13" t="s">
        <v>11942</v>
      </c>
      <c r="G1276" s="14" t="s">
        <v>11943</v>
      </c>
    </row>
    <row r="1277">
      <c r="A1277" s="13" t="s">
        <v>4904</v>
      </c>
      <c r="B1277" s="13" t="s">
        <v>11944</v>
      </c>
      <c r="C1277" s="13" t="s">
        <v>11945</v>
      </c>
      <c r="D1277" s="13" t="s">
        <v>11946</v>
      </c>
      <c r="E1277" s="13" t="s">
        <v>11947</v>
      </c>
      <c r="F1277" s="13" t="s">
        <v>11948</v>
      </c>
      <c r="G1277" s="14" t="s">
        <v>11949</v>
      </c>
    </row>
    <row r="1278">
      <c r="A1278" s="13" t="s">
        <v>4908</v>
      </c>
      <c r="B1278" s="13" t="s">
        <v>11950</v>
      </c>
      <c r="C1278" s="13" t="s">
        <v>11951</v>
      </c>
      <c r="D1278" s="13" t="s">
        <v>11952</v>
      </c>
      <c r="E1278" s="13" t="s">
        <v>11953</v>
      </c>
      <c r="F1278" s="13" t="s">
        <v>11954</v>
      </c>
      <c r="G1278" s="14" t="s">
        <v>11955</v>
      </c>
    </row>
    <row r="1279">
      <c r="A1279" s="13" t="s">
        <v>4912</v>
      </c>
      <c r="B1279" s="13" t="s">
        <v>11956</v>
      </c>
      <c r="C1279" s="13" t="s">
        <v>11957</v>
      </c>
      <c r="D1279" s="13" t="s">
        <v>11958</v>
      </c>
      <c r="E1279" s="13" t="s">
        <v>11959</v>
      </c>
      <c r="F1279" s="13" t="s">
        <v>11960</v>
      </c>
      <c r="G1279" s="14" t="s">
        <v>11961</v>
      </c>
    </row>
    <row r="1280">
      <c r="A1280" s="13" t="s">
        <v>4916</v>
      </c>
      <c r="B1280" s="13" t="s">
        <v>11962</v>
      </c>
      <c r="C1280" s="13" t="s">
        <v>11963</v>
      </c>
      <c r="D1280" s="13" t="s">
        <v>11964</v>
      </c>
      <c r="E1280" s="13" t="s">
        <v>11965</v>
      </c>
      <c r="F1280" s="13" t="s">
        <v>11966</v>
      </c>
      <c r="G1280" s="14" t="s">
        <v>11967</v>
      </c>
    </row>
    <row r="1281">
      <c r="A1281" s="13" t="s">
        <v>4920</v>
      </c>
      <c r="B1281" s="13" t="s">
        <v>11968</v>
      </c>
      <c r="C1281" s="13" t="s">
        <v>11969</v>
      </c>
      <c r="D1281" s="13" t="s">
        <v>11970</v>
      </c>
      <c r="E1281" s="13" t="s">
        <v>11971</v>
      </c>
      <c r="F1281" s="13" t="s">
        <v>11972</v>
      </c>
      <c r="G1281" s="14" t="s">
        <v>11973</v>
      </c>
    </row>
    <row r="1282">
      <c r="A1282" s="13" t="s">
        <v>4924</v>
      </c>
      <c r="B1282" s="13" t="s">
        <v>11974</v>
      </c>
      <c r="C1282" s="13" t="s">
        <v>11975</v>
      </c>
      <c r="D1282" s="13" t="s">
        <v>11976</v>
      </c>
      <c r="E1282" s="13" t="s">
        <v>11977</v>
      </c>
      <c r="F1282" s="13" t="s">
        <v>11978</v>
      </c>
      <c r="G1282" s="14" t="s">
        <v>11979</v>
      </c>
    </row>
    <row r="1283">
      <c r="A1283" s="13" t="s">
        <v>4928</v>
      </c>
      <c r="B1283" s="13" t="s">
        <v>11980</v>
      </c>
      <c r="C1283" s="13" t="s">
        <v>11981</v>
      </c>
      <c r="D1283" s="13" t="s">
        <v>11982</v>
      </c>
      <c r="E1283" s="13" t="s">
        <v>11983</v>
      </c>
      <c r="F1283" s="13" t="s">
        <v>11984</v>
      </c>
      <c r="G1283" s="14" t="s">
        <v>11985</v>
      </c>
    </row>
    <row r="1284">
      <c r="A1284" s="13" t="s">
        <v>4932</v>
      </c>
      <c r="B1284" s="13" t="s">
        <v>11986</v>
      </c>
      <c r="C1284" s="13" t="s">
        <v>11987</v>
      </c>
      <c r="D1284" s="13" t="s">
        <v>11988</v>
      </c>
      <c r="E1284" s="13" t="s">
        <v>11989</v>
      </c>
      <c r="F1284" s="13" t="s">
        <v>11990</v>
      </c>
      <c r="G1284" s="14" t="s">
        <v>11991</v>
      </c>
    </row>
    <row r="1285">
      <c r="A1285" s="13" t="s">
        <v>4936</v>
      </c>
      <c r="B1285" s="13" t="s">
        <v>11992</v>
      </c>
      <c r="C1285" s="13" t="s">
        <v>11993</v>
      </c>
      <c r="D1285" s="13" t="s">
        <v>11994</v>
      </c>
      <c r="E1285" s="13" t="s">
        <v>11995</v>
      </c>
      <c r="F1285" s="13" t="s">
        <v>11996</v>
      </c>
      <c r="G1285" s="14" t="s">
        <v>11997</v>
      </c>
    </row>
    <row r="1286">
      <c r="A1286" s="13" t="s">
        <v>4940</v>
      </c>
      <c r="B1286" s="13" t="s">
        <v>11998</v>
      </c>
      <c r="C1286" s="13" t="s">
        <v>11999</v>
      </c>
      <c r="D1286" s="13" t="s">
        <v>12000</v>
      </c>
      <c r="E1286" s="13" t="s">
        <v>12001</v>
      </c>
      <c r="F1286" s="13" t="s">
        <v>12002</v>
      </c>
      <c r="G1286" s="14" t="s">
        <v>12003</v>
      </c>
    </row>
    <row r="1287">
      <c r="A1287" s="13" t="s">
        <v>4944</v>
      </c>
      <c r="B1287" s="13" t="s">
        <v>12004</v>
      </c>
      <c r="C1287" s="13" t="s">
        <v>12005</v>
      </c>
      <c r="D1287" s="13" t="s">
        <v>12006</v>
      </c>
      <c r="E1287" s="13" t="s">
        <v>12007</v>
      </c>
      <c r="F1287" s="13" t="s">
        <v>12008</v>
      </c>
      <c r="G1287" s="14" t="s">
        <v>12009</v>
      </c>
    </row>
    <row r="1288">
      <c r="A1288" s="13" t="s">
        <v>4948</v>
      </c>
      <c r="B1288" s="13" t="s">
        <v>12010</v>
      </c>
      <c r="C1288" s="13" t="s">
        <v>12011</v>
      </c>
      <c r="D1288" s="13" t="s">
        <v>12012</v>
      </c>
      <c r="E1288" s="13" t="s">
        <v>12013</v>
      </c>
      <c r="F1288" s="13" t="s">
        <v>12014</v>
      </c>
      <c r="G1288" s="14" t="s">
        <v>12015</v>
      </c>
    </row>
    <row r="1289">
      <c r="A1289" s="13" t="s">
        <v>4952</v>
      </c>
      <c r="B1289" s="13" t="s">
        <v>12016</v>
      </c>
      <c r="C1289" s="13" t="s">
        <v>12017</v>
      </c>
      <c r="D1289" s="13" t="s">
        <v>12018</v>
      </c>
      <c r="E1289" s="13" t="s">
        <v>12019</v>
      </c>
      <c r="F1289" s="13" t="s">
        <v>12020</v>
      </c>
      <c r="G1289" s="14" t="s">
        <v>12021</v>
      </c>
    </row>
    <row r="1290">
      <c r="A1290" s="13" t="s">
        <v>4956</v>
      </c>
      <c r="B1290" s="13" t="s">
        <v>12022</v>
      </c>
      <c r="C1290" s="13" t="s">
        <v>12023</v>
      </c>
      <c r="D1290" s="13" t="s">
        <v>12024</v>
      </c>
      <c r="E1290" s="13" t="s">
        <v>12025</v>
      </c>
      <c r="F1290" s="13" t="s">
        <v>12026</v>
      </c>
      <c r="G1290" s="14" t="s">
        <v>12027</v>
      </c>
    </row>
    <row r="1291">
      <c r="A1291" s="13" t="s">
        <v>4960</v>
      </c>
      <c r="B1291" s="13" t="s">
        <v>12028</v>
      </c>
      <c r="C1291" s="13" t="s">
        <v>12029</v>
      </c>
      <c r="D1291" s="13" t="s">
        <v>12030</v>
      </c>
      <c r="E1291" s="13" t="s">
        <v>12031</v>
      </c>
      <c r="F1291" s="13" t="s">
        <v>12032</v>
      </c>
      <c r="G1291" s="14" t="s">
        <v>12033</v>
      </c>
    </row>
    <row r="1292">
      <c r="A1292" s="13" t="s">
        <v>4964</v>
      </c>
      <c r="B1292" s="13" t="s">
        <v>12034</v>
      </c>
      <c r="C1292" s="13" t="s">
        <v>12035</v>
      </c>
      <c r="D1292" s="13" t="s">
        <v>12036</v>
      </c>
      <c r="E1292" s="13" t="s">
        <v>12037</v>
      </c>
      <c r="F1292" s="13" t="s">
        <v>12038</v>
      </c>
      <c r="G1292" s="14" t="s">
        <v>12039</v>
      </c>
    </row>
    <row r="1293">
      <c r="A1293" s="13" t="s">
        <v>4968</v>
      </c>
      <c r="B1293" s="13" t="s">
        <v>12040</v>
      </c>
      <c r="C1293" s="13" t="s">
        <v>12041</v>
      </c>
      <c r="D1293" s="13" t="s">
        <v>12042</v>
      </c>
      <c r="E1293" s="13" t="s">
        <v>12043</v>
      </c>
      <c r="F1293" s="13" t="s">
        <v>12044</v>
      </c>
      <c r="G1293" s="14" t="s">
        <v>12045</v>
      </c>
    </row>
    <row r="1294">
      <c r="A1294" s="13" t="s">
        <v>4972</v>
      </c>
      <c r="B1294" s="13" t="s">
        <v>12046</v>
      </c>
      <c r="C1294" s="13" t="s">
        <v>12047</v>
      </c>
      <c r="D1294" s="13" t="s">
        <v>12048</v>
      </c>
      <c r="E1294" s="13" t="s">
        <v>12049</v>
      </c>
      <c r="F1294" s="13" t="s">
        <v>12050</v>
      </c>
      <c r="G1294" s="14" t="s">
        <v>12051</v>
      </c>
    </row>
    <row r="1295">
      <c r="A1295" s="13" t="s">
        <v>4976</v>
      </c>
      <c r="B1295" s="13" t="s">
        <v>12052</v>
      </c>
      <c r="C1295" s="13" t="s">
        <v>12053</v>
      </c>
      <c r="D1295" s="13" t="s">
        <v>12054</v>
      </c>
      <c r="E1295" s="13" t="s">
        <v>12055</v>
      </c>
      <c r="F1295" s="13" t="s">
        <v>12056</v>
      </c>
      <c r="G1295" s="14" t="s">
        <v>12057</v>
      </c>
    </row>
    <row r="1296">
      <c r="A1296" s="13" t="s">
        <v>4980</v>
      </c>
      <c r="B1296" s="13" t="s">
        <v>12058</v>
      </c>
      <c r="C1296" s="13" t="s">
        <v>12059</v>
      </c>
      <c r="D1296" s="13" t="s">
        <v>12060</v>
      </c>
      <c r="E1296" s="13" t="s">
        <v>12061</v>
      </c>
      <c r="F1296" s="13" t="s">
        <v>12062</v>
      </c>
      <c r="G1296" s="14" t="s">
        <v>12063</v>
      </c>
    </row>
    <row r="1297">
      <c r="A1297" s="13" t="s">
        <v>4984</v>
      </c>
      <c r="B1297" s="13" t="s">
        <v>12064</v>
      </c>
      <c r="C1297" s="13" t="s">
        <v>12065</v>
      </c>
      <c r="D1297" s="13" t="s">
        <v>12066</v>
      </c>
      <c r="E1297" s="13" t="s">
        <v>12067</v>
      </c>
      <c r="F1297" s="13" t="s">
        <v>12068</v>
      </c>
      <c r="G1297" s="14" t="s">
        <v>12069</v>
      </c>
    </row>
    <row r="1298">
      <c r="A1298" s="13" t="s">
        <v>4988</v>
      </c>
      <c r="B1298" s="13" t="s">
        <v>12070</v>
      </c>
      <c r="C1298" s="13" t="s">
        <v>12071</v>
      </c>
      <c r="D1298" s="13" t="s">
        <v>12072</v>
      </c>
      <c r="E1298" s="13" t="s">
        <v>12073</v>
      </c>
      <c r="F1298" s="13" t="s">
        <v>12074</v>
      </c>
      <c r="G1298" s="14" t="s">
        <v>12075</v>
      </c>
    </row>
    <row r="1299">
      <c r="A1299" s="13" t="s">
        <v>4992</v>
      </c>
      <c r="B1299" s="13" t="s">
        <v>12076</v>
      </c>
      <c r="C1299" s="13" t="s">
        <v>12077</v>
      </c>
      <c r="D1299" s="13" t="s">
        <v>12078</v>
      </c>
      <c r="E1299" s="13" t="s">
        <v>12079</v>
      </c>
      <c r="F1299" s="13" t="s">
        <v>12080</v>
      </c>
      <c r="G1299" s="14" t="s">
        <v>12081</v>
      </c>
    </row>
    <row r="1300">
      <c r="A1300" s="13" t="s">
        <v>4996</v>
      </c>
      <c r="B1300" s="13" t="s">
        <v>12082</v>
      </c>
      <c r="C1300" s="13" t="s">
        <v>12083</v>
      </c>
      <c r="D1300" s="13" t="s">
        <v>12084</v>
      </c>
      <c r="E1300" s="13" t="s">
        <v>12085</v>
      </c>
      <c r="F1300" s="13" t="s">
        <v>12086</v>
      </c>
      <c r="G1300" s="14" t="s">
        <v>12087</v>
      </c>
    </row>
    <row r="1301">
      <c r="A1301" s="13" t="s">
        <v>5000</v>
      </c>
      <c r="B1301" s="13" t="s">
        <v>12088</v>
      </c>
      <c r="C1301" s="13" t="s">
        <v>12089</v>
      </c>
      <c r="D1301" s="13" t="s">
        <v>12090</v>
      </c>
      <c r="E1301" s="13" t="s">
        <v>12091</v>
      </c>
      <c r="F1301" s="13" t="s">
        <v>12092</v>
      </c>
      <c r="G1301" s="14" t="s">
        <v>12093</v>
      </c>
    </row>
    <row r="1302">
      <c r="A1302" s="13" t="s">
        <v>5004</v>
      </c>
      <c r="B1302" s="13" t="s">
        <v>12094</v>
      </c>
      <c r="C1302" s="13" t="s">
        <v>12095</v>
      </c>
      <c r="D1302" s="13" t="s">
        <v>12096</v>
      </c>
      <c r="E1302" s="13" t="s">
        <v>12097</v>
      </c>
      <c r="F1302" s="13" t="s">
        <v>12098</v>
      </c>
      <c r="G1302" s="14" t="s">
        <v>12099</v>
      </c>
    </row>
    <row r="1303">
      <c r="A1303" s="13" t="s">
        <v>5008</v>
      </c>
      <c r="B1303" s="13" t="s">
        <v>12100</v>
      </c>
      <c r="C1303" s="13" t="s">
        <v>12101</v>
      </c>
      <c r="D1303" s="13" t="s">
        <v>12102</v>
      </c>
      <c r="E1303" s="13" t="s">
        <v>12103</v>
      </c>
      <c r="F1303" s="13" t="s">
        <v>12104</v>
      </c>
      <c r="G1303" s="14" t="s">
        <v>12105</v>
      </c>
    </row>
    <row r="1304">
      <c r="A1304" s="13" t="s">
        <v>5012</v>
      </c>
      <c r="B1304" s="13" t="s">
        <v>12106</v>
      </c>
      <c r="C1304" s="13" t="s">
        <v>12107</v>
      </c>
      <c r="D1304" s="13" t="s">
        <v>12108</v>
      </c>
      <c r="E1304" s="13" t="s">
        <v>12109</v>
      </c>
      <c r="F1304" s="13" t="s">
        <v>12110</v>
      </c>
      <c r="G1304" s="14" t="s">
        <v>12111</v>
      </c>
    </row>
    <row r="1305">
      <c r="A1305" s="13" t="s">
        <v>5016</v>
      </c>
      <c r="B1305" s="13" t="s">
        <v>12112</v>
      </c>
      <c r="C1305" s="13" t="s">
        <v>12113</v>
      </c>
      <c r="D1305" s="13" t="s">
        <v>12114</v>
      </c>
      <c r="E1305" s="13" t="s">
        <v>12115</v>
      </c>
      <c r="F1305" s="13" t="s">
        <v>12116</v>
      </c>
      <c r="G1305" s="14" t="s">
        <v>12117</v>
      </c>
    </row>
    <row r="1306">
      <c r="A1306" s="13" t="s">
        <v>5020</v>
      </c>
      <c r="B1306" s="13" t="s">
        <v>12118</v>
      </c>
      <c r="C1306" s="13" t="s">
        <v>12119</v>
      </c>
      <c r="D1306" s="13" t="s">
        <v>12120</v>
      </c>
      <c r="E1306" s="13" t="s">
        <v>12121</v>
      </c>
      <c r="F1306" s="13" t="s">
        <v>12122</v>
      </c>
      <c r="G1306" s="14" t="s">
        <v>12123</v>
      </c>
    </row>
    <row r="1307">
      <c r="A1307" s="13" t="s">
        <v>5025</v>
      </c>
      <c r="B1307" s="13" t="s">
        <v>12124</v>
      </c>
      <c r="C1307" s="13" t="s">
        <v>12125</v>
      </c>
      <c r="D1307" s="13" t="s">
        <v>12126</v>
      </c>
      <c r="E1307" s="13" t="s">
        <v>12127</v>
      </c>
      <c r="F1307" s="13" t="s">
        <v>12128</v>
      </c>
      <c r="G1307" s="14" t="s">
        <v>12129</v>
      </c>
    </row>
    <row r="1308">
      <c r="A1308" s="13" t="s">
        <v>5029</v>
      </c>
      <c r="B1308" s="13" t="s">
        <v>12130</v>
      </c>
      <c r="C1308" s="13" t="s">
        <v>12131</v>
      </c>
      <c r="D1308" s="13" t="s">
        <v>12132</v>
      </c>
      <c r="E1308" s="13" t="s">
        <v>12133</v>
      </c>
      <c r="F1308" s="13" t="s">
        <v>12134</v>
      </c>
      <c r="G1308" s="14" t="s">
        <v>12135</v>
      </c>
    </row>
    <row r="1309">
      <c r="A1309" s="13" t="s">
        <v>5034</v>
      </c>
      <c r="B1309" s="13" t="s">
        <v>12136</v>
      </c>
      <c r="C1309" s="13" t="s">
        <v>12137</v>
      </c>
      <c r="D1309" s="13" t="s">
        <v>12138</v>
      </c>
      <c r="E1309" s="13" t="s">
        <v>12139</v>
      </c>
      <c r="F1309" s="13" t="s">
        <v>12140</v>
      </c>
      <c r="G1309" s="14" t="s">
        <v>12141</v>
      </c>
    </row>
    <row r="1310">
      <c r="A1310" s="13" t="s">
        <v>5038</v>
      </c>
      <c r="B1310" s="13" t="s">
        <v>12142</v>
      </c>
      <c r="C1310" s="13" t="s">
        <v>12143</v>
      </c>
      <c r="D1310" s="13" t="s">
        <v>12144</v>
      </c>
      <c r="E1310" s="13" t="s">
        <v>12145</v>
      </c>
      <c r="F1310" s="13" t="s">
        <v>12146</v>
      </c>
      <c r="G1310" s="14" t="s">
        <v>12147</v>
      </c>
    </row>
    <row r="1311">
      <c r="A1311" s="13" t="s">
        <v>5042</v>
      </c>
      <c r="B1311" s="13" t="s">
        <v>12148</v>
      </c>
      <c r="C1311" s="13" t="s">
        <v>12149</v>
      </c>
      <c r="D1311" s="13" t="s">
        <v>12150</v>
      </c>
      <c r="E1311" s="13" t="s">
        <v>12151</v>
      </c>
      <c r="F1311" s="13" t="s">
        <v>12152</v>
      </c>
      <c r="G1311" s="14" t="s">
        <v>12153</v>
      </c>
    </row>
    <row r="1312">
      <c r="A1312" s="13" t="s">
        <v>5046</v>
      </c>
      <c r="B1312" s="13" t="s">
        <v>12154</v>
      </c>
      <c r="C1312" s="13" t="s">
        <v>12155</v>
      </c>
      <c r="D1312" s="13" t="s">
        <v>12156</v>
      </c>
      <c r="E1312" s="13" t="s">
        <v>12157</v>
      </c>
      <c r="F1312" s="13" t="s">
        <v>12158</v>
      </c>
      <c r="G1312" s="14" t="s">
        <v>12159</v>
      </c>
    </row>
    <row r="1313">
      <c r="A1313" s="13" t="s">
        <v>5050</v>
      </c>
      <c r="B1313" s="13" t="s">
        <v>12160</v>
      </c>
      <c r="C1313" s="13" t="s">
        <v>12161</v>
      </c>
      <c r="D1313" s="13" t="s">
        <v>12162</v>
      </c>
      <c r="E1313" s="13" t="s">
        <v>12163</v>
      </c>
      <c r="F1313" s="13" t="s">
        <v>12164</v>
      </c>
      <c r="G1313" s="14" t="s">
        <v>12165</v>
      </c>
    </row>
    <row r="1314">
      <c r="A1314" s="13" t="s">
        <v>5053</v>
      </c>
      <c r="B1314" s="13" t="s">
        <v>12166</v>
      </c>
      <c r="C1314" s="13" t="s">
        <v>12167</v>
      </c>
      <c r="D1314" s="13" t="s">
        <v>12168</v>
      </c>
      <c r="E1314" s="13" t="s">
        <v>12169</v>
      </c>
      <c r="F1314" s="13" t="s">
        <v>12170</v>
      </c>
      <c r="G1314" s="14" t="s">
        <v>12171</v>
      </c>
    </row>
    <row r="1315">
      <c r="A1315" s="13" t="s">
        <v>5057</v>
      </c>
      <c r="B1315" s="13" t="s">
        <v>12172</v>
      </c>
      <c r="C1315" s="13" t="s">
        <v>12173</v>
      </c>
      <c r="D1315" s="13" t="s">
        <v>12174</v>
      </c>
      <c r="E1315" s="13" t="s">
        <v>12175</v>
      </c>
      <c r="F1315" s="13" t="s">
        <v>12176</v>
      </c>
      <c r="G1315" s="14" t="s">
        <v>12177</v>
      </c>
    </row>
    <row r="1316">
      <c r="A1316" s="13" t="s">
        <v>5061</v>
      </c>
      <c r="B1316" s="13" t="s">
        <v>12178</v>
      </c>
      <c r="C1316" s="13" t="s">
        <v>12179</v>
      </c>
      <c r="D1316" s="13" t="s">
        <v>12180</v>
      </c>
      <c r="E1316" s="13" t="s">
        <v>12181</v>
      </c>
      <c r="F1316" s="13" t="s">
        <v>12182</v>
      </c>
      <c r="G1316" s="14" t="s">
        <v>12183</v>
      </c>
    </row>
    <row r="1317">
      <c r="A1317" s="13" t="s">
        <v>5065</v>
      </c>
      <c r="B1317" s="13" t="s">
        <v>12184</v>
      </c>
      <c r="C1317" s="13" t="s">
        <v>12185</v>
      </c>
      <c r="D1317" s="13" t="s">
        <v>12186</v>
      </c>
      <c r="E1317" s="13" t="s">
        <v>12187</v>
      </c>
      <c r="F1317" s="13" t="s">
        <v>12188</v>
      </c>
      <c r="G1317" s="14" t="s">
        <v>12189</v>
      </c>
    </row>
    <row r="1318">
      <c r="A1318" s="13" t="s">
        <v>5069</v>
      </c>
      <c r="B1318" s="13" t="s">
        <v>12190</v>
      </c>
      <c r="C1318" s="13" t="s">
        <v>12191</v>
      </c>
      <c r="D1318" s="13" t="s">
        <v>12192</v>
      </c>
      <c r="E1318" s="13" t="s">
        <v>12193</v>
      </c>
      <c r="F1318" s="13" t="s">
        <v>12194</v>
      </c>
      <c r="G1318" s="14" t="s">
        <v>12195</v>
      </c>
    </row>
    <row r="1319">
      <c r="A1319" s="13" t="s">
        <v>5073</v>
      </c>
      <c r="B1319" s="13" t="s">
        <v>12196</v>
      </c>
      <c r="C1319" s="13" t="s">
        <v>12197</v>
      </c>
      <c r="D1319" s="13" t="s">
        <v>12198</v>
      </c>
      <c r="E1319" s="13" t="s">
        <v>12199</v>
      </c>
      <c r="F1319" s="13" t="s">
        <v>12200</v>
      </c>
      <c r="G1319" s="14" t="s">
        <v>12201</v>
      </c>
    </row>
    <row r="1320">
      <c r="A1320" s="13" t="s">
        <v>5077</v>
      </c>
      <c r="B1320" s="13" t="s">
        <v>12202</v>
      </c>
      <c r="C1320" s="13" t="s">
        <v>12203</v>
      </c>
      <c r="D1320" s="13" t="s">
        <v>12204</v>
      </c>
      <c r="E1320" s="13" t="s">
        <v>12205</v>
      </c>
      <c r="F1320" s="13" t="s">
        <v>12206</v>
      </c>
      <c r="G1320" s="14" t="s">
        <v>12207</v>
      </c>
    </row>
    <row r="1321">
      <c r="A1321" s="13" t="s">
        <v>5081</v>
      </c>
      <c r="B1321" s="13" t="s">
        <v>12208</v>
      </c>
      <c r="C1321" s="13" t="s">
        <v>12209</v>
      </c>
      <c r="D1321" s="13" t="s">
        <v>12210</v>
      </c>
      <c r="E1321" s="13" t="s">
        <v>12211</v>
      </c>
      <c r="F1321" s="13" t="s">
        <v>12212</v>
      </c>
      <c r="G1321" s="14" t="s">
        <v>12213</v>
      </c>
    </row>
    <row r="1322">
      <c r="A1322" s="13" t="s">
        <v>5085</v>
      </c>
      <c r="B1322" s="13" t="s">
        <v>12214</v>
      </c>
      <c r="C1322" s="13" t="s">
        <v>12215</v>
      </c>
      <c r="D1322" s="13" t="s">
        <v>12216</v>
      </c>
      <c r="E1322" s="13" t="s">
        <v>12217</v>
      </c>
      <c r="F1322" s="13" t="s">
        <v>12218</v>
      </c>
      <c r="G1322" s="14" t="s">
        <v>12219</v>
      </c>
    </row>
    <row r="1323">
      <c r="A1323" s="13" t="s">
        <v>5089</v>
      </c>
      <c r="B1323" s="13" t="s">
        <v>12220</v>
      </c>
      <c r="C1323" s="13" t="s">
        <v>12221</v>
      </c>
      <c r="D1323" s="13" t="s">
        <v>12222</v>
      </c>
      <c r="E1323" s="13" t="s">
        <v>12223</v>
      </c>
      <c r="F1323" s="13" t="s">
        <v>12224</v>
      </c>
      <c r="G1323" s="14" t="s">
        <v>12225</v>
      </c>
    </row>
    <row r="1324">
      <c r="A1324" s="13" t="s">
        <v>5093</v>
      </c>
      <c r="B1324" s="13" t="s">
        <v>12226</v>
      </c>
      <c r="C1324" s="13" t="s">
        <v>12227</v>
      </c>
      <c r="D1324" s="13" t="s">
        <v>12228</v>
      </c>
      <c r="E1324" s="13" t="s">
        <v>12229</v>
      </c>
      <c r="F1324" s="13" t="s">
        <v>12230</v>
      </c>
      <c r="G1324" s="14" t="s">
        <v>12231</v>
      </c>
    </row>
    <row r="1325">
      <c r="A1325" s="13" t="s">
        <v>5097</v>
      </c>
      <c r="B1325" s="13" t="s">
        <v>12232</v>
      </c>
      <c r="C1325" s="13" t="s">
        <v>12233</v>
      </c>
      <c r="D1325" s="13" t="s">
        <v>12234</v>
      </c>
      <c r="E1325" s="13" t="s">
        <v>12235</v>
      </c>
      <c r="F1325" s="13" t="s">
        <v>12236</v>
      </c>
      <c r="G1325" s="14" t="s">
        <v>12237</v>
      </c>
    </row>
    <row r="1326">
      <c r="A1326" s="13" t="s">
        <v>5101</v>
      </c>
      <c r="B1326" s="13" t="s">
        <v>12238</v>
      </c>
      <c r="C1326" s="13" t="s">
        <v>12239</v>
      </c>
      <c r="D1326" s="13" t="s">
        <v>12240</v>
      </c>
      <c r="E1326" s="13" t="s">
        <v>12241</v>
      </c>
      <c r="F1326" s="13" t="s">
        <v>12242</v>
      </c>
      <c r="G1326" s="14" t="s">
        <v>12243</v>
      </c>
    </row>
    <row r="1327">
      <c r="A1327" s="13" t="s">
        <v>5105</v>
      </c>
      <c r="B1327" s="13" t="s">
        <v>12244</v>
      </c>
      <c r="C1327" s="13" t="s">
        <v>12245</v>
      </c>
      <c r="D1327" s="13" t="s">
        <v>12246</v>
      </c>
      <c r="E1327" s="13" t="s">
        <v>12247</v>
      </c>
      <c r="F1327" s="13" t="s">
        <v>12248</v>
      </c>
      <c r="G1327" s="14" t="s">
        <v>12249</v>
      </c>
    </row>
    <row r="1328">
      <c r="A1328" s="13" t="s">
        <v>5109</v>
      </c>
      <c r="B1328" s="13" t="s">
        <v>12250</v>
      </c>
      <c r="C1328" s="13" t="s">
        <v>12251</v>
      </c>
      <c r="D1328" s="13" t="s">
        <v>12252</v>
      </c>
      <c r="E1328" s="13" t="s">
        <v>12253</v>
      </c>
      <c r="F1328" s="13" t="s">
        <v>12254</v>
      </c>
      <c r="G1328" s="14" t="s">
        <v>12255</v>
      </c>
    </row>
    <row r="1329">
      <c r="A1329" s="13" t="s">
        <v>5113</v>
      </c>
      <c r="B1329" s="13" t="s">
        <v>12256</v>
      </c>
      <c r="C1329" s="13" t="s">
        <v>12257</v>
      </c>
      <c r="D1329" s="13" t="s">
        <v>12258</v>
      </c>
      <c r="E1329" s="13" t="s">
        <v>12259</v>
      </c>
      <c r="F1329" s="13" t="s">
        <v>12260</v>
      </c>
      <c r="G1329" s="14" t="s">
        <v>12261</v>
      </c>
    </row>
    <row r="1330">
      <c r="A1330" s="13" t="s">
        <v>5117</v>
      </c>
      <c r="B1330" s="13" t="s">
        <v>12262</v>
      </c>
      <c r="C1330" s="13" t="s">
        <v>12263</v>
      </c>
      <c r="D1330" s="13" t="s">
        <v>12264</v>
      </c>
      <c r="E1330" s="13" t="s">
        <v>12265</v>
      </c>
      <c r="F1330" s="13" t="s">
        <v>12266</v>
      </c>
      <c r="G1330" s="14" t="s">
        <v>12267</v>
      </c>
    </row>
    <row r="1331">
      <c r="A1331" s="13" t="s">
        <v>5121</v>
      </c>
      <c r="B1331" s="13" t="s">
        <v>12268</v>
      </c>
      <c r="C1331" s="13" t="s">
        <v>12269</v>
      </c>
      <c r="D1331" s="13" t="s">
        <v>12270</v>
      </c>
      <c r="E1331" s="13" t="s">
        <v>12271</v>
      </c>
      <c r="F1331" s="13" t="s">
        <v>12272</v>
      </c>
      <c r="G1331" s="14" t="s">
        <v>12273</v>
      </c>
    </row>
    <row r="1332">
      <c r="A1332" s="13" t="s">
        <v>5125</v>
      </c>
      <c r="B1332" s="13" t="s">
        <v>12274</v>
      </c>
      <c r="C1332" s="13" t="s">
        <v>12275</v>
      </c>
      <c r="D1332" s="13" t="s">
        <v>12276</v>
      </c>
      <c r="E1332" s="13" t="s">
        <v>12277</v>
      </c>
      <c r="F1332" s="13" t="s">
        <v>12278</v>
      </c>
      <c r="G1332" s="14" t="s">
        <v>12279</v>
      </c>
    </row>
    <row r="1333">
      <c r="A1333" s="13" t="s">
        <v>5129</v>
      </c>
      <c r="B1333" s="13" t="s">
        <v>12280</v>
      </c>
      <c r="C1333" s="13" t="s">
        <v>12281</v>
      </c>
      <c r="D1333" s="13" t="s">
        <v>12282</v>
      </c>
      <c r="E1333" s="13" t="s">
        <v>12283</v>
      </c>
      <c r="F1333" s="13" t="s">
        <v>12284</v>
      </c>
      <c r="G1333" s="14" t="s">
        <v>12285</v>
      </c>
    </row>
    <row r="1334">
      <c r="A1334" s="13" t="s">
        <v>5133</v>
      </c>
      <c r="B1334" s="13" t="s">
        <v>12286</v>
      </c>
      <c r="C1334" s="13" t="s">
        <v>12287</v>
      </c>
      <c r="D1334" s="13" t="s">
        <v>12288</v>
      </c>
      <c r="E1334" s="13" t="s">
        <v>12289</v>
      </c>
      <c r="F1334" s="13" t="s">
        <v>12290</v>
      </c>
      <c r="G1334" s="14" t="s">
        <v>12291</v>
      </c>
    </row>
    <row r="1335">
      <c r="A1335" s="13" t="s">
        <v>5137</v>
      </c>
      <c r="B1335" s="13" t="s">
        <v>12292</v>
      </c>
      <c r="C1335" s="13" t="s">
        <v>12293</v>
      </c>
      <c r="D1335" s="13" t="s">
        <v>12294</v>
      </c>
      <c r="E1335" s="13" t="s">
        <v>12295</v>
      </c>
      <c r="F1335" s="13" t="s">
        <v>12296</v>
      </c>
      <c r="G1335" s="14" t="s">
        <v>12297</v>
      </c>
    </row>
    <row r="1336">
      <c r="A1336" s="13" t="s">
        <v>5141</v>
      </c>
      <c r="B1336" s="13" t="s">
        <v>12298</v>
      </c>
      <c r="C1336" s="13" t="s">
        <v>12299</v>
      </c>
      <c r="D1336" s="13" t="s">
        <v>12300</v>
      </c>
      <c r="E1336" s="13" t="s">
        <v>12301</v>
      </c>
      <c r="F1336" s="13" t="s">
        <v>12302</v>
      </c>
      <c r="G1336" s="14" t="s">
        <v>12303</v>
      </c>
    </row>
    <row r="1337">
      <c r="A1337" s="13" t="s">
        <v>5145</v>
      </c>
      <c r="B1337" s="13" t="s">
        <v>12304</v>
      </c>
      <c r="C1337" s="13" t="s">
        <v>12305</v>
      </c>
      <c r="D1337" s="13" t="s">
        <v>12306</v>
      </c>
      <c r="E1337" s="13" t="s">
        <v>12307</v>
      </c>
      <c r="F1337" s="13" t="s">
        <v>12308</v>
      </c>
      <c r="G1337" s="14" t="s">
        <v>12309</v>
      </c>
    </row>
    <row r="1338">
      <c r="A1338" s="13" t="s">
        <v>5150</v>
      </c>
      <c r="B1338" s="13" t="s">
        <v>12310</v>
      </c>
      <c r="C1338" s="13" t="s">
        <v>12311</v>
      </c>
      <c r="D1338" s="13" t="s">
        <v>12312</v>
      </c>
      <c r="E1338" s="13" t="s">
        <v>12313</v>
      </c>
      <c r="F1338" s="13" t="s">
        <v>12314</v>
      </c>
      <c r="G1338" s="14" t="s">
        <v>12315</v>
      </c>
    </row>
    <row r="1339">
      <c r="A1339" s="13" t="s">
        <v>5155</v>
      </c>
      <c r="B1339" s="13" t="s">
        <v>12316</v>
      </c>
      <c r="C1339" s="13" t="s">
        <v>12317</v>
      </c>
      <c r="D1339" s="13" t="s">
        <v>12318</v>
      </c>
      <c r="E1339" s="13" t="s">
        <v>12319</v>
      </c>
      <c r="F1339" s="13" t="s">
        <v>12320</v>
      </c>
      <c r="G1339" s="14" t="s">
        <v>12321</v>
      </c>
    </row>
    <row r="1340">
      <c r="A1340" s="13" t="s">
        <v>5159</v>
      </c>
      <c r="B1340" s="13" t="s">
        <v>12322</v>
      </c>
      <c r="C1340" s="13" t="s">
        <v>12323</v>
      </c>
      <c r="D1340" s="13" t="s">
        <v>12324</v>
      </c>
      <c r="E1340" s="13" t="s">
        <v>12325</v>
      </c>
      <c r="F1340" s="13" t="s">
        <v>12326</v>
      </c>
      <c r="G1340" s="14" t="s">
        <v>12327</v>
      </c>
    </row>
    <row r="1341">
      <c r="A1341" s="13" t="s">
        <v>5163</v>
      </c>
      <c r="B1341" s="13" t="s">
        <v>12328</v>
      </c>
      <c r="C1341" s="13" t="s">
        <v>12329</v>
      </c>
      <c r="D1341" s="13" t="s">
        <v>12330</v>
      </c>
      <c r="E1341" s="13" t="s">
        <v>12331</v>
      </c>
      <c r="F1341" s="13" t="s">
        <v>12332</v>
      </c>
      <c r="G1341" s="14" t="s">
        <v>12333</v>
      </c>
    </row>
    <row r="1342">
      <c r="A1342" s="13" t="s">
        <v>5167</v>
      </c>
      <c r="B1342" s="13" t="s">
        <v>12334</v>
      </c>
      <c r="C1342" s="13" t="s">
        <v>12335</v>
      </c>
      <c r="D1342" s="13" t="s">
        <v>12336</v>
      </c>
      <c r="E1342" s="13" t="s">
        <v>12337</v>
      </c>
      <c r="F1342" s="13" t="s">
        <v>12338</v>
      </c>
      <c r="G1342" s="14" t="s">
        <v>12339</v>
      </c>
    </row>
    <row r="1343">
      <c r="A1343" s="13" t="s">
        <v>5171</v>
      </c>
      <c r="B1343" s="13" t="s">
        <v>12340</v>
      </c>
      <c r="C1343" s="13" t="s">
        <v>12341</v>
      </c>
      <c r="D1343" s="13" t="s">
        <v>12342</v>
      </c>
      <c r="E1343" s="13" t="s">
        <v>12343</v>
      </c>
      <c r="F1343" s="13" t="s">
        <v>12344</v>
      </c>
      <c r="G1343" s="14" t="s">
        <v>12345</v>
      </c>
    </row>
    <row r="1344">
      <c r="A1344" s="13" t="s">
        <v>5175</v>
      </c>
      <c r="B1344" s="13" t="s">
        <v>12346</v>
      </c>
      <c r="C1344" s="13" t="s">
        <v>12347</v>
      </c>
      <c r="D1344" s="13" t="s">
        <v>12348</v>
      </c>
      <c r="E1344" s="13" t="s">
        <v>12349</v>
      </c>
      <c r="F1344" s="13" t="s">
        <v>12350</v>
      </c>
      <c r="G1344" s="14" t="s">
        <v>12351</v>
      </c>
    </row>
    <row r="1345">
      <c r="A1345" s="13" t="s">
        <v>5179</v>
      </c>
      <c r="B1345" s="13" t="s">
        <v>12352</v>
      </c>
      <c r="C1345" s="13" t="s">
        <v>12353</v>
      </c>
      <c r="D1345" s="13" t="s">
        <v>12354</v>
      </c>
      <c r="E1345" s="13" t="s">
        <v>12355</v>
      </c>
      <c r="F1345" s="13" t="s">
        <v>12356</v>
      </c>
      <c r="G1345" s="14" t="s">
        <v>12357</v>
      </c>
    </row>
    <row r="1346">
      <c r="A1346" s="13" t="s">
        <v>5183</v>
      </c>
      <c r="B1346" s="13" t="s">
        <v>12358</v>
      </c>
      <c r="C1346" s="13" t="s">
        <v>12359</v>
      </c>
      <c r="D1346" s="13" t="s">
        <v>12360</v>
      </c>
      <c r="E1346" s="13" t="s">
        <v>12361</v>
      </c>
      <c r="F1346" s="13" t="s">
        <v>12362</v>
      </c>
      <c r="G1346" s="14" t="s">
        <v>12363</v>
      </c>
    </row>
    <row r="1347">
      <c r="A1347" s="13" t="s">
        <v>5187</v>
      </c>
      <c r="B1347" s="13" t="s">
        <v>12364</v>
      </c>
      <c r="C1347" s="13" t="s">
        <v>12365</v>
      </c>
      <c r="D1347" s="13" t="s">
        <v>12366</v>
      </c>
      <c r="E1347" s="13" t="s">
        <v>12367</v>
      </c>
      <c r="F1347" s="13" t="s">
        <v>12368</v>
      </c>
      <c r="G1347" s="14" t="s">
        <v>12369</v>
      </c>
    </row>
    <row r="1348">
      <c r="A1348" s="13" t="s">
        <v>5191</v>
      </c>
      <c r="B1348" s="13" t="s">
        <v>12370</v>
      </c>
      <c r="C1348" s="13" t="s">
        <v>12371</v>
      </c>
      <c r="D1348" s="13" t="s">
        <v>12372</v>
      </c>
      <c r="E1348" s="13" t="s">
        <v>12373</v>
      </c>
      <c r="F1348" s="13" t="s">
        <v>12374</v>
      </c>
      <c r="G1348" s="14" t="s">
        <v>12375</v>
      </c>
    </row>
    <row r="1349">
      <c r="A1349" s="13" t="s">
        <v>5195</v>
      </c>
      <c r="B1349" s="13" t="s">
        <v>12376</v>
      </c>
      <c r="C1349" s="13" t="s">
        <v>12377</v>
      </c>
      <c r="D1349" s="13" t="s">
        <v>12378</v>
      </c>
      <c r="E1349" s="13" t="s">
        <v>12379</v>
      </c>
      <c r="F1349" s="13" t="s">
        <v>12380</v>
      </c>
      <c r="G1349" s="14" t="s">
        <v>12381</v>
      </c>
    </row>
    <row r="1350">
      <c r="A1350" s="13" t="s">
        <v>5199</v>
      </c>
      <c r="B1350" s="13" t="s">
        <v>12382</v>
      </c>
      <c r="C1350" s="13" t="s">
        <v>12383</v>
      </c>
      <c r="D1350" s="13" t="s">
        <v>12384</v>
      </c>
      <c r="E1350" s="13" t="s">
        <v>12385</v>
      </c>
      <c r="F1350" s="13" t="s">
        <v>12386</v>
      </c>
      <c r="G1350" s="14" t="s">
        <v>12387</v>
      </c>
    </row>
    <row r="1351">
      <c r="A1351" s="13" t="s">
        <v>5203</v>
      </c>
      <c r="B1351" s="13" t="s">
        <v>12388</v>
      </c>
      <c r="C1351" s="13" t="s">
        <v>12389</v>
      </c>
      <c r="D1351" s="13" t="s">
        <v>12390</v>
      </c>
      <c r="E1351" s="13" t="s">
        <v>12391</v>
      </c>
      <c r="F1351" s="13" t="s">
        <v>12392</v>
      </c>
      <c r="G1351" s="14" t="s">
        <v>12393</v>
      </c>
    </row>
    <row r="1352">
      <c r="A1352" s="13" t="s">
        <v>5207</v>
      </c>
      <c r="B1352" s="13" t="s">
        <v>12394</v>
      </c>
      <c r="C1352" s="13" t="s">
        <v>12395</v>
      </c>
      <c r="D1352" s="13" t="s">
        <v>12396</v>
      </c>
      <c r="E1352" s="13" t="s">
        <v>12397</v>
      </c>
      <c r="F1352" s="13" t="s">
        <v>12398</v>
      </c>
      <c r="G1352" s="14" t="s">
        <v>12399</v>
      </c>
    </row>
    <row r="1353">
      <c r="A1353" s="13" t="s">
        <v>5211</v>
      </c>
      <c r="B1353" s="13" t="s">
        <v>12400</v>
      </c>
      <c r="C1353" s="13" t="s">
        <v>12401</v>
      </c>
      <c r="D1353" s="13" t="s">
        <v>12402</v>
      </c>
      <c r="E1353" s="13" t="s">
        <v>12403</v>
      </c>
      <c r="F1353" s="13" t="s">
        <v>12404</v>
      </c>
      <c r="G1353" s="14" t="s">
        <v>12405</v>
      </c>
    </row>
    <row r="1354">
      <c r="A1354" s="13" t="s">
        <v>5215</v>
      </c>
      <c r="B1354" s="13" t="s">
        <v>12406</v>
      </c>
      <c r="C1354" s="13" t="s">
        <v>12407</v>
      </c>
      <c r="D1354" s="13" t="s">
        <v>12408</v>
      </c>
      <c r="E1354" s="13" t="s">
        <v>12409</v>
      </c>
      <c r="F1354" s="13" t="s">
        <v>12410</v>
      </c>
      <c r="G1354" s="14" t="s">
        <v>12411</v>
      </c>
    </row>
    <row r="1355">
      <c r="A1355" s="13" t="s">
        <v>5219</v>
      </c>
      <c r="B1355" s="13" t="s">
        <v>12412</v>
      </c>
      <c r="C1355" s="13" t="s">
        <v>12413</v>
      </c>
      <c r="D1355" s="13" t="s">
        <v>12414</v>
      </c>
      <c r="E1355" s="13" t="s">
        <v>12415</v>
      </c>
      <c r="F1355" s="13" t="s">
        <v>12416</v>
      </c>
      <c r="G1355" s="14" t="s">
        <v>12417</v>
      </c>
    </row>
    <row r="1356">
      <c r="A1356" s="13" t="s">
        <v>5223</v>
      </c>
      <c r="B1356" s="13" t="s">
        <v>12418</v>
      </c>
      <c r="C1356" s="13" t="s">
        <v>12419</v>
      </c>
      <c r="D1356" s="13" t="s">
        <v>12420</v>
      </c>
      <c r="E1356" s="13" t="s">
        <v>12421</v>
      </c>
      <c r="F1356" s="13" t="s">
        <v>12422</v>
      </c>
      <c r="G1356" s="14" t="s">
        <v>12423</v>
      </c>
    </row>
    <row r="1357">
      <c r="A1357" s="13" t="s">
        <v>5228</v>
      </c>
      <c r="B1357" s="13" t="s">
        <v>12424</v>
      </c>
      <c r="C1357" s="13" t="s">
        <v>12425</v>
      </c>
      <c r="D1357" s="13" t="s">
        <v>12426</v>
      </c>
      <c r="E1357" s="13" t="s">
        <v>12427</v>
      </c>
      <c r="F1357" s="13" t="s">
        <v>12428</v>
      </c>
      <c r="G1357" s="14" t="s">
        <v>12429</v>
      </c>
    </row>
    <row r="1358">
      <c r="A1358" s="13" t="s">
        <v>5232</v>
      </c>
      <c r="B1358" s="13" t="s">
        <v>12430</v>
      </c>
      <c r="C1358" s="13" t="s">
        <v>12431</v>
      </c>
      <c r="D1358" s="13" t="s">
        <v>12432</v>
      </c>
      <c r="E1358" s="13" t="s">
        <v>12433</v>
      </c>
      <c r="F1358" s="13" t="s">
        <v>12434</v>
      </c>
      <c r="G1358" s="14" t="s">
        <v>12435</v>
      </c>
    </row>
    <row r="1359">
      <c r="A1359" s="13" t="s">
        <v>5236</v>
      </c>
      <c r="B1359" s="13" t="s">
        <v>12436</v>
      </c>
      <c r="C1359" s="13" t="s">
        <v>12437</v>
      </c>
      <c r="D1359" s="13" t="s">
        <v>12438</v>
      </c>
      <c r="E1359" s="13" t="s">
        <v>12439</v>
      </c>
      <c r="F1359" s="13" t="s">
        <v>12440</v>
      </c>
      <c r="G1359" s="14" t="s">
        <v>12441</v>
      </c>
    </row>
    <row r="1360">
      <c r="A1360" s="13" t="s">
        <v>5240</v>
      </c>
      <c r="B1360" s="13" t="s">
        <v>12442</v>
      </c>
      <c r="C1360" s="13" t="s">
        <v>12443</v>
      </c>
      <c r="D1360" s="13" t="s">
        <v>12444</v>
      </c>
      <c r="E1360" s="13" t="s">
        <v>12445</v>
      </c>
      <c r="F1360" s="13" t="s">
        <v>12446</v>
      </c>
      <c r="G1360" s="14" t="s">
        <v>12447</v>
      </c>
    </row>
    <row r="1361">
      <c r="A1361" s="13" t="s">
        <v>5245</v>
      </c>
      <c r="B1361" s="13" t="s">
        <v>12448</v>
      </c>
      <c r="C1361" s="13" t="s">
        <v>12449</v>
      </c>
      <c r="D1361" s="13" t="s">
        <v>12450</v>
      </c>
      <c r="E1361" s="13" t="s">
        <v>12451</v>
      </c>
      <c r="F1361" s="13" t="s">
        <v>12452</v>
      </c>
      <c r="G1361" s="14" t="s">
        <v>12453</v>
      </c>
    </row>
    <row r="1362">
      <c r="A1362" s="13" t="s">
        <v>5249</v>
      </c>
      <c r="B1362" s="13" t="s">
        <v>12454</v>
      </c>
      <c r="C1362" s="13" t="s">
        <v>12455</v>
      </c>
      <c r="D1362" s="13" t="s">
        <v>12456</v>
      </c>
      <c r="E1362" s="13" t="s">
        <v>12457</v>
      </c>
      <c r="F1362" s="13" t="s">
        <v>12458</v>
      </c>
      <c r="G1362" s="14" t="s">
        <v>12459</v>
      </c>
    </row>
    <row r="1363">
      <c r="A1363" s="13" t="s">
        <v>5253</v>
      </c>
      <c r="B1363" s="13" t="s">
        <v>12460</v>
      </c>
      <c r="C1363" s="13" t="s">
        <v>12461</v>
      </c>
      <c r="D1363" s="13" t="s">
        <v>12462</v>
      </c>
      <c r="E1363" s="13" t="s">
        <v>12463</v>
      </c>
      <c r="F1363" s="13" t="s">
        <v>12464</v>
      </c>
      <c r="G1363" s="14" t="s">
        <v>12465</v>
      </c>
    </row>
    <row r="1364">
      <c r="A1364" s="13" t="s">
        <v>5257</v>
      </c>
      <c r="B1364" s="13" t="s">
        <v>12466</v>
      </c>
      <c r="C1364" s="13" t="s">
        <v>12467</v>
      </c>
      <c r="D1364" s="13" t="s">
        <v>12468</v>
      </c>
      <c r="E1364" s="13" t="s">
        <v>12469</v>
      </c>
      <c r="F1364" s="13" t="s">
        <v>12470</v>
      </c>
      <c r="G1364" s="14" t="s">
        <v>12471</v>
      </c>
    </row>
    <row r="1365">
      <c r="A1365" s="13" t="s">
        <v>5262</v>
      </c>
      <c r="B1365" s="13" t="s">
        <v>12472</v>
      </c>
      <c r="C1365" s="13" t="s">
        <v>12473</v>
      </c>
      <c r="D1365" s="13" t="s">
        <v>12474</v>
      </c>
      <c r="E1365" s="13" t="s">
        <v>12475</v>
      </c>
      <c r="F1365" s="13" t="s">
        <v>12476</v>
      </c>
      <c r="G1365" s="14" t="s">
        <v>12477</v>
      </c>
    </row>
    <row r="1366">
      <c r="A1366" s="13" t="s">
        <v>5266</v>
      </c>
      <c r="B1366" s="13" t="s">
        <v>12478</v>
      </c>
      <c r="C1366" s="13" t="s">
        <v>12479</v>
      </c>
      <c r="D1366" s="13" t="s">
        <v>12480</v>
      </c>
      <c r="E1366" s="13" t="s">
        <v>12481</v>
      </c>
      <c r="F1366" s="13" t="s">
        <v>12482</v>
      </c>
      <c r="G1366" s="14" t="s">
        <v>12483</v>
      </c>
    </row>
    <row r="1367">
      <c r="A1367" s="13" t="s">
        <v>5270</v>
      </c>
      <c r="B1367" s="13" t="s">
        <v>12484</v>
      </c>
      <c r="C1367" s="13" t="s">
        <v>12485</v>
      </c>
      <c r="D1367" s="13" t="s">
        <v>12486</v>
      </c>
      <c r="E1367" s="13" t="s">
        <v>12487</v>
      </c>
      <c r="F1367" s="13" t="s">
        <v>12488</v>
      </c>
      <c r="G1367" s="14" t="s">
        <v>12489</v>
      </c>
    </row>
    <row r="1368">
      <c r="A1368" s="13" t="s">
        <v>5274</v>
      </c>
      <c r="B1368" s="13" t="s">
        <v>12490</v>
      </c>
      <c r="C1368" s="13" t="s">
        <v>12491</v>
      </c>
      <c r="D1368" s="13" t="s">
        <v>12492</v>
      </c>
      <c r="E1368" s="13" t="s">
        <v>12493</v>
      </c>
      <c r="F1368" s="13" t="s">
        <v>12494</v>
      </c>
      <c r="G1368" s="14" t="s">
        <v>12495</v>
      </c>
    </row>
    <row r="1369">
      <c r="A1369" s="13" t="s">
        <v>5278</v>
      </c>
      <c r="B1369" s="13" t="s">
        <v>12496</v>
      </c>
      <c r="C1369" s="13" t="s">
        <v>12497</v>
      </c>
      <c r="D1369" s="13" t="s">
        <v>12498</v>
      </c>
      <c r="E1369" s="13" t="s">
        <v>12499</v>
      </c>
      <c r="F1369" s="13" t="s">
        <v>12500</v>
      </c>
      <c r="G1369" s="14" t="s">
        <v>12501</v>
      </c>
    </row>
    <row r="1370">
      <c r="A1370" s="13" t="s">
        <v>5282</v>
      </c>
      <c r="B1370" s="13" t="s">
        <v>12502</v>
      </c>
      <c r="C1370" s="13" t="s">
        <v>12503</v>
      </c>
      <c r="D1370" s="13" t="s">
        <v>12504</v>
      </c>
      <c r="E1370" s="13" t="s">
        <v>12505</v>
      </c>
      <c r="F1370" s="13" t="s">
        <v>12506</v>
      </c>
      <c r="G1370" s="14" t="s">
        <v>12507</v>
      </c>
    </row>
    <row r="1371">
      <c r="A1371" s="13" t="s">
        <v>5286</v>
      </c>
      <c r="B1371" s="13" t="s">
        <v>12508</v>
      </c>
      <c r="C1371" s="13" t="s">
        <v>12509</v>
      </c>
      <c r="D1371" s="13" t="s">
        <v>12510</v>
      </c>
      <c r="E1371" s="13" t="s">
        <v>12511</v>
      </c>
      <c r="F1371" s="13" t="s">
        <v>12512</v>
      </c>
      <c r="G1371" s="14" t="s">
        <v>12513</v>
      </c>
    </row>
    <row r="1372">
      <c r="A1372" s="13" t="s">
        <v>5291</v>
      </c>
      <c r="B1372" s="13" t="s">
        <v>12514</v>
      </c>
      <c r="C1372" s="13" t="s">
        <v>12515</v>
      </c>
      <c r="D1372" s="13" t="s">
        <v>12516</v>
      </c>
      <c r="E1372" s="13" t="s">
        <v>12517</v>
      </c>
      <c r="F1372" s="13" t="s">
        <v>12518</v>
      </c>
      <c r="G1372" s="14" t="s">
        <v>12519</v>
      </c>
    </row>
    <row r="1373">
      <c r="A1373" s="13" t="s">
        <v>5295</v>
      </c>
      <c r="B1373" s="13" t="s">
        <v>12520</v>
      </c>
      <c r="C1373" s="13" t="s">
        <v>12521</v>
      </c>
      <c r="D1373" s="13" t="s">
        <v>12522</v>
      </c>
      <c r="E1373" s="13" t="s">
        <v>12523</v>
      </c>
      <c r="F1373" s="13" t="s">
        <v>12524</v>
      </c>
      <c r="G1373" s="14" t="s">
        <v>12525</v>
      </c>
    </row>
    <row r="1374">
      <c r="A1374" s="13" t="s">
        <v>5299</v>
      </c>
      <c r="B1374" s="13" t="s">
        <v>12526</v>
      </c>
      <c r="C1374" s="13" t="s">
        <v>12527</v>
      </c>
      <c r="D1374" s="13" t="s">
        <v>12528</v>
      </c>
      <c r="E1374" s="13" t="s">
        <v>12529</v>
      </c>
      <c r="F1374" s="13" t="s">
        <v>12530</v>
      </c>
      <c r="G1374" s="14" t="s">
        <v>12531</v>
      </c>
    </row>
    <row r="1375">
      <c r="A1375" s="13" t="s">
        <v>5303</v>
      </c>
      <c r="B1375" s="13" t="s">
        <v>12532</v>
      </c>
      <c r="C1375" s="13" t="s">
        <v>12533</v>
      </c>
      <c r="D1375" s="13" t="s">
        <v>12534</v>
      </c>
      <c r="E1375" s="13" t="s">
        <v>12535</v>
      </c>
      <c r="F1375" s="13" t="s">
        <v>12536</v>
      </c>
      <c r="G1375" s="14" t="s">
        <v>12537</v>
      </c>
    </row>
    <row r="1376">
      <c r="A1376" s="13" t="s">
        <v>5307</v>
      </c>
      <c r="B1376" s="13" t="s">
        <v>12538</v>
      </c>
      <c r="C1376" s="13" t="s">
        <v>12539</v>
      </c>
      <c r="D1376" s="13" t="s">
        <v>12540</v>
      </c>
      <c r="E1376" s="13" t="s">
        <v>12541</v>
      </c>
      <c r="F1376" s="13" t="s">
        <v>12542</v>
      </c>
      <c r="G1376" s="14" t="s">
        <v>12543</v>
      </c>
    </row>
    <row r="1377">
      <c r="A1377" s="13" t="s">
        <v>5311</v>
      </c>
      <c r="B1377" s="13" t="s">
        <v>12544</v>
      </c>
      <c r="C1377" s="13" t="s">
        <v>12545</v>
      </c>
      <c r="D1377" s="13" t="s">
        <v>12546</v>
      </c>
      <c r="E1377" s="13" t="s">
        <v>12547</v>
      </c>
      <c r="F1377" s="13" t="s">
        <v>12548</v>
      </c>
      <c r="G1377" s="14" t="s">
        <v>12549</v>
      </c>
    </row>
    <row r="1378">
      <c r="A1378" s="13" t="s">
        <v>5316</v>
      </c>
      <c r="B1378" s="13" t="s">
        <v>12550</v>
      </c>
      <c r="C1378" s="13" t="s">
        <v>12551</v>
      </c>
      <c r="D1378" s="13" t="s">
        <v>12552</v>
      </c>
      <c r="E1378" s="13" t="s">
        <v>12553</v>
      </c>
      <c r="F1378" s="13" t="s">
        <v>12554</v>
      </c>
      <c r="G1378" s="14" t="s">
        <v>12555</v>
      </c>
    </row>
    <row r="1379">
      <c r="A1379" s="13" t="s">
        <v>5320</v>
      </c>
      <c r="B1379" s="13" t="s">
        <v>12556</v>
      </c>
      <c r="C1379" s="13" t="s">
        <v>12557</v>
      </c>
      <c r="D1379" s="13" t="s">
        <v>12558</v>
      </c>
      <c r="E1379" s="13" t="s">
        <v>12559</v>
      </c>
      <c r="F1379" s="13" t="s">
        <v>12560</v>
      </c>
      <c r="G1379" s="14" t="s">
        <v>12561</v>
      </c>
    </row>
    <row r="1380">
      <c r="A1380" s="13" t="s">
        <v>5324</v>
      </c>
      <c r="B1380" s="13" t="s">
        <v>12562</v>
      </c>
      <c r="C1380" s="13" t="s">
        <v>12563</v>
      </c>
      <c r="D1380" s="13" t="s">
        <v>12564</v>
      </c>
      <c r="E1380" s="13" t="s">
        <v>12565</v>
      </c>
      <c r="F1380" s="13" t="s">
        <v>12566</v>
      </c>
      <c r="G1380" s="14" t="s">
        <v>12567</v>
      </c>
    </row>
    <row r="1381">
      <c r="A1381" s="13" t="s">
        <v>5328</v>
      </c>
      <c r="B1381" s="13" t="s">
        <v>12568</v>
      </c>
      <c r="C1381" s="13" t="s">
        <v>12569</v>
      </c>
      <c r="D1381" s="13" t="s">
        <v>12570</v>
      </c>
      <c r="E1381" s="13" t="s">
        <v>12571</v>
      </c>
      <c r="F1381" s="13" t="s">
        <v>12572</v>
      </c>
      <c r="G1381" s="14" t="s">
        <v>12573</v>
      </c>
    </row>
    <row r="1382">
      <c r="A1382" s="13" t="s">
        <v>5332</v>
      </c>
      <c r="B1382" s="13" t="s">
        <v>12574</v>
      </c>
      <c r="C1382" s="13" t="s">
        <v>12575</v>
      </c>
      <c r="D1382" s="13" t="s">
        <v>12576</v>
      </c>
      <c r="E1382" s="13" t="s">
        <v>12577</v>
      </c>
      <c r="F1382" s="13" t="s">
        <v>12578</v>
      </c>
      <c r="G1382" s="14" t="s">
        <v>12579</v>
      </c>
    </row>
    <row r="1383">
      <c r="A1383" s="13" t="s">
        <v>5336</v>
      </c>
      <c r="B1383" s="13" t="s">
        <v>12580</v>
      </c>
      <c r="C1383" s="13" t="s">
        <v>12581</v>
      </c>
      <c r="D1383" s="13" t="s">
        <v>12582</v>
      </c>
      <c r="E1383" s="13" t="s">
        <v>12583</v>
      </c>
      <c r="F1383" s="13" t="s">
        <v>12584</v>
      </c>
      <c r="G1383" s="14" t="s">
        <v>12585</v>
      </c>
    </row>
    <row r="1384">
      <c r="A1384" s="13" t="s">
        <v>5340</v>
      </c>
      <c r="B1384" s="13" t="s">
        <v>12586</v>
      </c>
      <c r="C1384" s="13" t="s">
        <v>12587</v>
      </c>
      <c r="D1384" s="13" t="s">
        <v>12588</v>
      </c>
      <c r="E1384" s="13" t="s">
        <v>12589</v>
      </c>
      <c r="F1384" s="13" t="s">
        <v>12590</v>
      </c>
      <c r="G1384" s="14" t="s">
        <v>12591</v>
      </c>
    </row>
    <row r="1385">
      <c r="A1385" s="13" t="s">
        <v>5344</v>
      </c>
      <c r="B1385" s="13" t="s">
        <v>12592</v>
      </c>
      <c r="C1385" s="13" t="s">
        <v>12593</v>
      </c>
      <c r="D1385" s="13" t="s">
        <v>12594</v>
      </c>
      <c r="E1385" s="13" t="s">
        <v>12595</v>
      </c>
      <c r="F1385" s="13" t="s">
        <v>12596</v>
      </c>
      <c r="G1385" s="14" t="s">
        <v>12597</v>
      </c>
    </row>
    <row r="1386">
      <c r="A1386" s="13" t="s">
        <v>5348</v>
      </c>
      <c r="B1386" s="13" t="s">
        <v>12598</v>
      </c>
      <c r="C1386" s="13" t="s">
        <v>12599</v>
      </c>
      <c r="D1386" s="13" t="s">
        <v>12600</v>
      </c>
      <c r="E1386" s="13" t="s">
        <v>12601</v>
      </c>
      <c r="F1386" s="13" t="s">
        <v>12602</v>
      </c>
      <c r="G1386" s="14" t="s">
        <v>12603</v>
      </c>
    </row>
    <row r="1387">
      <c r="A1387" s="13" t="s">
        <v>5352</v>
      </c>
      <c r="B1387" s="13" t="s">
        <v>12604</v>
      </c>
      <c r="C1387" s="13" t="s">
        <v>12605</v>
      </c>
      <c r="D1387" s="13" t="s">
        <v>12606</v>
      </c>
      <c r="E1387" s="13" t="s">
        <v>12607</v>
      </c>
      <c r="F1387" s="13" t="s">
        <v>12608</v>
      </c>
      <c r="G1387" s="14" t="s">
        <v>12609</v>
      </c>
    </row>
    <row r="1388">
      <c r="A1388" s="13" t="s">
        <v>5356</v>
      </c>
      <c r="B1388" s="13" t="s">
        <v>12610</v>
      </c>
      <c r="C1388" s="13" t="s">
        <v>12611</v>
      </c>
      <c r="D1388" s="13" t="s">
        <v>12612</v>
      </c>
      <c r="E1388" s="13" t="s">
        <v>12613</v>
      </c>
      <c r="F1388" s="13" t="s">
        <v>12614</v>
      </c>
      <c r="G1388" s="14" t="s">
        <v>12615</v>
      </c>
    </row>
    <row r="1389">
      <c r="A1389" s="13" t="s">
        <v>5360</v>
      </c>
      <c r="B1389" s="13" t="s">
        <v>12616</v>
      </c>
      <c r="C1389" s="13" t="s">
        <v>12617</v>
      </c>
      <c r="D1389" s="13" t="s">
        <v>12618</v>
      </c>
      <c r="E1389" s="13" t="s">
        <v>12619</v>
      </c>
      <c r="F1389" s="13" t="s">
        <v>12620</v>
      </c>
      <c r="G1389" s="14" t="s">
        <v>12621</v>
      </c>
    </row>
    <row r="1390">
      <c r="A1390" s="13" t="s">
        <v>5364</v>
      </c>
      <c r="B1390" s="13" t="s">
        <v>12622</v>
      </c>
      <c r="C1390" s="13" t="s">
        <v>12623</v>
      </c>
      <c r="D1390" s="13" t="s">
        <v>12624</v>
      </c>
      <c r="E1390" s="13" t="s">
        <v>12625</v>
      </c>
      <c r="F1390" s="13" t="s">
        <v>12626</v>
      </c>
      <c r="G1390" s="14" t="s">
        <v>12627</v>
      </c>
    </row>
    <row r="1391">
      <c r="A1391" s="13" t="s">
        <v>5368</v>
      </c>
      <c r="B1391" s="13" t="s">
        <v>12628</v>
      </c>
      <c r="C1391" s="13" t="s">
        <v>12629</v>
      </c>
      <c r="D1391" s="13" t="s">
        <v>12630</v>
      </c>
      <c r="E1391" s="13" t="s">
        <v>12631</v>
      </c>
      <c r="F1391" s="13" t="s">
        <v>12632</v>
      </c>
      <c r="G1391" s="14" t="s">
        <v>12633</v>
      </c>
    </row>
    <row r="1392">
      <c r="A1392" s="13" t="s">
        <v>5372</v>
      </c>
      <c r="B1392" s="13" t="s">
        <v>12634</v>
      </c>
      <c r="C1392" s="13" t="s">
        <v>12635</v>
      </c>
      <c r="D1392" s="13" t="s">
        <v>12636</v>
      </c>
      <c r="E1392" s="13" t="s">
        <v>12637</v>
      </c>
      <c r="F1392" s="13" t="s">
        <v>12638</v>
      </c>
      <c r="G1392" s="14" t="s">
        <v>12639</v>
      </c>
    </row>
    <row r="1393">
      <c r="A1393" s="13" t="s">
        <v>5376</v>
      </c>
      <c r="B1393" s="13" t="s">
        <v>12640</v>
      </c>
      <c r="C1393" s="13" t="s">
        <v>12641</v>
      </c>
      <c r="D1393" s="13" t="s">
        <v>12642</v>
      </c>
      <c r="E1393" s="13" t="s">
        <v>12643</v>
      </c>
      <c r="F1393" s="13" t="s">
        <v>12644</v>
      </c>
      <c r="G1393" s="14" t="s">
        <v>12645</v>
      </c>
    </row>
    <row r="1394">
      <c r="A1394" s="13" t="s">
        <v>5380</v>
      </c>
      <c r="B1394" s="13" t="s">
        <v>12646</v>
      </c>
      <c r="C1394" s="13" t="s">
        <v>12647</v>
      </c>
      <c r="D1394" s="13" t="s">
        <v>12648</v>
      </c>
      <c r="E1394" s="13" t="s">
        <v>12649</v>
      </c>
      <c r="F1394" s="13" t="s">
        <v>12650</v>
      </c>
      <c r="G1394" s="14" t="s">
        <v>12651</v>
      </c>
    </row>
    <row r="1395">
      <c r="A1395" s="13" t="s">
        <v>5384</v>
      </c>
      <c r="B1395" s="13" t="s">
        <v>12652</v>
      </c>
      <c r="C1395" s="13" t="s">
        <v>12653</v>
      </c>
      <c r="D1395" s="13" t="s">
        <v>12654</v>
      </c>
      <c r="E1395" s="13" t="s">
        <v>12655</v>
      </c>
      <c r="F1395" s="13" t="s">
        <v>12656</v>
      </c>
      <c r="G1395" s="14" t="s">
        <v>12657</v>
      </c>
    </row>
    <row r="1396">
      <c r="A1396" s="13" t="s">
        <v>5388</v>
      </c>
      <c r="B1396" s="13" t="s">
        <v>12658</v>
      </c>
      <c r="C1396" s="13" t="s">
        <v>12659</v>
      </c>
      <c r="D1396" s="13" t="s">
        <v>12660</v>
      </c>
      <c r="E1396" s="13" t="s">
        <v>12661</v>
      </c>
      <c r="F1396" s="13" t="s">
        <v>12662</v>
      </c>
      <c r="G1396" s="14" t="s">
        <v>12663</v>
      </c>
    </row>
    <row r="1397">
      <c r="A1397" s="13" t="s">
        <v>5392</v>
      </c>
      <c r="B1397" s="13" t="s">
        <v>12664</v>
      </c>
      <c r="C1397" s="13" t="s">
        <v>12665</v>
      </c>
      <c r="D1397" s="13" t="s">
        <v>12666</v>
      </c>
      <c r="E1397" s="13" t="s">
        <v>12667</v>
      </c>
      <c r="F1397" s="13" t="s">
        <v>12668</v>
      </c>
      <c r="G1397" s="14" t="s">
        <v>12669</v>
      </c>
    </row>
    <row r="1398">
      <c r="A1398" s="13" t="s">
        <v>5396</v>
      </c>
      <c r="B1398" s="13" t="s">
        <v>12670</v>
      </c>
      <c r="C1398" s="13" t="s">
        <v>12671</v>
      </c>
      <c r="D1398" s="13" t="s">
        <v>12672</v>
      </c>
      <c r="E1398" s="13" t="s">
        <v>12673</v>
      </c>
      <c r="F1398" s="13" t="s">
        <v>12674</v>
      </c>
      <c r="G1398" s="14" t="s">
        <v>12675</v>
      </c>
    </row>
    <row r="1399">
      <c r="A1399" s="13" t="s">
        <v>5400</v>
      </c>
      <c r="B1399" s="13" t="s">
        <v>12676</v>
      </c>
      <c r="C1399" s="13" t="s">
        <v>12677</v>
      </c>
      <c r="D1399" s="13" t="s">
        <v>12678</v>
      </c>
      <c r="E1399" s="13" t="s">
        <v>12679</v>
      </c>
      <c r="F1399" s="13" t="s">
        <v>12680</v>
      </c>
      <c r="G1399" s="14" t="s">
        <v>12681</v>
      </c>
    </row>
    <row r="1400">
      <c r="A1400" s="13" t="s">
        <v>5404</v>
      </c>
      <c r="B1400" s="13" t="s">
        <v>12682</v>
      </c>
      <c r="C1400" s="13" t="s">
        <v>12683</v>
      </c>
      <c r="D1400" s="13" t="s">
        <v>12684</v>
      </c>
      <c r="E1400" s="13" t="s">
        <v>12685</v>
      </c>
      <c r="F1400" s="13" t="s">
        <v>12686</v>
      </c>
      <c r="G1400" s="14" t="s">
        <v>12687</v>
      </c>
    </row>
    <row r="1401">
      <c r="A1401" s="13" t="s">
        <v>5408</v>
      </c>
      <c r="B1401" s="13" t="s">
        <v>12688</v>
      </c>
      <c r="C1401" s="13" t="s">
        <v>12689</v>
      </c>
      <c r="D1401" s="13" t="s">
        <v>12690</v>
      </c>
      <c r="E1401" s="13" t="s">
        <v>12691</v>
      </c>
      <c r="F1401" s="13" t="s">
        <v>12692</v>
      </c>
      <c r="G1401" s="14" t="s">
        <v>12693</v>
      </c>
    </row>
    <row r="1402">
      <c r="A1402" s="13" t="s">
        <v>5413</v>
      </c>
      <c r="B1402" s="13" t="s">
        <v>12694</v>
      </c>
      <c r="C1402" s="13" t="s">
        <v>12695</v>
      </c>
      <c r="D1402" s="13" t="s">
        <v>12696</v>
      </c>
      <c r="E1402" s="13" t="s">
        <v>12697</v>
      </c>
      <c r="F1402" s="13" t="s">
        <v>12698</v>
      </c>
      <c r="G1402" s="14" t="s">
        <v>12699</v>
      </c>
    </row>
    <row r="1403">
      <c r="A1403" s="13" t="s">
        <v>5417</v>
      </c>
      <c r="B1403" s="13" t="s">
        <v>12700</v>
      </c>
      <c r="C1403" s="13" t="s">
        <v>12701</v>
      </c>
      <c r="D1403" s="13" t="s">
        <v>12702</v>
      </c>
      <c r="E1403" s="13" t="s">
        <v>12703</v>
      </c>
      <c r="F1403" s="13" t="s">
        <v>12704</v>
      </c>
      <c r="G1403" s="14" t="s">
        <v>12705</v>
      </c>
    </row>
    <row r="1404">
      <c r="A1404" s="13" t="s">
        <v>5421</v>
      </c>
      <c r="B1404" s="13" t="s">
        <v>12706</v>
      </c>
      <c r="C1404" s="13" t="s">
        <v>12707</v>
      </c>
      <c r="D1404" s="13" t="s">
        <v>12708</v>
      </c>
      <c r="E1404" s="13" t="s">
        <v>12709</v>
      </c>
      <c r="F1404" s="13" t="s">
        <v>12710</v>
      </c>
      <c r="G1404" s="14" t="s">
        <v>12711</v>
      </c>
    </row>
    <row r="1405">
      <c r="A1405" s="13" t="s">
        <v>5425</v>
      </c>
      <c r="B1405" s="13" t="s">
        <v>12712</v>
      </c>
      <c r="C1405" s="13" t="s">
        <v>12713</v>
      </c>
      <c r="D1405" s="13" t="s">
        <v>12714</v>
      </c>
      <c r="E1405" s="13" t="s">
        <v>12715</v>
      </c>
      <c r="F1405" s="13" t="s">
        <v>12716</v>
      </c>
      <c r="G1405" s="14" t="s">
        <v>12717</v>
      </c>
    </row>
    <row r="1406">
      <c r="A1406" s="13" t="s">
        <v>5429</v>
      </c>
      <c r="B1406" s="13" t="s">
        <v>12718</v>
      </c>
      <c r="C1406" s="13" t="s">
        <v>12719</v>
      </c>
      <c r="D1406" s="13" t="s">
        <v>12720</v>
      </c>
      <c r="E1406" s="13" t="s">
        <v>12721</v>
      </c>
      <c r="F1406" s="13" t="s">
        <v>12722</v>
      </c>
      <c r="G1406" s="14" t="s">
        <v>12723</v>
      </c>
    </row>
    <row r="1407">
      <c r="A1407" s="13" t="s">
        <v>5433</v>
      </c>
      <c r="B1407" s="13" t="s">
        <v>12724</v>
      </c>
      <c r="C1407" s="13" t="s">
        <v>12725</v>
      </c>
      <c r="D1407" s="13" t="s">
        <v>12726</v>
      </c>
      <c r="E1407" s="13" t="s">
        <v>12727</v>
      </c>
      <c r="F1407" s="13" t="s">
        <v>12728</v>
      </c>
      <c r="G1407" s="14" t="s">
        <v>12729</v>
      </c>
    </row>
    <row r="1408">
      <c r="A1408" s="13" t="s">
        <v>5437</v>
      </c>
      <c r="B1408" s="13" t="s">
        <v>12730</v>
      </c>
      <c r="C1408" s="13" t="s">
        <v>12731</v>
      </c>
      <c r="D1408" s="13" t="s">
        <v>12732</v>
      </c>
      <c r="E1408" s="13" t="s">
        <v>12733</v>
      </c>
      <c r="F1408" s="13" t="s">
        <v>12734</v>
      </c>
      <c r="G1408" s="14" t="s">
        <v>12735</v>
      </c>
    </row>
    <row r="1409">
      <c r="A1409" s="13" t="s">
        <v>5441</v>
      </c>
      <c r="B1409" s="13" t="s">
        <v>12736</v>
      </c>
      <c r="C1409" s="13" t="s">
        <v>12737</v>
      </c>
      <c r="D1409" s="13" t="s">
        <v>12738</v>
      </c>
      <c r="E1409" s="13" t="s">
        <v>12739</v>
      </c>
      <c r="F1409" s="13" t="s">
        <v>12740</v>
      </c>
      <c r="G1409" s="14" t="s">
        <v>12741</v>
      </c>
    </row>
    <row r="1410">
      <c r="A1410" s="13" t="s">
        <v>5445</v>
      </c>
      <c r="B1410" s="13" t="s">
        <v>12742</v>
      </c>
      <c r="C1410" s="13" t="s">
        <v>12743</v>
      </c>
      <c r="D1410" s="13" t="s">
        <v>12744</v>
      </c>
      <c r="E1410" s="13" t="s">
        <v>12745</v>
      </c>
      <c r="F1410" s="13" t="s">
        <v>12746</v>
      </c>
      <c r="G1410" s="14" t="s">
        <v>12747</v>
      </c>
    </row>
    <row r="1411">
      <c r="A1411" s="13" t="s">
        <v>5449</v>
      </c>
      <c r="B1411" s="13" t="s">
        <v>12748</v>
      </c>
      <c r="C1411" s="13" t="s">
        <v>12749</v>
      </c>
      <c r="D1411" s="13" t="s">
        <v>12750</v>
      </c>
      <c r="E1411" s="13" t="s">
        <v>12751</v>
      </c>
      <c r="F1411" s="13" t="s">
        <v>12752</v>
      </c>
      <c r="G1411" s="14" t="s">
        <v>12753</v>
      </c>
    </row>
    <row r="1412">
      <c r="A1412" s="13" t="s">
        <v>5453</v>
      </c>
      <c r="B1412" s="13" t="s">
        <v>12754</v>
      </c>
      <c r="C1412" s="13" t="s">
        <v>12755</v>
      </c>
      <c r="D1412" s="13" t="s">
        <v>12756</v>
      </c>
      <c r="E1412" s="13" t="s">
        <v>12757</v>
      </c>
      <c r="F1412" s="13" t="s">
        <v>12758</v>
      </c>
      <c r="G1412" s="14" t="s">
        <v>12759</v>
      </c>
    </row>
    <row r="1413">
      <c r="A1413" s="13" t="s">
        <v>5457</v>
      </c>
      <c r="B1413" s="13" t="s">
        <v>12760</v>
      </c>
      <c r="C1413" s="13" t="s">
        <v>12761</v>
      </c>
      <c r="D1413" s="13" t="s">
        <v>12762</v>
      </c>
      <c r="E1413" s="13" t="s">
        <v>12763</v>
      </c>
      <c r="F1413" s="13" t="s">
        <v>12764</v>
      </c>
      <c r="G1413" s="14" t="s">
        <v>12765</v>
      </c>
    </row>
    <row r="1414">
      <c r="A1414" s="13" t="s">
        <v>5461</v>
      </c>
      <c r="B1414" s="13" t="s">
        <v>12766</v>
      </c>
      <c r="C1414" s="13" t="s">
        <v>12767</v>
      </c>
      <c r="D1414" s="13" t="s">
        <v>12768</v>
      </c>
      <c r="E1414" s="13" t="s">
        <v>12769</v>
      </c>
      <c r="F1414" s="13" t="s">
        <v>12770</v>
      </c>
      <c r="G1414" s="14" t="s">
        <v>12771</v>
      </c>
    </row>
    <row r="1415">
      <c r="A1415" s="13" t="s">
        <v>5465</v>
      </c>
      <c r="B1415" s="13" t="s">
        <v>12772</v>
      </c>
      <c r="C1415" s="13" t="s">
        <v>12773</v>
      </c>
      <c r="D1415" s="13" t="s">
        <v>12774</v>
      </c>
      <c r="E1415" s="13" t="s">
        <v>12775</v>
      </c>
      <c r="F1415" s="13" t="s">
        <v>12776</v>
      </c>
      <c r="G1415" s="14" t="s">
        <v>12777</v>
      </c>
    </row>
    <row r="1416">
      <c r="A1416" s="13" t="s">
        <v>5469</v>
      </c>
      <c r="B1416" s="13" t="s">
        <v>12778</v>
      </c>
      <c r="C1416" s="13" t="s">
        <v>12779</v>
      </c>
      <c r="D1416" s="13" t="s">
        <v>12780</v>
      </c>
      <c r="E1416" s="13" t="s">
        <v>12781</v>
      </c>
      <c r="F1416" s="13" t="s">
        <v>12782</v>
      </c>
      <c r="G1416" s="14" t="s">
        <v>12783</v>
      </c>
    </row>
    <row r="1417">
      <c r="A1417" s="13" t="s">
        <v>5473</v>
      </c>
      <c r="B1417" s="13" t="s">
        <v>12784</v>
      </c>
      <c r="C1417" s="13" t="s">
        <v>12785</v>
      </c>
      <c r="D1417" s="13" t="s">
        <v>12786</v>
      </c>
      <c r="E1417" s="13" t="s">
        <v>12787</v>
      </c>
      <c r="F1417" s="13" t="s">
        <v>12788</v>
      </c>
      <c r="G1417" s="14" t="s">
        <v>12789</v>
      </c>
    </row>
    <row r="1418">
      <c r="A1418" s="13" t="s">
        <v>5477</v>
      </c>
      <c r="B1418" s="13" t="s">
        <v>12790</v>
      </c>
      <c r="C1418" s="13" t="s">
        <v>12791</v>
      </c>
      <c r="D1418" s="13" t="s">
        <v>12792</v>
      </c>
      <c r="E1418" s="13" t="s">
        <v>12793</v>
      </c>
      <c r="F1418" s="13" t="s">
        <v>12794</v>
      </c>
      <c r="G1418" s="14" t="s">
        <v>12795</v>
      </c>
    </row>
    <row r="1419">
      <c r="A1419" s="13" t="s">
        <v>5481</v>
      </c>
      <c r="B1419" s="13" t="s">
        <v>12796</v>
      </c>
      <c r="C1419" s="13" t="s">
        <v>12797</v>
      </c>
      <c r="D1419" s="13" t="s">
        <v>12798</v>
      </c>
      <c r="E1419" s="13" t="s">
        <v>12799</v>
      </c>
      <c r="F1419" s="13" t="s">
        <v>12800</v>
      </c>
      <c r="G1419" s="14" t="s">
        <v>12801</v>
      </c>
    </row>
    <row r="1420">
      <c r="A1420" s="13" t="s">
        <v>5485</v>
      </c>
      <c r="B1420" s="13" t="s">
        <v>12802</v>
      </c>
      <c r="C1420" s="13" t="s">
        <v>12803</v>
      </c>
      <c r="D1420" s="13" t="s">
        <v>12804</v>
      </c>
      <c r="E1420" s="13" t="s">
        <v>12805</v>
      </c>
      <c r="F1420" s="13" t="s">
        <v>12806</v>
      </c>
      <c r="G1420" s="14" t="s">
        <v>12807</v>
      </c>
    </row>
    <row r="1421">
      <c r="A1421" s="13" t="s">
        <v>5490</v>
      </c>
      <c r="B1421" s="13" t="s">
        <v>12808</v>
      </c>
      <c r="C1421" s="13" t="s">
        <v>12809</v>
      </c>
      <c r="D1421" s="13" t="s">
        <v>12810</v>
      </c>
      <c r="E1421" s="13" t="s">
        <v>12811</v>
      </c>
      <c r="F1421" s="13" t="s">
        <v>12812</v>
      </c>
      <c r="G1421" s="14" t="s">
        <v>12813</v>
      </c>
    </row>
    <row r="1422">
      <c r="A1422" s="13" t="s">
        <v>5494</v>
      </c>
      <c r="B1422" s="13" t="s">
        <v>12814</v>
      </c>
      <c r="C1422" s="13" t="s">
        <v>12815</v>
      </c>
      <c r="D1422" s="13" t="s">
        <v>12816</v>
      </c>
      <c r="E1422" s="13" t="s">
        <v>12817</v>
      </c>
      <c r="F1422" s="13" t="s">
        <v>12818</v>
      </c>
      <c r="G1422" s="14" t="s">
        <v>12819</v>
      </c>
    </row>
    <row r="1423">
      <c r="A1423" s="13" t="s">
        <v>5498</v>
      </c>
      <c r="B1423" s="13" t="s">
        <v>12820</v>
      </c>
      <c r="C1423" s="13" t="s">
        <v>12821</v>
      </c>
      <c r="D1423" s="13" t="s">
        <v>12822</v>
      </c>
      <c r="E1423" s="13" t="s">
        <v>12823</v>
      </c>
      <c r="F1423" s="13" t="s">
        <v>12824</v>
      </c>
      <c r="G1423" s="14" t="s">
        <v>12825</v>
      </c>
    </row>
    <row r="1424">
      <c r="A1424" s="13" t="s">
        <v>5502</v>
      </c>
      <c r="B1424" s="13" t="s">
        <v>12826</v>
      </c>
      <c r="C1424" s="13" t="s">
        <v>12827</v>
      </c>
      <c r="D1424" s="13" t="s">
        <v>12828</v>
      </c>
      <c r="E1424" s="13" t="s">
        <v>12829</v>
      </c>
      <c r="F1424" s="13" t="s">
        <v>12830</v>
      </c>
      <c r="G1424" s="14" t="s">
        <v>12831</v>
      </c>
    </row>
    <row r="1425">
      <c r="A1425" s="13" t="s">
        <v>5507</v>
      </c>
      <c r="B1425" s="13" t="s">
        <v>12832</v>
      </c>
      <c r="C1425" s="13" t="s">
        <v>12833</v>
      </c>
      <c r="D1425" s="13" t="s">
        <v>12834</v>
      </c>
      <c r="E1425" s="13" t="s">
        <v>12835</v>
      </c>
      <c r="F1425" s="13" t="s">
        <v>12836</v>
      </c>
      <c r="G1425" s="14" t="s">
        <v>12837</v>
      </c>
    </row>
    <row r="1426">
      <c r="A1426" s="13" t="s">
        <v>5511</v>
      </c>
      <c r="B1426" s="13" t="s">
        <v>12838</v>
      </c>
      <c r="C1426" s="13" t="s">
        <v>12839</v>
      </c>
      <c r="D1426" s="13" t="s">
        <v>12840</v>
      </c>
      <c r="E1426" s="13" t="s">
        <v>12841</v>
      </c>
      <c r="F1426" s="13" t="s">
        <v>12842</v>
      </c>
      <c r="G1426" s="14" t="s">
        <v>12843</v>
      </c>
    </row>
    <row r="1427">
      <c r="A1427" s="13" t="s">
        <v>5515</v>
      </c>
      <c r="B1427" s="13" t="s">
        <v>12844</v>
      </c>
      <c r="C1427" s="13" t="s">
        <v>12845</v>
      </c>
      <c r="D1427" s="13" t="s">
        <v>12846</v>
      </c>
      <c r="E1427" s="13" t="s">
        <v>12847</v>
      </c>
      <c r="F1427" s="13" t="s">
        <v>12848</v>
      </c>
      <c r="G1427" s="14" t="s">
        <v>12849</v>
      </c>
    </row>
    <row r="1428">
      <c r="A1428" s="13" t="s">
        <v>5519</v>
      </c>
      <c r="B1428" s="13" t="s">
        <v>12850</v>
      </c>
      <c r="C1428" s="13" t="s">
        <v>12851</v>
      </c>
      <c r="D1428" s="13" t="s">
        <v>12852</v>
      </c>
      <c r="E1428" s="13" t="s">
        <v>12853</v>
      </c>
      <c r="F1428" s="13" t="s">
        <v>12854</v>
      </c>
      <c r="G1428" s="14" t="s">
        <v>12855</v>
      </c>
    </row>
    <row r="1429">
      <c r="A1429" s="13" t="s">
        <v>5523</v>
      </c>
      <c r="B1429" s="13" t="s">
        <v>12856</v>
      </c>
      <c r="C1429" s="13" t="s">
        <v>12857</v>
      </c>
      <c r="D1429" s="13" t="s">
        <v>12858</v>
      </c>
      <c r="E1429" s="13" t="s">
        <v>12859</v>
      </c>
      <c r="F1429" s="13" t="s">
        <v>12860</v>
      </c>
      <c r="G1429" s="14" t="s">
        <v>12861</v>
      </c>
    </row>
    <row r="1430">
      <c r="A1430" s="13" t="s">
        <v>5527</v>
      </c>
      <c r="B1430" s="13" t="s">
        <v>12862</v>
      </c>
      <c r="C1430" s="13" t="s">
        <v>12863</v>
      </c>
      <c r="D1430" s="13" t="s">
        <v>12864</v>
      </c>
      <c r="E1430" s="13" t="s">
        <v>12865</v>
      </c>
      <c r="F1430" s="13" t="s">
        <v>12866</v>
      </c>
      <c r="G1430" s="14" t="s">
        <v>12867</v>
      </c>
    </row>
    <row r="1431">
      <c r="A1431" s="13" t="s">
        <v>5531</v>
      </c>
      <c r="B1431" s="13" t="s">
        <v>12868</v>
      </c>
      <c r="C1431" s="13" t="s">
        <v>12869</v>
      </c>
      <c r="D1431" s="13" t="s">
        <v>12870</v>
      </c>
      <c r="E1431" s="13" t="s">
        <v>12871</v>
      </c>
      <c r="F1431" s="13" t="s">
        <v>12872</v>
      </c>
      <c r="G1431" s="14" t="s">
        <v>12873</v>
      </c>
    </row>
    <row r="1432">
      <c r="A1432" s="13" t="s">
        <v>5535</v>
      </c>
      <c r="B1432" s="13" t="s">
        <v>12874</v>
      </c>
      <c r="C1432" s="13" t="s">
        <v>12875</v>
      </c>
      <c r="D1432" s="13" t="s">
        <v>12876</v>
      </c>
      <c r="E1432" s="13" t="s">
        <v>12877</v>
      </c>
      <c r="F1432" s="13" t="s">
        <v>12878</v>
      </c>
      <c r="G1432" s="14" t="s">
        <v>12879</v>
      </c>
    </row>
    <row r="1433">
      <c r="A1433" s="13" t="s">
        <v>5539</v>
      </c>
      <c r="B1433" s="13" t="s">
        <v>12880</v>
      </c>
      <c r="C1433" s="13" t="s">
        <v>12881</v>
      </c>
      <c r="D1433" s="13" t="s">
        <v>12882</v>
      </c>
      <c r="E1433" s="13" t="s">
        <v>12883</v>
      </c>
      <c r="F1433" s="13" t="s">
        <v>12884</v>
      </c>
      <c r="G1433" s="14" t="s">
        <v>12885</v>
      </c>
    </row>
    <row r="1434">
      <c r="A1434" s="13" t="s">
        <v>5543</v>
      </c>
      <c r="B1434" s="13" t="s">
        <v>12886</v>
      </c>
      <c r="C1434" s="13" t="s">
        <v>12887</v>
      </c>
      <c r="D1434" s="13" t="s">
        <v>12888</v>
      </c>
      <c r="E1434" s="13" t="s">
        <v>12889</v>
      </c>
      <c r="F1434" s="13" t="s">
        <v>12890</v>
      </c>
      <c r="G1434" s="14" t="s">
        <v>12891</v>
      </c>
    </row>
    <row r="1435">
      <c r="A1435" s="13" t="s">
        <v>5548</v>
      </c>
      <c r="B1435" s="13" t="s">
        <v>12892</v>
      </c>
      <c r="C1435" s="13" t="s">
        <v>12893</v>
      </c>
      <c r="D1435" s="13" t="s">
        <v>12894</v>
      </c>
      <c r="E1435" s="13" t="s">
        <v>12895</v>
      </c>
      <c r="F1435" s="13" t="s">
        <v>12896</v>
      </c>
      <c r="G1435" s="14" t="s">
        <v>12897</v>
      </c>
    </row>
    <row r="1436">
      <c r="A1436" s="13" t="s">
        <v>5552</v>
      </c>
      <c r="B1436" s="13" t="s">
        <v>12898</v>
      </c>
      <c r="C1436" s="13" t="s">
        <v>12899</v>
      </c>
      <c r="D1436" s="13" t="s">
        <v>12900</v>
      </c>
      <c r="E1436" s="13" t="s">
        <v>12901</v>
      </c>
      <c r="F1436" s="13" t="s">
        <v>12902</v>
      </c>
      <c r="G1436" s="14" t="s">
        <v>12903</v>
      </c>
    </row>
    <row r="1437">
      <c r="A1437" s="13" t="s">
        <v>5556</v>
      </c>
      <c r="B1437" s="13" t="s">
        <v>12904</v>
      </c>
      <c r="C1437" s="13" t="s">
        <v>12905</v>
      </c>
      <c r="D1437" s="13" t="s">
        <v>12906</v>
      </c>
      <c r="E1437" s="13" t="s">
        <v>12907</v>
      </c>
      <c r="F1437" s="13" t="s">
        <v>12908</v>
      </c>
      <c r="G1437" s="14" t="s">
        <v>12909</v>
      </c>
    </row>
    <row r="1438">
      <c r="A1438" s="13" t="s">
        <v>5560</v>
      </c>
      <c r="B1438" s="13" t="s">
        <v>12910</v>
      </c>
      <c r="C1438" s="13" t="s">
        <v>12911</v>
      </c>
      <c r="D1438" s="13" t="s">
        <v>12912</v>
      </c>
      <c r="E1438" s="13" t="s">
        <v>12913</v>
      </c>
      <c r="F1438" s="13" t="s">
        <v>12914</v>
      </c>
      <c r="G1438" s="14" t="s">
        <v>10780</v>
      </c>
    </row>
    <row r="1439">
      <c r="A1439" s="13" t="s">
        <v>5563</v>
      </c>
      <c r="B1439" s="13" t="s">
        <v>12915</v>
      </c>
      <c r="C1439" s="13" t="s">
        <v>12916</v>
      </c>
      <c r="D1439" s="13" t="s">
        <v>12917</v>
      </c>
      <c r="E1439" s="13" t="s">
        <v>12918</v>
      </c>
      <c r="F1439" s="13" t="s">
        <v>12919</v>
      </c>
      <c r="G1439" s="14" t="s">
        <v>12920</v>
      </c>
    </row>
    <row r="1440">
      <c r="A1440" s="13" t="s">
        <v>5567</v>
      </c>
      <c r="B1440" s="13" t="s">
        <v>12921</v>
      </c>
      <c r="C1440" s="13" t="s">
        <v>12922</v>
      </c>
      <c r="D1440" s="13" t="s">
        <v>12923</v>
      </c>
      <c r="E1440" s="13" t="s">
        <v>12924</v>
      </c>
      <c r="F1440" s="13" t="s">
        <v>12925</v>
      </c>
      <c r="G1440" s="14" t="s">
        <v>12926</v>
      </c>
    </row>
    <row r="1441">
      <c r="A1441" s="13" t="s">
        <v>5571</v>
      </c>
      <c r="B1441" s="13" t="s">
        <v>12927</v>
      </c>
      <c r="C1441" s="13" t="s">
        <v>12928</v>
      </c>
      <c r="D1441" s="13" t="s">
        <v>12929</v>
      </c>
      <c r="E1441" s="13" t="s">
        <v>12930</v>
      </c>
      <c r="F1441" s="13" t="s">
        <v>12931</v>
      </c>
      <c r="G1441" s="14" t="s">
        <v>12932</v>
      </c>
    </row>
    <row r="1442">
      <c r="A1442" s="13" t="s">
        <v>5576</v>
      </c>
      <c r="B1442" s="13" t="s">
        <v>12933</v>
      </c>
      <c r="C1442" s="13" t="s">
        <v>12934</v>
      </c>
      <c r="D1442" s="13" t="s">
        <v>12935</v>
      </c>
      <c r="E1442" s="13" t="s">
        <v>12936</v>
      </c>
      <c r="F1442" s="13" t="s">
        <v>12937</v>
      </c>
      <c r="G1442" s="14" t="s">
        <v>12938</v>
      </c>
    </row>
    <row r="1443">
      <c r="A1443" s="13" t="s">
        <v>5580</v>
      </c>
      <c r="B1443" s="13" t="s">
        <v>12939</v>
      </c>
      <c r="C1443" s="13" t="s">
        <v>12940</v>
      </c>
      <c r="D1443" s="13" t="s">
        <v>12941</v>
      </c>
      <c r="E1443" s="13" t="s">
        <v>12942</v>
      </c>
      <c r="F1443" s="13" t="s">
        <v>12943</v>
      </c>
      <c r="G1443" s="14" t="s">
        <v>12944</v>
      </c>
    </row>
    <row r="1444">
      <c r="A1444" s="13" t="s">
        <v>5584</v>
      </c>
      <c r="B1444" s="13" t="s">
        <v>12945</v>
      </c>
      <c r="C1444" s="13" t="s">
        <v>12946</v>
      </c>
      <c r="D1444" s="13" t="s">
        <v>12947</v>
      </c>
      <c r="E1444" s="13" t="s">
        <v>12948</v>
      </c>
      <c r="F1444" s="13" t="s">
        <v>12949</v>
      </c>
      <c r="G1444" s="14" t="s">
        <v>12950</v>
      </c>
    </row>
    <row r="1445">
      <c r="A1445" s="13" t="s">
        <v>5588</v>
      </c>
      <c r="B1445" s="13" t="s">
        <v>12951</v>
      </c>
      <c r="C1445" s="13" t="s">
        <v>12952</v>
      </c>
      <c r="D1445" s="13" t="s">
        <v>12953</v>
      </c>
      <c r="E1445" s="13" t="s">
        <v>12954</v>
      </c>
      <c r="F1445" s="13" t="s">
        <v>12955</v>
      </c>
      <c r="G1445" s="14" t="s">
        <v>12956</v>
      </c>
    </row>
    <row r="1446">
      <c r="A1446" s="13" t="s">
        <v>5592</v>
      </c>
      <c r="B1446" s="13" t="s">
        <v>12957</v>
      </c>
      <c r="C1446" s="13" t="s">
        <v>12958</v>
      </c>
      <c r="D1446" s="13" t="s">
        <v>12959</v>
      </c>
      <c r="E1446" s="13" t="s">
        <v>12960</v>
      </c>
      <c r="F1446" s="13" t="s">
        <v>12961</v>
      </c>
      <c r="G1446" s="14" t="s">
        <v>12962</v>
      </c>
    </row>
    <row r="1447">
      <c r="A1447" s="13" t="s">
        <v>5597</v>
      </c>
      <c r="B1447" s="13" t="s">
        <v>12963</v>
      </c>
      <c r="C1447" s="13" t="s">
        <v>12964</v>
      </c>
      <c r="D1447" s="13" t="s">
        <v>12965</v>
      </c>
      <c r="E1447" s="13" t="s">
        <v>12966</v>
      </c>
      <c r="F1447" s="13" t="s">
        <v>12967</v>
      </c>
      <c r="G1447" s="14" t="s">
        <v>12968</v>
      </c>
    </row>
    <row r="1448">
      <c r="A1448" s="13" t="s">
        <v>5601</v>
      </c>
      <c r="B1448" s="13" t="s">
        <v>12969</v>
      </c>
      <c r="C1448" s="13" t="s">
        <v>12970</v>
      </c>
      <c r="D1448" s="13" t="s">
        <v>12971</v>
      </c>
      <c r="E1448" s="13" t="s">
        <v>12972</v>
      </c>
      <c r="F1448" s="13" t="s">
        <v>12973</v>
      </c>
      <c r="G1448" s="14" t="s">
        <v>12974</v>
      </c>
    </row>
    <row r="1449">
      <c r="A1449" s="13" t="s">
        <v>5605</v>
      </c>
      <c r="B1449" s="13" t="s">
        <v>12975</v>
      </c>
      <c r="C1449" s="13" t="s">
        <v>12976</v>
      </c>
      <c r="D1449" s="13" t="s">
        <v>12977</v>
      </c>
      <c r="E1449" s="13" t="s">
        <v>12978</v>
      </c>
      <c r="F1449" s="13" t="s">
        <v>12979</v>
      </c>
      <c r="G1449" s="14" t="s">
        <v>12980</v>
      </c>
    </row>
    <row r="1450">
      <c r="A1450" s="13" t="s">
        <v>5609</v>
      </c>
      <c r="B1450" s="13" t="s">
        <v>12981</v>
      </c>
      <c r="C1450" s="13" t="s">
        <v>12982</v>
      </c>
      <c r="D1450" s="13" t="s">
        <v>12983</v>
      </c>
      <c r="E1450" s="13" t="s">
        <v>12984</v>
      </c>
      <c r="F1450" s="13" t="s">
        <v>12985</v>
      </c>
      <c r="G1450" s="14" t="s">
        <v>12986</v>
      </c>
    </row>
    <row r="1451">
      <c r="A1451" s="13" t="s">
        <v>5613</v>
      </c>
      <c r="B1451" s="13" t="s">
        <v>12987</v>
      </c>
      <c r="C1451" s="13" t="s">
        <v>12988</v>
      </c>
      <c r="D1451" s="13" t="s">
        <v>12989</v>
      </c>
      <c r="E1451" s="13" t="s">
        <v>12990</v>
      </c>
      <c r="F1451" s="13" t="s">
        <v>12991</v>
      </c>
      <c r="G1451" s="14" t="s">
        <v>12992</v>
      </c>
    </row>
    <row r="1452">
      <c r="A1452" s="13" t="s">
        <v>5617</v>
      </c>
      <c r="B1452" s="13" t="s">
        <v>12993</v>
      </c>
      <c r="C1452" s="13" t="s">
        <v>12994</v>
      </c>
      <c r="D1452" s="13" t="s">
        <v>12995</v>
      </c>
      <c r="E1452" s="13" t="s">
        <v>12996</v>
      </c>
      <c r="F1452" s="13" t="s">
        <v>12997</v>
      </c>
      <c r="G1452" s="14" t="s">
        <v>12998</v>
      </c>
    </row>
    <row r="1453">
      <c r="A1453" s="13" t="s">
        <v>5621</v>
      </c>
      <c r="B1453" s="13" t="s">
        <v>12999</v>
      </c>
      <c r="C1453" s="13" t="s">
        <v>13000</v>
      </c>
      <c r="D1453" s="13" t="s">
        <v>13001</v>
      </c>
      <c r="E1453" s="13" t="s">
        <v>13002</v>
      </c>
      <c r="F1453" s="13" t="s">
        <v>13003</v>
      </c>
      <c r="G1453" s="14" t="s">
        <v>13004</v>
      </c>
    </row>
    <row r="1454">
      <c r="A1454" s="13" t="s">
        <v>5625</v>
      </c>
      <c r="B1454" s="13" t="s">
        <v>13005</v>
      </c>
      <c r="C1454" s="13" t="s">
        <v>13006</v>
      </c>
      <c r="D1454" s="13" t="s">
        <v>13007</v>
      </c>
      <c r="E1454" s="13" t="s">
        <v>13008</v>
      </c>
      <c r="F1454" s="13" t="s">
        <v>13009</v>
      </c>
      <c r="G1454" s="14" t="s">
        <v>13010</v>
      </c>
    </row>
    <row r="1455">
      <c r="A1455" s="13" t="s">
        <v>5629</v>
      </c>
      <c r="B1455" s="13" t="s">
        <v>13011</v>
      </c>
      <c r="C1455" s="13" t="s">
        <v>13012</v>
      </c>
      <c r="D1455" s="13" t="s">
        <v>13013</v>
      </c>
      <c r="E1455" s="13" t="s">
        <v>13014</v>
      </c>
      <c r="F1455" s="13" t="s">
        <v>13015</v>
      </c>
      <c r="G1455" s="14" t="s">
        <v>13016</v>
      </c>
    </row>
    <row r="1456">
      <c r="A1456" s="13" t="s">
        <v>5633</v>
      </c>
      <c r="B1456" s="13" t="s">
        <v>13017</v>
      </c>
      <c r="C1456" s="13" t="s">
        <v>13018</v>
      </c>
      <c r="D1456" s="13" t="s">
        <v>13019</v>
      </c>
      <c r="E1456" s="13" t="s">
        <v>13020</v>
      </c>
      <c r="F1456" s="13" t="s">
        <v>13021</v>
      </c>
      <c r="G1456" s="14" t="s">
        <v>13022</v>
      </c>
    </row>
    <row r="1457">
      <c r="A1457" s="13" t="s">
        <v>5637</v>
      </c>
      <c r="B1457" s="13" t="s">
        <v>13023</v>
      </c>
      <c r="C1457" s="13" t="s">
        <v>13024</v>
      </c>
      <c r="D1457" s="13" t="s">
        <v>13025</v>
      </c>
      <c r="E1457" s="13" t="s">
        <v>13026</v>
      </c>
      <c r="F1457" s="13" t="s">
        <v>13027</v>
      </c>
      <c r="G1457" s="14" t="s">
        <v>13028</v>
      </c>
    </row>
    <row r="1458">
      <c r="A1458" s="13" t="s">
        <v>5641</v>
      </c>
      <c r="B1458" s="13" t="s">
        <v>13029</v>
      </c>
      <c r="C1458" s="13" t="s">
        <v>13030</v>
      </c>
      <c r="D1458" s="13" t="s">
        <v>13031</v>
      </c>
      <c r="E1458" s="13" t="s">
        <v>13032</v>
      </c>
      <c r="F1458" s="13" t="s">
        <v>13033</v>
      </c>
      <c r="G1458" s="14" t="s">
        <v>13034</v>
      </c>
    </row>
    <row r="1459">
      <c r="A1459" s="13" t="s">
        <v>5645</v>
      </c>
      <c r="B1459" s="13" t="s">
        <v>13035</v>
      </c>
      <c r="C1459" s="13" t="s">
        <v>13036</v>
      </c>
      <c r="D1459" s="13" t="s">
        <v>13037</v>
      </c>
      <c r="E1459" s="13" t="s">
        <v>13038</v>
      </c>
      <c r="F1459" s="13" t="s">
        <v>13039</v>
      </c>
      <c r="G1459" s="14" t="s">
        <v>13040</v>
      </c>
    </row>
    <row r="1460">
      <c r="A1460" s="13" t="s">
        <v>5649</v>
      </c>
      <c r="B1460" s="13" t="s">
        <v>13041</v>
      </c>
      <c r="C1460" s="13" t="s">
        <v>13042</v>
      </c>
      <c r="D1460" s="13" t="s">
        <v>13043</v>
      </c>
      <c r="E1460" s="13" t="s">
        <v>13044</v>
      </c>
      <c r="F1460" s="13" t="s">
        <v>13045</v>
      </c>
      <c r="G1460" s="14" t="s">
        <v>13046</v>
      </c>
    </row>
    <row r="1461">
      <c r="A1461" s="13" t="s">
        <v>5653</v>
      </c>
      <c r="B1461" s="13" t="s">
        <v>13047</v>
      </c>
      <c r="C1461" s="13" t="s">
        <v>13048</v>
      </c>
      <c r="D1461" s="13" t="s">
        <v>13049</v>
      </c>
      <c r="E1461" s="13" t="s">
        <v>13050</v>
      </c>
      <c r="F1461" s="13" t="s">
        <v>13051</v>
      </c>
      <c r="G1461" s="14" t="s">
        <v>13052</v>
      </c>
    </row>
    <row r="1462">
      <c r="A1462" s="13" t="s">
        <v>5657</v>
      </c>
      <c r="B1462" s="13" t="s">
        <v>13053</v>
      </c>
      <c r="C1462" s="13" t="s">
        <v>13054</v>
      </c>
      <c r="D1462" s="13" t="s">
        <v>13055</v>
      </c>
      <c r="E1462" s="13" t="s">
        <v>13056</v>
      </c>
      <c r="F1462" s="13" t="s">
        <v>13057</v>
      </c>
      <c r="G1462" s="14" t="s">
        <v>13058</v>
      </c>
    </row>
    <row r="1463">
      <c r="A1463" s="13" t="s">
        <v>5661</v>
      </c>
      <c r="B1463" s="13" t="s">
        <v>13059</v>
      </c>
      <c r="C1463" s="13" t="s">
        <v>13060</v>
      </c>
      <c r="D1463" s="13" t="s">
        <v>13061</v>
      </c>
      <c r="E1463" s="13" t="s">
        <v>13062</v>
      </c>
      <c r="F1463" s="13" t="s">
        <v>13063</v>
      </c>
      <c r="G1463" s="14" t="s">
        <v>13064</v>
      </c>
    </row>
    <row r="1464">
      <c r="A1464" s="13" t="s">
        <v>5665</v>
      </c>
      <c r="B1464" s="13" t="s">
        <v>13065</v>
      </c>
      <c r="C1464" s="13" t="s">
        <v>13066</v>
      </c>
      <c r="D1464" s="13" t="s">
        <v>13067</v>
      </c>
      <c r="E1464" s="13" t="s">
        <v>13068</v>
      </c>
      <c r="F1464" s="13" t="s">
        <v>13069</v>
      </c>
      <c r="G1464" s="14" t="s">
        <v>13070</v>
      </c>
    </row>
    <row r="1465">
      <c r="A1465" s="13" t="s">
        <v>5669</v>
      </c>
      <c r="B1465" s="13" t="s">
        <v>13071</v>
      </c>
      <c r="C1465" s="13" t="s">
        <v>13072</v>
      </c>
      <c r="D1465" s="13" t="s">
        <v>13073</v>
      </c>
      <c r="E1465" s="13" t="s">
        <v>13074</v>
      </c>
      <c r="F1465" s="13" t="s">
        <v>13075</v>
      </c>
      <c r="G1465" s="14" t="s">
        <v>13076</v>
      </c>
    </row>
    <row r="1466">
      <c r="A1466" s="13" t="s">
        <v>5673</v>
      </c>
      <c r="B1466" s="13" t="s">
        <v>13077</v>
      </c>
      <c r="C1466" s="13" t="s">
        <v>13078</v>
      </c>
      <c r="D1466" s="13" t="s">
        <v>13079</v>
      </c>
      <c r="E1466" s="13" t="s">
        <v>13080</v>
      </c>
      <c r="F1466" s="13" t="s">
        <v>13081</v>
      </c>
      <c r="G1466" s="14" t="s">
        <v>13082</v>
      </c>
    </row>
    <row r="1467">
      <c r="A1467" s="13"/>
      <c r="B1467" s="13"/>
      <c r="C1467" s="13"/>
      <c r="D1467" s="13"/>
      <c r="E1467" s="13"/>
      <c r="F1467" s="13"/>
      <c r="G1467" s="13"/>
    </row>
    <row r="1468">
      <c r="A1468" s="13"/>
      <c r="B1468" s="13"/>
      <c r="C1468" s="13"/>
      <c r="D1468" s="13"/>
      <c r="E1468" s="13"/>
      <c r="F1468" s="13"/>
      <c r="G1468" s="13"/>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G528"/>
    <hyperlink r:id="rId528" ref="G529"/>
    <hyperlink r:id="rId529" ref="G530"/>
    <hyperlink r:id="rId530" ref="G531"/>
    <hyperlink r:id="rId531" ref="G532"/>
    <hyperlink r:id="rId532" ref="G533"/>
    <hyperlink r:id="rId533" ref="G534"/>
    <hyperlink r:id="rId534" ref="G535"/>
    <hyperlink r:id="rId535" ref="G536"/>
    <hyperlink r:id="rId536" ref="G537"/>
    <hyperlink r:id="rId537" ref="G538"/>
    <hyperlink r:id="rId538" ref="G539"/>
    <hyperlink r:id="rId539" ref="G540"/>
    <hyperlink r:id="rId540" ref="G541"/>
    <hyperlink r:id="rId541" ref="G542"/>
    <hyperlink r:id="rId542" ref="G543"/>
    <hyperlink r:id="rId543" ref="G544"/>
    <hyperlink r:id="rId544" ref="G545"/>
    <hyperlink r:id="rId545" ref="G546"/>
    <hyperlink r:id="rId546" ref="G547"/>
    <hyperlink r:id="rId547" ref="G548"/>
    <hyperlink r:id="rId548" ref="G549"/>
    <hyperlink r:id="rId549" ref="G550"/>
    <hyperlink r:id="rId550" ref="G551"/>
    <hyperlink r:id="rId551" ref="G552"/>
    <hyperlink r:id="rId552" ref="G553"/>
    <hyperlink r:id="rId553" ref="G554"/>
    <hyperlink r:id="rId554" ref="G555"/>
    <hyperlink r:id="rId555" ref="G556"/>
    <hyperlink r:id="rId556" ref="G557"/>
    <hyperlink r:id="rId557" ref="G558"/>
    <hyperlink r:id="rId558" ref="G559"/>
    <hyperlink r:id="rId559" ref="G560"/>
    <hyperlink r:id="rId560" ref="G561"/>
    <hyperlink r:id="rId561" ref="G562"/>
    <hyperlink r:id="rId562" ref="G563"/>
    <hyperlink r:id="rId563" ref="G564"/>
    <hyperlink r:id="rId564" ref="G565"/>
    <hyperlink r:id="rId565" ref="G566"/>
    <hyperlink r:id="rId566" ref="G567"/>
    <hyperlink r:id="rId567" ref="G568"/>
    <hyperlink r:id="rId568" ref="G569"/>
    <hyperlink r:id="rId569" ref="G570"/>
    <hyperlink r:id="rId570" ref="G571"/>
    <hyperlink r:id="rId571" ref="G572"/>
    <hyperlink r:id="rId572" ref="G573"/>
    <hyperlink r:id="rId573" ref="G574"/>
    <hyperlink r:id="rId574" ref="G575"/>
    <hyperlink r:id="rId575" ref="G576"/>
    <hyperlink r:id="rId576" ref="G577"/>
    <hyperlink r:id="rId577" ref="G578"/>
    <hyperlink r:id="rId578" ref="G579"/>
    <hyperlink r:id="rId579" ref="G580"/>
    <hyperlink r:id="rId580" ref="G581"/>
    <hyperlink r:id="rId581" ref="G582"/>
    <hyperlink r:id="rId582" ref="G583"/>
    <hyperlink r:id="rId583" ref="G584"/>
    <hyperlink r:id="rId584" ref="G585"/>
    <hyperlink r:id="rId585" ref="G586"/>
    <hyperlink r:id="rId586" ref="G587"/>
    <hyperlink r:id="rId587" ref="G588"/>
    <hyperlink r:id="rId588" ref="G589"/>
    <hyperlink r:id="rId589" ref="G590"/>
    <hyperlink r:id="rId590" ref="G591"/>
    <hyperlink r:id="rId591" ref="G592"/>
    <hyperlink r:id="rId592" ref="G593"/>
    <hyperlink r:id="rId593" ref="G594"/>
    <hyperlink r:id="rId594" ref="G595"/>
    <hyperlink r:id="rId595" ref="G596"/>
    <hyperlink r:id="rId596" ref="G597"/>
    <hyperlink r:id="rId597" ref="G598"/>
    <hyperlink r:id="rId598" ref="G599"/>
    <hyperlink r:id="rId599" ref="G600"/>
    <hyperlink r:id="rId600" ref="G601"/>
    <hyperlink r:id="rId601" ref="G602"/>
    <hyperlink r:id="rId602" ref="G603"/>
    <hyperlink r:id="rId603" ref="G604"/>
    <hyperlink r:id="rId604" ref="G605"/>
    <hyperlink r:id="rId605" ref="G606"/>
    <hyperlink r:id="rId606" ref="G607"/>
    <hyperlink r:id="rId607" ref="G608"/>
    <hyperlink r:id="rId608" ref="G609"/>
    <hyperlink r:id="rId609" ref="G610"/>
    <hyperlink r:id="rId610" ref="G611"/>
    <hyperlink r:id="rId611" ref="G612"/>
    <hyperlink r:id="rId612" ref="G613"/>
    <hyperlink r:id="rId613" ref="G614"/>
    <hyperlink r:id="rId614" ref="G615"/>
    <hyperlink r:id="rId615" ref="G616"/>
    <hyperlink r:id="rId616" ref="G617"/>
    <hyperlink r:id="rId617" ref="G618"/>
    <hyperlink r:id="rId618" ref="G619"/>
    <hyperlink r:id="rId619" ref="G620"/>
    <hyperlink r:id="rId620" ref="G621"/>
    <hyperlink r:id="rId621" ref="G622"/>
    <hyperlink r:id="rId622" ref="G623"/>
    <hyperlink r:id="rId623" ref="G624"/>
    <hyperlink r:id="rId624" ref="G625"/>
    <hyperlink r:id="rId625" ref="G626"/>
    <hyperlink r:id="rId626" ref="G627"/>
    <hyperlink r:id="rId627" ref="G628"/>
    <hyperlink r:id="rId628" ref="G629"/>
    <hyperlink r:id="rId629" ref="G630"/>
    <hyperlink r:id="rId630" ref="G631"/>
    <hyperlink r:id="rId631" ref="G632"/>
    <hyperlink r:id="rId632" ref="G633"/>
    <hyperlink r:id="rId633" ref="G634"/>
    <hyperlink r:id="rId634" ref="G635"/>
    <hyperlink r:id="rId635" ref="G636"/>
    <hyperlink r:id="rId636" ref="G637"/>
    <hyperlink r:id="rId637" ref="G638"/>
    <hyperlink r:id="rId638" ref="G639"/>
    <hyperlink r:id="rId639" ref="G640"/>
    <hyperlink r:id="rId640" ref="G641"/>
    <hyperlink r:id="rId641" ref="G642"/>
    <hyperlink r:id="rId642" ref="G643"/>
    <hyperlink r:id="rId643" ref="G644"/>
    <hyperlink r:id="rId644" ref="G645"/>
    <hyperlink r:id="rId645" ref="G646"/>
    <hyperlink r:id="rId646" ref="G647"/>
    <hyperlink r:id="rId647" ref="G648"/>
    <hyperlink r:id="rId648" ref="G649"/>
    <hyperlink r:id="rId649" ref="G650"/>
    <hyperlink r:id="rId650" ref="G651"/>
    <hyperlink r:id="rId651" ref="G652"/>
    <hyperlink r:id="rId652" ref="G653"/>
    <hyperlink r:id="rId653" ref="G654"/>
    <hyperlink r:id="rId654" ref="G655"/>
    <hyperlink r:id="rId655" ref="G656"/>
    <hyperlink r:id="rId656" ref="G657"/>
    <hyperlink r:id="rId657" ref="G658"/>
    <hyperlink r:id="rId658" ref="G659"/>
    <hyperlink r:id="rId659" ref="G660"/>
    <hyperlink r:id="rId660" ref="G661"/>
    <hyperlink r:id="rId661" ref="G662"/>
    <hyperlink r:id="rId662" ref="G663"/>
    <hyperlink r:id="rId663" ref="G664"/>
    <hyperlink r:id="rId664" ref="G665"/>
    <hyperlink r:id="rId665" ref="G666"/>
    <hyperlink r:id="rId666" ref="G667"/>
    <hyperlink r:id="rId667" ref="G668"/>
    <hyperlink r:id="rId668" ref="G669"/>
    <hyperlink r:id="rId669" ref="G670"/>
    <hyperlink r:id="rId670" ref="G671"/>
    <hyperlink r:id="rId671" ref="G672"/>
    <hyperlink r:id="rId672" ref="G673"/>
    <hyperlink r:id="rId673" ref="G674"/>
    <hyperlink r:id="rId674" ref="G675"/>
    <hyperlink r:id="rId675" ref="G676"/>
    <hyperlink r:id="rId676" ref="G677"/>
    <hyperlink r:id="rId677" ref="G678"/>
    <hyperlink r:id="rId678" ref="G679"/>
    <hyperlink r:id="rId679" ref="G680"/>
    <hyperlink r:id="rId680" ref="G681"/>
    <hyperlink r:id="rId681" ref="G682"/>
    <hyperlink r:id="rId682" ref="G683"/>
    <hyperlink r:id="rId683" ref="G684"/>
    <hyperlink r:id="rId684" ref="G685"/>
    <hyperlink r:id="rId685" ref="G686"/>
    <hyperlink r:id="rId686" ref="G687"/>
    <hyperlink r:id="rId687" ref="G688"/>
    <hyperlink r:id="rId688" ref="G689"/>
    <hyperlink r:id="rId689" ref="G690"/>
    <hyperlink r:id="rId690" ref="G691"/>
    <hyperlink r:id="rId691" ref="G692"/>
    <hyperlink r:id="rId692" ref="G693"/>
    <hyperlink r:id="rId693" ref="G694"/>
    <hyperlink r:id="rId694" ref="G695"/>
    <hyperlink r:id="rId695" ref="G696"/>
    <hyperlink r:id="rId696" ref="G697"/>
    <hyperlink r:id="rId697" ref="G698"/>
    <hyperlink r:id="rId698" ref="G699"/>
    <hyperlink r:id="rId699" ref="G700"/>
    <hyperlink r:id="rId700" ref="G701"/>
    <hyperlink r:id="rId701" ref="G702"/>
    <hyperlink r:id="rId702" ref="G703"/>
    <hyperlink r:id="rId703" ref="G704"/>
    <hyperlink r:id="rId704" ref="G705"/>
    <hyperlink r:id="rId705" ref="G706"/>
    <hyperlink r:id="rId706" ref="G707"/>
    <hyperlink r:id="rId707" ref="G708"/>
    <hyperlink r:id="rId708" ref="G709"/>
    <hyperlink r:id="rId709" ref="G710"/>
    <hyperlink r:id="rId710" ref="G711"/>
    <hyperlink r:id="rId711" ref="G712"/>
    <hyperlink r:id="rId712" ref="G713"/>
    <hyperlink r:id="rId713" ref="G714"/>
    <hyperlink r:id="rId714" ref="G715"/>
    <hyperlink r:id="rId715" ref="G716"/>
    <hyperlink r:id="rId716" ref="G717"/>
    <hyperlink r:id="rId717" ref="G718"/>
    <hyperlink r:id="rId718" ref="G719"/>
    <hyperlink r:id="rId719" ref="G720"/>
    <hyperlink r:id="rId720" ref="G721"/>
    <hyperlink r:id="rId721" ref="G722"/>
    <hyperlink r:id="rId722" ref="G723"/>
    <hyperlink r:id="rId723" ref="G724"/>
    <hyperlink r:id="rId724" ref="G725"/>
    <hyperlink r:id="rId725" ref="G726"/>
    <hyperlink r:id="rId726" ref="G727"/>
    <hyperlink r:id="rId727" ref="G728"/>
    <hyperlink r:id="rId728" ref="G729"/>
    <hyperlink r:id="rId729" ref="G730"/>
    <hyperlink r:id="rId730" ref="G731"/>
    <hyperlink r:id="rId731" ref="G732"/>
    <hyperlink r:id="rId732" ref="G733"/>
    <hyperlink r:id="rId733" ref="G734"/>
    <hyperlink r:id="rId734" ref="G735"/>
    <hyperlink r:id="rId735" ref="G736"/>
    <hyperlink r:id="rId736" ref="G737"/>
    <hyperlink r:id="rId737" ref="G738"/>
    <hyperlink r:id="rId738" ref="G739"/>
    <hyperlink r:id="rId739" ref="G740"/>
    <hyperlink r:id="rId740" ref="G741"/>
    <hyperlink r:id="rId741" ref="G742"/>
    <hyperlink r:id="rId742" ref="G743"/>
    <hyperlink r:id="rId743" ref="G744"/>
    <hyperlink r:id="rId744" ref="G745"/>
    <hyperlink r:id="rId745" ref="G746"/>
    <hyperlink r:id="rId746" ref="G747"/>
    <hyperlink r:id="rId747" ref="G748"/>
    <hyperlink r:id="rId748" ref="G749"/>
    <hyperlink r:id="rId749" ref="G750"/>
    <hyperlink r:id="rId750" ref="G751"/>
    <hyperlink r:id="rId751" ref="G752"/>
    <hyperlink r:id="rId752" ref="G753"/>
    <hyperlink r:id="rId753" ref="G754"/>
    <hyperlink r:id="rId754" ref="G755"/>
    <hyperlink r:id="rId755" ref="G756"/>
    <hyperlink r:id="rId756" ref="G757"/>
    <hyperlink r:id="rId757" ref="G758"/>
    <hyperlink r:id="rId758" ref="G759"/>
    <hyperlink r:id="rId759" ref="G760"/>
    <hyperlink r:id="rId760" ref="G761"/>
    <hyperlink r:id="rId761" ref="G762"/>
    <hyperlink r:id="rId762" ref="G763"/>
    <hyperlink r:id="rId763" ref="G764"/>
    <hyperlink r:id="rId764" ref="G765"/>
    <hyperlink r:id="rId765" ref="G766"/>
    <hyperlink r:id="rId766" ref="G767"/>
    <hyperlink r:id="rId767" ref="G768"/>
    <hyperlink r:id="rId768" ref="G769"/>
    <hyperlink r:id="rId769" ref="G770"/>
    <hyperlink r:id="rId770" ref="G771"/>
    <hyperlink r:id="rId771" ref="G772"/>
    <hyperlink r:id="rId772" ref="G773"/>
    <hyperlink r:id="rId773" ref="G774"/>
    <hyperlink r:id="rId774" ref="G775"/>
    <hyperlink r:id="rId775" ref="G776"/>
    <hyperlink r:id="rId776" ref="G777"/>
    <hyperlink r:id="rId777" ref="G778"/>
    <hyperlink r:id="rId778" ref="G779"/>
    <hyperlink r:id="rId779" ref="G780"/>
    <hyperlink r:id="rId780" ref="G781"/>
    <hyperlink r:id="rId781" ref="G782"/>
    <hyperlink r:id="rId782" ref="G783"/>
    <hyperlink r:id="rId783" ref="G784"/>
    <hyperlink r:id="rId784" ref="G785"/>
    <hyperlink r:id="rId785" ref="G786"/>
    <hyperlink r:id="rId786" ref="G787"/>
    <hyperlink r:id="rId787" ref="G788"/>
    <hyperlink r:id="rId788" ref="G789"/>
    <hyperlink r:id="rId789" ref="G790"/>
    <hyperlink r:id="rId790" ref="G791"/>
    <hyperlink r:id="rId791" ref="G792"/>
    <hyperlink r:id="rId792" ref="G793"/>
    <hyperlink r:id="rId793" ref="G794"/>
    <hyperlink r:id="rId794" ref="G795"/>
    <hyperlink r:id="rId795" ref="G796"/>
    <hyperlink r:id="rId796" ref="G797"/>
    <hyperlink r:id="rId797" ref="G798"/>
    <hyperlink r:id="rId798" ref="G799"/>
    <hyperlink r:id="rId799" ref="G800"/>
    <hyperlink r:id="rId800" ref="G801"/>
    <hyperlink r:id="rId801" ref="G802"/>
    <hyperlink r:id="rId802" ref="G803"/>
    <hyperlink r:id="rId803" ref="G804"/>
    <hyperlink r:id="rId804" ref="G805"/>
    <hyperlink r:id="rId805" ref="G806"/>
    <hyperlink r:id="rId806" ref="G807"/>
    <hyperlink r:id="rId807" ref="G808"/>
    <hyperlink r:id="rId808" ref="G809"/>
    <hyperlink r:id="rId809" ref="G810"/>
    <hyperlink r:id="rId810" ref="G811"/>
    <hyperlink r:id="rId811" ref="G812"/>
    <hyperlink r:id="rId812" ref="G813"/>
    <hyperlink r:id="rId813" ref="G814"/>
    <hyperlink r:id="rId814" ref="G815"/>
    <hyperlink r:id="rId815" ref="G816"/>
    <hyperlink r:id="rId816" ref="G817"/>
    <hyperlink r:id="rId817" ref="G818"/>
    <hyperlink r:id="rId818" ref="G819"/>
    <hyperlink r:id="rId819" ref="G820"/>
    <hyperlink r:id="rId820" ref="G821"/>
    <hyperlink r:id="rId821" ref="G822"/>
    <hyperlink r:id="rId822" ref="G823"/>
    <hyperlink r:id="rId823" ref="G824"/>
    <hyperlink r:id="rId824" ref="G825"/>
    <hyperlink r:id="rId825" ref="G826"/>
    <hyperlink r:id="rId826" ref="G827"/>
    <hyperlink r:id="rId827" ref="G828"/>
    <hyperlink r:id="rId828" ref="G829"/>
    <hyperlink r:id="rId829" ref="G830"/>
    <hyperlink r:id="rId830" ref="G831"/>
    <hyperlink r:id="rId831" ref="G832"/>
    <hyperlink r:id="rId832" ref="G833"/>
    <hyperlink r:id="rId833" ref="G834"/>
    <hyperlink r:id="rId834" ref="G835"/>
    <hyperlink r:id="rId835" ref="G836"/>
    <hyperlink r:id="rId836" ref="G837"/>
    <hyperlink r:id="rId837" ref="G838"/>
    <hyperlink r:id="rId838" ref="G839"/>
    <hyperlink r:id="rId839" ref="G840"/>
    <hyperlink r:id="rId840" ref="G841"/>
    <hyperlink r:id="rId841" ref="G842"/>
    <hyperlink r:id="rId842" ref="G843"/>
    <hyperlink r:id="rId843" ref="G844"/>
    <hyperlink r:id="rId844" ref="G845"/>
    <hyperlink r:id="rId845" ref="G846"/>
    <hyperlink r:id="rId846" ref="G847"/>
    <hyperlink r:id="rId847" ref="G848"/>
    <hyperlink r:id="rId848" ref="G849"/>
    <hyperlink r:id="rId849" ref="G850"/>
    <hyperlink r:id="rId850" ref="G851"/>
    <hyperlink r:id="rId851" ref="G852"/>
    <hyperlink r:id="rId852" ref="G853"/>
    <hyperlink r:id="rId853" ref="G854"/>
    <hyperlink r:id="rId854" ref="G855"/>
    <hyperlink r:id="rId855" ref="G856"/>
    <hyperlink r:id="rId856" ref="G857"/>
    <hyperlink r:id="rId857" ref="G858"/>
    <hyperlink r:id="rId858" ref="G859"/>
    <hyperlink r:id="rId859" ref="G860"/>
    <hyperlink r:id="rId860" ref="G861"/>
    <hyperlink r:id="rId861" ref="G862"/>
    <hyperlink r:id="rId862" ref="G863"/>
    <hyperlink r:id="rId863" ref="G864"/>
    <hyperlink r:id="rId864" ref="G865"/>
    <hyperlink r:id="rId865" ref="G866"/>
    <hyperlink r:id="rId866" ref="G867"/>
    <hyperlink r:id="rId867" ref="G868"/>
    <hyperlink r:id="rId868" ref="G869"/>
    <hyperlink r:id="rId869" ref="G870"/>
    <hyperlink r:id="rId870" ref="G871"/>
    <hyperlink r:id="rId871" ref="G872"/>
    <hyperlink r:id="rId872" ref="G873"/>
    <hyperlink r:id="rId873" ref="G874"/>
    <hyperlink r:id="rId874" ref="G875"/>
    <hyperlink r:id="rId875" ref="G876"/>
    <hyperlink r:id="rId876" ref="G877"/>
    <hyperlink r:id="rId877" ref="G878"/>
    <hyperlink r:id="rId878" ref="G879"/>
    <hyperlink r:id="rId879" ref="G880"/>
    <hyperlink r:id="rId880" ref="G881"/>
    <hyperlink r:id="rId881" ref="G882"/>
    <hyperlink r:id="rId882" ref="G883"/>
    <hyperlink r:id="rId883" ref="G884"/>
    <hyperlink r:id="rId884" ref="G885"/>
    <hyperlink r:id="rId885" ref="G886"/>
    <hyperlink r:id="rId886" ref="G887"/>
    <hyperlink r:id="rId887" ref="G888"/>
    <hyperlink r:id="rId888" ref="G889"/>
    <hyperlink r:id="rId889" ref="G890"/>
    <hyperlink r:id="rId890" ref="G891"/>
    <hyperlink r:id="rId891" ref="G892"/>
    <hyperlink r:id="rId892" ref="G893"/>
    <hyperlink r:id="rId893" ref="G894"/>
    <hyperlink r:id="rId894" ref="G895"/>
    <hyperlink r:id="rId895" ref="G896"/>
    <hyperlink r:id="rId896" ref="G897"/>
    <hyperlink r:id="rId897" ref="G898"/>
    <hyperlink r:id="rId898" ref="G899"/>
    <hyperlink r:id="rId899" ref="G900"/>
    <hyperlink r:id="rId900" ref="G901"/>
    <hyperlink r:id="rId901" ref="G902"/>
    <hyperlink r:id="rId902" ref="G903"/>
    <hyperlink r:id="rId903" ref="G904"/>
    <hyperlink r:id="rId904" ref="G905"/>
    <hyperlink r:id="rId905" ref="G906"/>
    <hyperlink r:id="rId906" ref="G907"/>
    <hyperlink r:id="rId907" ref="G908"/>
    <hyperlink r:id="rId908" ref="G909"/>
    <hyperlink r:id="rId909" ref="G910"/>
    <hyperlink r:id="rId910" ref="G911"/>
    <hyperlink r:id="rId911" ref="G912"/>
    <hyperlink r:id="rId912" ref="G913"/>
    <hyperlink r:id="rId913" ref="G914"/>
    <hyperlink r:id="rId914" ref="G915"/>
    <hyperlink r:id="rId915" ref="G916"/>
    <hyperlink r:id="rId916" ref="G917"/>
    <hyperlink r:id="rId917" ref="G918"/>
    <hyperlink r:id="rId918" ref="G919"/>
    <hyperlink r:id="rId919" ref="G920"/>
    <hyperlink r:id="rId920" ref="G921"/>
    <hyperlink r:id="rId921" ref="G922"/>
    <hyperlink r:id="rId922" ref="G923"/>
    <hyperlink r:id="rId923" ref="G924"/>
    <hyperlink r:id="rId924" ref="G925"/>
    <hyperlink r:id="rId925" ref="G926"/>
    <hyperlink r:id="rId926" ref="G927"/>
    <hyperlink r:id="rId927" ref="G928"/>
    <hyperlink r:id="rId928" ref="G929"/>
    <hyperlink r:id="rId929" ref="G930"/>
    <hyperlink r:id="rId930" ref="G931"/>
    <hyperlink r:id="rId931" ref="G932"/>
    <hyperlink r:id="rId932" ref="G933"/>
    <hyperlink r:id="rId933" ref="G934"/>
    <hyperlink r:id="rId934" ref="G935"/>
    <hyperlink r:id="rId935" ref="G936"/>
    <hyperlink r:id="rId936" ref="G937"/>
    <hyperlink r:id="rId937" ref="G938"/>
    <hyperlink r:id="rId938" ref="G939"/>
    <hyperlink r:id="rId939" ref="G940"/>
    <hyperlink r:id="rId940" ref="G941"/>
    <hyperlink r:id="rId941" ref="G942"/>
    <hyperlink r:id="rId942" ref="G943"/>
    <hyperlink r:id="rId943" ref="G944"/>
    <hyperlink r:id="rId944" ref="G945"/>
    <hyperlink r:id="rId945" ref="G946"/>
    <hyperlink r:id="rId946" ref="G947"/>
    <hyperlink r:id="rId947" ref="G948"/>
    <hyperlink r:id="rId948" ref="G949"/>
    <hyperlink r:id="rId949" ref="G950"/>
    <hyperlink r:id="rId950" ref="G951"/>
    <hyperlink r:id="rId951" ref="G952"/>
    <hyperlink r:id="rId952" ref="G953"/>
    <hyperlink r:id="rId953" ref="G954"/>
    <hyperlink r:id="rId954" ref="G955"/>
    <hyperlink r:id="rId955" ref="G956"/>
    <hyperlink r:id="rId956" ref="G957"/>
    <hyperlink r:id="rId957" ref="G958"/>
    <hyperlink r:id="rId958" ref="G959"/>
    <hyperlink r:id="rId959" ref="G960"/>
    <hyperlink r:id="rId960" ref="G961"/>
    <hyperlink r:id="rId961" ref="G962"/>
    <hyperlink r:id="rId962" ref="G963"/>
    <hyperlink r:id="rId963" ref="G964"/>
    <hyperlink r:id="rId964" ref="G965"/>
    <hyperlink r:id="rId965" ref="G966"/>
    <hyperlink r:id="rId966" ref="G967"/>
    <hyperlink r:id="rId967" ref="G968"/>
    <hyperlink r:id="rId968" ref="G969"/>
    <hyperlink r:id="rId969" ref="G970"/>
    <hyperlink r:id="rId970" ref="G971"/>
    <hyperlink r:id="rId971" ref="G972"/>
    <hyperlink r:id="rId972" ref="G973"/>
    <hyperlink r:id="rId973" ref="G974"/>
    <hyperlink r:id="rId974" ref="G975"/>
    <hyperlink r:id="rId975" ref="G976"/>
    <hyperlink r:id="rId976" ref="G977"/>
    <hyperlink r:id="rId977" ref="G978"/>
    <hyperlink r:id="rId978" ref="G979"/>
    <hyperlink r:id="rId979" ref="G980"/>
    <hyperlink r:id="rId980" ref="G981"/>
    <hyperlink r:id="rId981" ref="G982"/>
    <hyperlink r:id="rId982" ref="G983"/>
    <hyperlink r:id="rId983" ref="G984"/>
    <hyperlink r:id="rId984" ref="G985"/>
    <hyperlink r:id="rId985" ref="G986"/>
    <hyperlink r:id="rId986" ref="G987"/>
    <hyperlink r:id="rId987" ref="G988"/>
    <hyperlink r:id="rId988" ref="G989"/>
    <hyperlink r:id="rId989" ref="G990"/>
    <hyperlink r:id="rId990" ref="G991"/>
    <hyperlink r:id="rId991" ref="G992"/>
    <hyperlink r:id="rId992" ref="G993"/>
    <hyperlink r:id="rId993" ref="G994"/>
    <hyperlink r:id="rId994" ref="G995"/>
    <hyperlink r:id="rId995" ref="G996"/>
    <hyperlink r:id="rId996" ref="G997"/>
    <hyperlink r:id="rId997" ref="G998"/>
    <hyperlink r:id="rId998" ref="G999"/>
    <hyperlink r:id="rId999" ref="G1000"/>
    <hyperlink r:id="rId1000" ref="G1001"/>
    <hyperlink r:id="rId1001" ref="G1002"/>
    <hyperlink r:id="rId1002" ref="G1003"/>
    <hyperlink r:id="rId1003" ref="G1004"/>
    <hyperlink r:id="rId1004" ref="G1005"/>
    <hyperlink r:id="rId1005" ref="G1006"/>
    <hyperlink r:id="rId1006" ref="G1007"/>
    <hyperlink r:id="rId1007" ref="G1008"/>
    <hyperlink r:id="rId1008" ref="G1009"/>
    <hyperlink r:id="rId1009" ref="G1010"/>
    <hyperlink r:id="rId1010" ref="G1011"/>
    <hyperlink r:id="rId1011" ref="G1012"/>
    <hyperlink r:id="rId1012" ref="G1013"/>
    <hyperlink r:id="rId1013" ref="G1014"/>
    <hyperlink r:id="rId1014" ref="G1015"/>
    <hyperlink r:id="rId1015" ref="G1016"/>
    <hyperlink r:id="rId1016" ref="G1017"/>
    <hyperlink r:id="rId1017" ref="G1018"/>
    <hyperlink r:id="rId1018" ref="G1019"/>
    <hyperlink r:id="rId1019" ref="G1020"/>
    <hyperlink r:id="rId1020" ref="G1021"/>
    <hyperlink r:id="rId1021" ref="G1022"/>
    <hyperlink r:id="rId1022" ref="G1023"/>
    <hyperlink r:id="rId1023" ref="G1024"/>
    <hyperlink r:id="rId1024" ref="G1025"/>
    <hyperlink r:id="rId1025" ref="G1026"/>
    <hyperlink r:id="rId1026" ref="G1027"/>
    <hyperlink r:id="rId1027" ref="G1028"/>
    <hyperlink r:id="rId1028" ref="G1029"/>
    <hyperlink r:id="rId1029" ref="G1030"/>
    <hyperlink r:id="rId1030" ref="G1031"/>
    <hyperlink r:id="rId1031" ref="G1032"/>
    <hyperlink r:id="rId1032" ref="G1033"/>
    <hyperlink r:id="rId1033" ref="G1034"/>
    <hyperlink r:id="rId1034" ref="G1035"/>
    <hyperlink r:id="rId1035" ref="G1036"/>
    <hyperlink r:id="rId1036" ref="G1037"/>
    <hyperlink r:id="rId1037" ref="G1038"/>
    <hyperlink r:id="rId1038" ref="G1039"/>
    <hyperlink r:id="rId1039" ref="G1040"/>
    <hyperlink r:id="rId1040" ref="G1041"/>
    <hyperlink r:id="rId1041" ref="G1042"/>
    <hyperlink r:id="rId1042" ref="G1043"/>
    <hyperlink r:id="rId1043" ref="G1044"/>
    <hyperlink r:id="rId1044" ref="G1045"/>
    <hyperlink r:id="rId1045" ref="G1046"/>
    <hyperlink r:id="rId1046" ref="G1047"/>
    <hyperlink r:id="rId1047" ref="G1048"/>
    <hyperlink r:id="rId1048" ref="G1049"/>
    <hyperlink r:id="rId1049" ref="G1050"/>
    <hyperlink r:id="rId1050" ref="G1051"/>
    <hyperlink r:id="rId1051" ref="G1052"/>
    <hyperlink r:id="rId1052" ref="G1053"/>
    <hyperlink r:id="rId1053" ref="G1054"/>
    <hyperlink r:id="rId1054" ref="G1055"/>
    <hyperlink r:id="rId1055" ref="G1056"/>
    <hyperlink r:id="rId1056" ref="G1057"/>
    <hyperlink r:id="rId1057" ref="G1058"/>
    <hyperlink r:id="rId1058" ref="G1059"/>
    <hyperlink r:id="rId1059" ref="G1060"/>
    <hyperlink r:id="rId1060" ref="G1061"/>
    <hyperlink r:id="rId1061" ref="G1062"/>
    <hyperlink r:id="rId1062" ref="G1063"/>
    <hyperlink r:id="rId1063" ref="G1064"/>
    <hyperlink r:id="rId1064" ref="G1065"/>
    <hyperlink r:id="rId1065" ref="G1066"/>
    <hyperlink r:id="rId1066" ref="G1067"/>
    <hyperlink r:id="rId1067" ref="G1068"/>
    <hyperlink r:id="rId1068" ref="G1069"/>
    <hyperlink r:id="rId1069" ref="G1070"/>
    <hyperlink r:id="rId1070" ref="G1071"/>
    <hyperlink r:id="rId1071" ref="G1072"/>
    <hyperlink r:id="rId1072" ref="G1073"/>
    <hyperlink r:id="rId1073" ref="G1074"/>
    <hyperlink r:id="rId1074" ref="G1075"/>
    <hyperlink r:id="rId1075" ref="G1076"/>
    <hyperlink r:id="rId1076" ref="G1077"/>
    <hyperlink r:id="rId1077" ref="G1078"/>
    <hyperlink r:id="rId1078" ref="G1079"/>
    <hyperlink r:id="rId1079" ref="G1080"/>
    <hyperlink r:id="rId1080" ref="G1081"/>
    <hyperlink r:id="rId1081" ref="G1082"/>
    <hyperlink r:id="rId1082" ref="G1083"/>
    <hyperlink r:id="rId1083" ref="G1084"/>
    <hyperlink r:id="rId1084" ref="G1085"/>
    <hyperlink r:id="rId1085" ref="G1086"/>
    <hyperlink r:id="rId1086" ref="G1087"/>
    <hyperlink r:id="rId1087" ref="G1088"/>
    <hyperlink r:id="rId1088" ref="G1089"/>
    <hyperlink r:id="rId1089" ref="G1090"/>
    <hyperlink r:id="rId1090" ref="G1091"/>
    <hyperlink r:id="rId1091" ref="G1092"/>
    <hyperlink r:id="rId1092" ref="G1093"/>
    <hyperlink r:id="rId1093" ref="G1094"/>
    <hyperlink r:id="rId1094" ref="G1095"/>
    <hyperlink r:id="rId1095" ref="G1096"/>
    <hyperlink r:id="rId1096" ref="G1097"/>
    <hyperlink r:id="rId1097" ref="G1098"/>
    <hyperlink r:id="rId1098" ref="G1099"/>
    <hyperlink r:id="rId1099" ref="G1100"/>
    <hyperlink r:id="rId1100" ref="G1101"/>
    <hyperlink r:id="rId1101" ref="G1102"/>
    <hyperlink r:id="rId1102" ref="G1103"/>
    <hyperlink r:id="rId1103" ref="G1104"/>
    <hyperlink r:id="rId1104" ref="G1105"/>
    <hyperlink r:id="rId1105" ref="G1106"/>
    <hyperlink r:id="rId1106" ref="G1107"/>
    <hyperlink r:id="rId1107" ref="G1108"/>
    <hyperlink r:id="rId1108" ref="G1109"/>
    <hyperlink r:id="rId1109" ref="G1110"/>
    <hyperlink r:id="rId1110" ref="G1111"/>
    <hyperlink r:id="rId1111" ref="G1112"/>
    <hyperlink r:id="rId1112" ref="G1113"/>
    <hyperlink r:id="rId1113" ref="G1114"/>
    <hyperlink r:id="rId1114" ref="G1115"/>
    <hyperlink r:id="rId1115" ref="G1116"/>
    <hyperlink r:id="rId1116" ref="G1117"/>
    <hyperlink r:id="rId1117" ref="G1118"/>
    <hyperlink r:id="rId1118" ref="G1119"/>
    <hyperlink r:id="rId1119" ref="G1120"/>
    <hyperlink r:id="rId1120" ref="G1121"/>
    <hyperlink r:id="rId1121" ref="G1122"/>
    <hyperlink r:id="rId1122" ref="G1123"/>
    <hyperlink r:id="rId1123" ref="G1124"/>
    <hyperlink r:id="rId1124" ref="G1125"/>
    <hyperlink r:id="rId1125" ref="G1126"/>
    <hyperlink r:id="rId1126" ref="G1127"/>
    <hyperlink r:id="rId1127" ref="G1128"/>
    <hyperlink r:id="rId1128" ref="G1129"/>
    <hyperlink r:id="rId1129" ref="G1130"/>
    <hyperlink r:id="rId1130" ref="G1131"/>
    <hyperlink r:id="rId1131" ref="G1132"/>
    <hyperlink r:id="rId1132" ref="G1133"/>
    <hyperlink r:id="rId1133" ref="G1134"/>
    <hyperlink r:id="rId1134" ref="G1135"/>
    <hyperlink r:id="rId1135" ref="G1136"/>
    <hyperlink r:id="rId1136" ref="G1137"/>
    <hyperlink r:id="rId1137" ref="G1138"/>
    <hyperlink r:id="rId1138" ref="G1139"/>
    <hyperlink r:id="rId1139" ref="G1140"/>
    <hyperlink r:id="rId1140" ref="G1141"/>
    <hyperlink r:id="rId1141" ref="G1142"/>
    <hyperlink r:id="rId1142" ref="G1143"/>
    <hyperlink r:id="rId1143" ref="G1144"/>
    <hyperlink r:id="rId1144" ref="G1145"/>
    <hyperlink r:id="rId1145" ref="G1146"/>
    <hyperlink r:id="rId1146" ref="G1147"/>
    <hyperlink r:id="rId1147" ref="G1148"/>
    <hyperlink r:id="rId1148" ref="G1149"/>
    <hyperlink r:id="rId1149" ref="G1150"/>
    <hyperlink r:id="rId1150" ref="G1151"/>
    <hyperlink r:id="rId1151" ref="G1152"/>
    <hyperlink r:id="rId1152" ref="G1153"/>
    <hyperlink r:id="rId1153" ref="G1154"/>
    <hyperlink r:id="rId1154" ref="G1155"/>
    <hyperlink r:id="rId1155" ref="G1156"/>
    <hyperlink r:id="rId1156" ref="G1157"/>
    <hyperlink r:id="rId1157" ref="G1158"/>
    <hyperlink r:id="rId1158" ref="G1159"/>
    <hyperlink r:id="rId1159" ref="G1160"/>
    <hyperlink r:id="rId1160" ref="G1161"/>
    <hyperlink r:id="rId1161" ref="G1162"/>
    <hyperlink r:id="rId1162" ref="G1163"/>
    <hyperlink r:id="rId1163" ref="G1164"/>
    <hyperlink r:id="rId1164" ref="G1165"/>
    <hyperlink r:id="rId1165" ref="G1166"/>
    <hyperlink r:id="rId1166" ref="G1167"/>
    <hyperlink r:id="rId1167" ref="G1168"/>
    <hyperlink r:id="rId1168" ref="G1169"/>
    <hyperlink r:id="rId1169" ref="G1170"/>
    <hyperlink r:id="rId1170" ref="G1171"/>
    <hyperlink r:id="rId1171" ref="G1172"/>
    <hyperlink r:id="rId1172" ref="G1173"/>
    <hyperlink r:id="rId1173" ref="G1174"/>
    <hyperlink r:id="rId1174" ref="G1175"/>
    <hyperlink r:id="rId1175" ref="G1176"/>
    <hyperlink r:id="rId1176" ref="G1177"/>
    <hyperlink r:id="rId1177" ref="G1178"/>
    <hyperlink r:id="rId1178" ref="G1179"/>
    <hyperlink r:id="rId1179" ref="G1180"/>
    <hyperlink r:id="rId1180" ref="G1181"/>
    <hyperlink r:id="rId1181" ref="G1182"/>
    <hyperlink r:id="rId1182" ref="G1183"/>
    <hyperlink r:id="rId1183" ref="G1184"/>
    <hyperlink r:id="rId1184" ref="G1185"/>
    <hyperlink r:id="rId1185" ref="G1186"/>
    <hyperlink r:id="rId1186" ref="G1187"/>
    <hyperlink r:id="rId1187" ref="G1188"/>
    <hyperlink r:id="rId1188" ref="G1189"/>
    <hyperlink r:id="rId1189" ref="G1190"/>
    <hyperlink r:id="rId1190" ref="G1191"/>
    <hyperlink r:id="rId1191" ref="G1192"/>
    <hyperlink r:id="rId1192" ref="G1193"/>
    <hyperlink r:id="rId1193" ref="G1194"/>
    <hyperlink r:id="rId1194" ref="G1195"/>
    <hyperlink r:id="rId1195" ref="G1196"/>
    <hyperlink r:id="rId1196" ref="G1197"/>
    <hyperlink r:id="rId1197" ref="G1198"/>
    <hyperlink r:id="rId1198" ref="G1199"/>
    <hyperlink r:id="rId1199" ref="G1200"/>
    <hyperlink r:id="rId1200" ref="G1201"/>
    <hyperlink r:id="rId1201" ref="G1202"/>
    <hyperlink r:id="rId1202" ref="G1203"/>
    <hyperlink r:id="rId1203" ref="G1204"/>
    <hyperlink r:id="rId1204" ref="G1205"/>
    <hyperlink r:id="rId1205" ref="G1206"/>
    <hyperlink r:id="rId1206" ref="G1207"/>
    <hyperlink r:id="rId1207" ref="G1208"/>
    <hyperlink r:id="rId1208" ref="G1209"/>
    <hyperlink r:id="rId1209" ref="G1210"/>
    <hyperlink r:id="rId1210" ref="G1211"/>
    <hyperlink r:id="rId1211" ref="G1212"/>
    <hyperlink r:id="rId1212" ref="G1213"/>
    <hyperlink r:id="rId1213" ref="G1214"/>
    <hyperlink r:id="rId1214" ref="G1215"/>
    <hyperlink r:id="rId1215" ref="G1216"/>
    <hyperlink r:id="rId1216" ref="G1217"/>
    <hyperlink r:id="rId1217" ref="G1218"/>
    <hyperlink r:id="rId1218" ref="G1219"/>
    <hyperlink r:id="rId1219" ref="G1220"/>
    <hyperlink r:id="rId1220" ref="G1221"/>
    <hyperlink r:id="rId1221" ref="G1222"/>
    <hyperlink r:id="rId1222" ref="G1223"/>
    <hyperlink r:id="rId1223" ref="G1224"/>
    <hyperlink r:id="rId1224" ref="G1225"/>
    <hyperlink r:id="rId1225" ref="G1226"/>
    <hyperlink r:id="rId1226" ref="G1227"/>
    <hyperlink r:id="rId1227" ref="G1228"/>
    <hyperlink r:id="rId1228" ref="G1229"/>
    <hyperlink r:id="rId1229" ref="G1230"/>
    <hyperlink r:id="rId1230" ref="G1231"/>
    <hyperlink r:id="rId1231" ref="G1232"/>
    <hyperlink r:id="rId1232" ref="G1233"/>
    <hyperlink r:id="rId1233" ref="G1234"/>
    <hyperlink r:id="rId1234" ref="G1235"/>
    <hyperlink r:id="rId1235" ref="G1236"/>
    <hyperlink r:id="rId1236" ref="G1237"/>
    <hyperlink r:id="rId1237" ref="G1238"/>
    <hyperlink r:id="rId1238" ref="G1239"/>
    <hyperlink r:id="rId1239" ref="G1240"/>
    <hyperlink r:id="rId1240" ref="G1241"/>
    <hyperlink r:id="rId1241" ref="G1242"/>
    <hyperlink r:id="rId1242" ref="G1243"/>
    <hyperlink r:id="rId1243" ref="G1244"/>
    <hyperlink r:id="rId1244" ref="G1245"/>
    <hyperlink r:id="rId1245" ref="G1246"/>
    <hyperlink r:id="rId1246" ref="G1247"/>
    <hyperlink r:id="rId1247" ref="G1248"/>
    <hyperlink r:id="rId1248" ref="G1249"/>
    <hyperlink r:id="rId1249" ref="G1250"/>
    <hyperlink r:id="rId1250" ref="G1251"/>
    <hyperlink r:id="rId1251" ref="G1252"/>
    <hyperlink r:id="rId1252" ref="G1253"/>
    <hyperlink r:id="rId1253" ref="G1254"/>
    <hyperlink r:id="rId1254" ref="G1255"/>
    <hyperlink r:id="rId1255" ref="G1256"/>
    <hyperlink r:id="rId1256" ref="G1257"/>
    <hyperlink r:id="rId1257" ref="G1258"/>
    <hyperlink r:id="rId1258" ref="G1259"/>
    <hyperlink r:id="rId1259" ref="G1260"/>
    <hyperlink r:id="rId1260" ref="G1261"/>
    <hyperlink r:id="rId1261" ref="G1262"/>
    <hyperlink r:id="rId1262" ref="G1263"/>
    <hyperlink r:id="rId1263" ref="G1264"/>
    <hyperlink r:id="rId1264" ref="G1265"/>
    <hyperlink r:id="rId1265" ref="G1266"/>
    <hyperlink r:id="rId1266" ref="G1267"/>
    <hyperlink r:id="rId1267" ref="G1268"/>
    <hyperlink r:id="rId1268" ref="G1269"/>
    <hyperlink r:id="rId1269" ref="G1270"/>
    <hyperlink r:id="rId1270" ref="G1271"/>
    <hyperlink r:id="rId1271" ref="G1272"/>
    <hyperlink r:id="rId1272" ref="G1273"/>
    <hyperlink r:id="rId1273" ref="G1274"/>
    <hyperlink r:id="rId1274" ref="G1275"/>
    <hyperlink r:id="rId1275" ref="G1276"/>
    <hyperlink r:id="rId1276" ref="G1277"/>
    <hyperlink r:id="rId1277" ref="G1278"/>
    <hyperlink r:id="rId1278" ref="G1279"/>
    <hyperlink r:id="rId1279" ref="G1280"/>
    <hyperlink r:id="rId1280" ref="G1281"/>
    <hyperlink r:id="rId1281" ref="G1282"/>
    <hyperlink r:id="rId1282" ref="G1283"/>
    <hyperlink r:id="rId1283" ref="G1284"/>
    <hyperlink r:id="rId1284" ref="G1285"/>
    <hyperlink r:id="rId1285" ref="G1286"/>
    <hyperlink r:id="rId1286" ref="G1287"/>
    <hyperlink r:id="rId1287" ref="G1288"/>
    <hyperlink r:id="rId1288" ref="G1289"/>
    <hyperlink r:id="rId1289" ref="G1290"/>
    <hyperlink r:id="rId1290" ref="G1291"/>
    <hyperlink r:id="rId1291" ref="G1292"/>
    <hyperlink r:id="rId1292" ref="G1293"/>
    <hyperlink r:id="rId1293" ref="G1294"/>
    <hyperlink r:id="rId1294" ref="G1295"/>
    <hyperlink r:id="rId1295" ref="G1296"/>
    <hyperlink r:id="rId1296" ref="G1297"/>
    <hyperlink r:id="rId1297" ref="G1298"/>
    <hyperlink r:id="rId1298" ref="G1299"/>
    <hyperlink r:id="rId1299" ref="G1300"/>
    <hyperlink r:id="rId1300" ref="G1301"/>
    <hyperlink r:id="rId1301" ref="G1302"/>
    <hyperlink r:id="rId1302" ref="G1303"/>
    <hyperlink r:id="rId1303" ref="G1304"/>
    <hyperlink r:id="rId1304" ref="G1305"/>
    <hyperlink r:id="rId1305" ref="G1306"/>
    <hyperlink r:id="rId1306" ref="G1307"/>
    <hyperlink r:id="rId1307" ref="G1308"/>
    <hyperlink r:id="rId1308" ref="G1309"/>
    <hyperlink r:id="rId1309" ref="G1310"/>
    <hyperlink r:id="rId1310" ref="G1311"/>
    <hyperlink r:id="rId1311" ref="G1312"/>
    <hyperlink r:id="rId1312" ref="G1313"/>
    <hyperlink r:id="rId1313" ref="G1314"/>
    <hyperlink r:id="rId1314" ref="G1315"/>
    <hyperlink r:id="rId1315" ref="G1316"/>
    <hyperlink r:id="rId1316" ref="G1317"/>
    <hyperlink r:id="rId1317" ref="G1318"/>
    <hyperlink r:id="rId1318" ref="G1319"/>
    <hyperlink r:id="rId1319" ref="G1320"/>
    <hyperlink r:id="rId1320" ref="G1321"/>
    <hyperlink r:id="rId1321" ref="G1322"/>
    <hyperlink r:id="rId1322" ref="G1323"/>
    <hyperlink r:id="rId1323" ref="G1324"/>
    <hyperlink r:id="rId1324" ref="G1325"/>
    <hyperlink r:id="rId1325" ref="G1326"/>
    <hyperlink r:id="rId1326" ref="G1327"/>
    <hyperlink r:id="rId1327" ref="G1328"/>
    <hyperlink r:id="rId1328" ref="G1329"/>
    <hyperlink r:id="rId1329" ref="G1330"/>
    <hyperlink r:id="rId1330" ref="G1331"/>
    <hyperlink r:id="rId1331" ref="G1332"/>
    <hyperlink r:id="rId1332" ref="G1333"/>
    <hyperlink r:id="rId1333" ref="G1334"/>
    <hyperlink r:id="rId1334" ref="G1335"/>
    <hyperlink r:id="rId1335" ref="G1336"/>
    <hyperlink r:id="rId1336" ref="G1337"/>
    <hyperlink r:id="rId1337" ref="G1338"/>
    <hyperlink r:id="rId1338" ref="G1339"/>
    <hyperlink r:id="rId1339" ref="G1340"/>
    <hyperlink r:id="rId1340" ref="G1341"/>
    <hyperlink r:id="rId1341" ref="G1342"/>
    <hyperlink r:id="rId1342" ref="G1343"/>
    <hyperlink r:id="rId1343" ref="G1344"/>
    <hyperlink r:id="rId1344" ref="G1345"/>
    <hyperlink r:id="rId1345" ref="G1346"/>
    <hyperlink r:id="rId1346" ref="G1347"/>
    <hyperlink r:id="rId1347" ref="G1348"/>
    <hyperlink r:id="rId1348" ref="G1349"/>
    <hyperlink r:id="rId1349" ref="G1350"/>
    <hyperlink r:id="rId1350" ref="G1351"/>
    <hyperlink r:id="rId1351" ref="G1352"/>
    <hyperlink r:id="rId1352" ref="G1353"/>
    <hyperlink r:id="rId1353" ref="G1354"/>
    <hyperlink r:id="rId1354" ref="G1355"/>
    <hyperlink r:id="rId1355" ref="G1356"/>
    <hyperlink r:id="rId1356" ref="G1357"/>
    <hyperlink r:id="rId1357" ref="G1358"/>
    <hyperlink r:id="rId1358" ref="G1359"/>
    <hyperlink r:id="rId1359" ref="G1360"/>
    <hyperlink r:id="rId1360" ref="G1361"/>
    <hyperlink r:id="rId1361" ref="G1362"/>
    <hyperlink r:id="rId1362" ref="G1363"/>
    <hyperlink r:id="rId1363" ref="G1364"/>
    <hyperlink r:id="rId1364" ref="G1365"/>
    <hyperlink r:id="rId1365" ref="G1366"/>
    <hyperlink r:id="rId1366" ref="G1367"/>
    <hyperlink r:id="rId1367" ref="G1368"/>
    <hyperlink r:id="rId1368" ref="G1369"/>
    <hyperlink r:id="rId1369" ref="G1370"/>
    <hyperlink r:id="rId1370" ref="G1371"/>
    <hyperlink r:id="rId1371" ref="G1372"/>
    <hyperlink r:id="rId1372" ref="G1373"/>
    <hyperlink r:id="rId1373" ref="G1374"/>
    <hyperlink r:id="rId1374" ref="G1375"/>
    <hyperlink r:id="rId1375" ref="G1376"/>
    <hyperlink r:id="rId1376" ref="G1377"/>
    <hyperlink r:id="rId1377" ref="G1378"/>
    <hyperlink r:id="rId1378" ref="G1379"/>
    <hyperlink r:id="rId1379" ref="G1380"/>
    <hyperlink r:id="rId1380" ref="G1381"/>
    <hyperlink r:id="rId1381" ref="G1382"/>
    <hyperlink r:id="rId1382" ref="G1383"/>
    <hyperlink r:id="rId1383" ref="G1384"/>
    <hyperlink r:id="rId1384" ref="G1385"/>
    <hyperlink r:id="rId1385" ref="G1386"/>
    <hyperlink r:id="rId1386" ref="G1387"/>
    <hyperlink r:id="rId1387" ref="G1388"/>
    <hyperlink r:id="rId1388" ref="G1389"/>
    <hyperlink r:id="rId1389" ref="G1390"/>
    <hyperlink r:id="rId1390" ref="G1391"/>
    <hyperlink r:id="rId1391" ref="G1392"/>
    <hyperlink r:id="rId1392" ref="G1393"/>
    <hyperlink r:id="rId1393" ref="G1394"/>
    <hyperlink r:id="rId1394" ref="G1395"/>
    <hyperlink r:id="rId1395" ref="G1396"/>
    <hyperlink r:id="rId1396" ref="G1397"/>
    <hyperlink r:id="rId1397" ref="G1398"/>
    <hyperlink r:id="rId1398" ref="G1399"/>
    <hyperlink r:id="rId1399" ref="G1400"/>
    <hyperlink r:id="rId1400" ref="G1401"/>
    <hyperlink r:id="rId1401" ref="G1402"/>
    <hyperlink r:id="rId1402" ref="G1403"/>
    <hyperlink r:id="rId1403" ref="G1404"/>
    <hyperlink r:id="rId1404" ref="G1405"/>
    <hyperlink r:id="rId1405" ref="G1406"/>
    <hyperlink r:id="rId1406" ref="G1407"/>
    <hyperlink r:id="rId1407" ref="G1408"/>
    <hyperlink r:id="rId1408" ref="G1409"/>
    <hyperlink r:id="rId1409" ref="G1410"/>
    <hyperlink r:id="rId1410" ref="G1411"/>
    <hyperlink r:id="rId1411" ref="G1412"/>
    <hyperlink r:id="rId1412" ref="G1413"/>
    <hyperlink r:id="rId1413" ref="G1414"/>
    <hyperlink r:id="rId1414" ref="G1415"/>
    <hyperlink r:id="rId1415" ref="G1416"/>
    <hyperlink r:id="rId1416" ref="G1417"/>
    <hyperlink r:id="rId1417" ref="G1418"/>
    <hyperlink r:id="rId1418" ref="G1419"/>
    <hyperlink r:id="rId1419" ref="G1420"/>
    <hyperlink r:id="rId1420" ref="G1421"/>
    <hyperlink r:id="rId1421" ref="G1422"/>
    <hyperlink r:id="rId1422" ref="G1423"/>
    <hyperlink r:id="rId1423" ref="G1424"/>
    <hyperlink r:id="rId1424" ref="G1425"/>
    <hyperlink r:id="rId1425" ref="G1426"/>
    <hyperlink r:id="rId1426" ref="G1427"/>
    <hyperlink r:id="rId1427" ref="G1428"/>
    <hyperlink r:id="rId1428" ref="G1429"/>
    <hyperlink r:id="rId1429" ref="G1430"/>
    <hyperlink r:id="rId1430" ref="G1431"/>
    <hyperlink r:id="rId1431" ref="G1432"/>
    <hyperlink r:id="rId1432" ref="G1433"/>
    <hyperlink r:id="rId1433" ref="G1434"/>
    <hyperlink r:id="rId1434" ref="G1435"/>
    <hyperlink r:id="rId1435" ref="G1436"/>
    <hyperlink r:id="rId1436" ref="G1437"/>
    <hyperlink r:id="rId1437" ref="G1438"/>
    <hyperlink r:id="rId1438" ref="G1439"/>
    <hyperlink r:id="rId1439" ref="G1440"/>
    <hyperlink r:id="rId1440" ref="G1441"/>
    <hyperlink r:id="rId1441" ref="G1442"/>
    <hyperlink r:id="rId1442" ref="G1443"/>
    <hyperlink r:id="rId1443" ref="G1444"/>
    <hyperlink r:id="rId1444" ref="G1445"/>
    <hyperlink r:id="rId1445" ref="G1446"/>
    <hyperlink r:id="rId1446" ref="G1447"/>
    <hyperlink r:id="rId1447" ref="G1448"/>
    <hyperlink r:id="rId1448" ref="G1449"/>
    <hyperlink r:id="rId1449" ref="G1450"/>
    <hyperlink r:id="rId1450" ref="G1451"/>
    <hyperlink r:id="rId1451" ref="G1452"/>
    <hyperlink r:id="rId1452" ref="G1453"/>
    <hyperlink r:id="rId1453" ref="G1454"/>
    <hyperlink r:id="rId1454" ref="G1455"/>
    <hyperlink r:id="rId1455" ref="G1456"/>
    <hyperlink r:id="rId1456" ref="G1457"/>
    <hyperlink r:id="rId1457" ref="G1458"/>
    <hyperlink r:id="rId1458" ref="G1459"/>
    <hyperlink r:id="rId1459" ref="G1460"/>
    <hyperlink r:id="rId1460" ref="G1461"/>
    <hyperlink r:id="rId1461" ref="G1462"/>
    <hyperlink r:id="rId1462" ref="G1463"/>
    <hyperlink r:id="rId1463" ref="G1464"/>
    <hyperlink r:id="rId1464" ref="G1465"/>
    <hyperlink r:id="rId1465" ref="G1466"/>
  </hyperlinks>
  <drawing r:id="rId146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s>
  <sheetData>
    <row r="1">
      <c r="A1" s="15" t="s">
        <v>13083</v>
      </c>
      <c r="B1" s="15" t="s">
        <v>13084</v>
      </c>
      <c r="C1" s="16" t="s">
        <v>13085</v>
      </c>
    </row>
    <row r="2">
      <c r="A2" s="15" t="s">
        <v>13086</v>
      </c>
      <c r="B2" s="17">
        <f>COUNTIF(dados!I1:I1466, "&lt;50")</f>
        <v>747</v>
      </c>
      <c r="C2" s="18">
        <f>AVERAGEIF(dados!I:I, "&lt;50")</f>
        <v>21.57687896</v>
      </c>
    </row>
    <row r="3">
      <c r="A3" s="15" t="s">
        <v>13087</v>
      </c>
      <c r="B3" s="17">
        <f>COUNTIF(dados!I:I, "&gt;=50") - COUNTIF(dados!I:I, "&gt;500")</f>
        <v>570</v>
      </c>
      <c r="C3" s="18">
        <f>AVERAGEIFS(dados!I:I, dados!I:I, "&gt;=50", dados!I:I, "&lt;500")</f>
        <v>138.7360607</v>
      </c>
    </row>
    <row r="4">
      <c r="A4" s="15" t="s">
        <v>13088</v>
      </c>
      <c r="B4" s="17">
        <f>COUNTIF(dados!I1:I1466, "&gt;500")</f>
        <v>148</v>
      </c>
      <c r="C4" s="18">
        <f>AVERAGEIF(dados!I:I, "&gt;500")</f>
        <v>1174.829479</v>
      </c>
    </row>
    <row r="5">
      <c r="C5" s="11"/>
    </row>
    <row r="6">
      <c r="A6" s="1" t="s">
        <v>13089</v>
      </c>
      <c r="C6" s="11"/>
    </row>
    <row r="7">
      <c r="A7" s="7">
        <f>SUMPRODUCT(dados!J2:J1000, dados!K2:K1000) / SUM(dados!K2:K1000)</f>
        <v>4.464114875</v>
      </c>
      <c r="C7" s="11"/>
    </row>
    <row r="8">
      <c r="C8" s="11"/>
    </row>
    <row r="9">
      <c r="C9" s="11"/>
    </row>
    <row r="10">
      <c r="C10" s="11"/>
    </row>
    <row r="11">
      <c r="C11" s="11"/>
    </row>
    <row r="12">
      <c r="C12" s="11"/>
    </row>
    <row r="13">
      <c r="C13" s="11"/>
    </row>
    <row r="14">
      <c r="C14" s="11"/>
    </row>
    <row r="15">
      <c r="C15" s="11"/>
    </row>
    <row r="16">
      <c r="C16" s="11"/>
    </row>
    <row r="17">
      <c r="C17" s="11"/>
      <c r="M17" s="19"/>
    </row>
    <row r="18">
      <c r="C18" s="11"/>
    </row>
    <row r="19">
      <c r="C19" s="11"/>
    </row>
    <row r="20">
      <c r="C20" s="11"/>
    </row>
    <row r="21">
      <c r="C21" s="11"/>
    </row>
    <row r="22">
      <c r="C22" s="11"/>
    </row>
    <row r="23">
      <c r="C23" s="11"/>
    </row>
    <row r="24">
      <c r="C24" s="11"/>
    </row>
    <row r="25">
      <c r="C25" s="11"/>
    </row>
    <row r="26">
      <c r="C26" s="11"/>
    </row>
    <row r="27">
      <c r="C27" s="11"/>
    </row>
    <row r="28">
      <c r="C28" s="11"/>
    </row>
    <row r="29">
      <c r="C29" s="11"/>
    </row>
    <row r="30">
      <c r="C30" s="11"/>
    </row>
    <row r="31">
      <c r="C31" s="11"/>
    </row>
    <row r="32">
      <c r="C32" s="11"/>
    </row>
    <row r="33">
      <c r="C33" s="11"/>
    </row>
    <row r="34">
      <c r="C34" s="11"/>
    </row>
    <row r="35">
      <c r="C35" s="11"/>
    </row>
    <row r="36">
      <c r="C36" s="11"/>
    </row>
    <row r="37">
      <c r="C37" s="11"/>
    </row>
    <row r="38">
      <c r="C38" s="11"/>
    </row>
    <row r="39">
      <c r="C39" s="11"/>
    </row>
    <row r="40">
      <c r="C40" s="11"/>
    </row>
    <row r="41">
      <c r="C41" s="11"/>
    </row>
    <row r="42">
      <c r="C42" s="11"/>
    </row>
    <row r="43">
      <c r="C43" s="11"/>
    </row>
    <row r="44">
      <c r="C44" s="11"/>
    </row>
    <row r="45">
      <c r="C45" s="11"/>
    </row>
    <row r="46">
      <c r="C46" s="11"/>
    </row>
    <row r="47">
      <c r="C47" s="11"/>
    </row>
    <row r="48">
      <c r="C48" s="11"/>
    </row>
    <row r="49">
      <c r="C49" s="11"/>
    </row>
    <row r="50">
      <c r="C50" s="11"/>
    </row>
    <row r="51">
      <c r="C51" s="11"/>
    </row>
    <row r="52">
      <c r="C52" s="11"/>
    </row>
    <row r="53">
      <c r="C53" s="11"/>
    </row>
    <row r="54">
      <c r="C54" s="11"/>
    </row>
    <row r="55">
      <c r="C55" s="11"/>
    </row>
    <row r="56">
      <c r="C56" s="11"/>
    </row>
    <row r="57">
      <c r="C57" s="11"/>
    </row>
    <row r="58">
      <c r="C58" s="11"/>
    </row>
    <row r="59">
      <c r="C59" s="11"/>
    </row>
    <row r="60">
      <c r="C60" s="11"/>
    </row>
    <row r="61">
      <c r="C61" s="11"/>
    </row>
    <row r="62">
      <c r="C62" s="11"/>
    </row>
    <row r="63">
      <c r="C63" s="11"/>
    </row>
    <row r="64">
      <c r="C64" s="11"/>
    </row>
    <row r="65">
      <c r="C65" s="11"/>
    </row>
    <row r="66">
      <c r="C66" s="11"/>
    </row>
    <row r="67">
      <c r="C67" s="11"/>
    </row>
    <row r="68">
      <c r="C68" s="11"/>
    </row>
    <row r="69">
      <c r="C69" s="11"/>
    </row>
    <row r="70">
      <c r="C70" s="11"/>
    </row>
    <row r="71">
      <c r="C71" s="11"/>
    </row>
    <row r="72">
      <c r="C72" s="11"/>
    </row>
    <row r="73">
      <c r="C73" s="11"/>
    </row>
    <row r="74">
      <c r="C74" s="11"/>
    </row>
    <row r="75">
      <c r="C75" s="11"/>
    </row>
    <row r="76">
      <c r="C76" s="11"/>
    </row>
    <row r="77">
      <c r="C77" s="11"/>
    </row>
    <row r="78">
      <c r="C78" s="11"/>
    </row>
    <row r="79">
      <c r="C79" s="11"/>
    </row>
    <row r="80">
      <c r="C80" s="11"/>
    </row>
    <row r="81">
      <c r="C81" s="11"/>
    </row>
    <row r="82">
      <c r="C82" s="11"/>
    </row>
    <row r="83">
      <c r="C83" s="11"/>
    </row>
    <row r="84">
      <c r="C84" s="11"/>
    </row>
    <row r="85">
      <c r="C85" s="11"/>
    </row>
    <row r="86">
      <c r="C86" s="11"/>
    </row>
    <row r="87">
      <c r="C87" s="11"/>
    </row>
    <row r="88">
      <c r="C88" s="11"/>
    </row>
    <row r="89">
      <c r="C89" s="11"/>
    </row>
    <row r="90">
      <c r="C90" s="11"/>
    </row>
    <row r="91">
      <c r="C91" s="11"/>
    </row>
    <row r="92">
      <c r="C92" s="11"/>
    </row>
    <row r="93">
      <c r="C93" s="11"/>
    </row>
    <row r="94">
      <c r="C94" s="11"/>
    </row>
    <row r="95">
      <c r="C95" s="11"/>
    </row>
    <row r="96">
      <c r="C96" s="11"/>
    </row>
    <row r="97">
      <c r="C97" s="11"/>
    </row>
    <row r="98">
      <c r="C98" s="11"/>
    </row>
    <row r="99">
      <c r="C99" s="11"/>
    </row>
    <row r="100">
      <c r="C100" s="11"/>
    </row>
    <row r="101">
      <c r="C101" s="11"/>
    </row>
    <row r="102">
      <c r="C102" s="11"/>
    </row>
    <row r="103">
      <c r="C103" s="11"/>
    </row>
    <row r="104">
      <c r="C104" s="11"/>
    </row>
    <row r="105">
      <c r="C105" s="11"/>
    </row>
    <row r="106">
      <c r="C106" s="11"/>
    </row>
    <row r="107">
      <c r="C107" s="11"/>
    </row>
    <row r="108">
      <c r="C108" s="11"/>
    </row>
    <row r="109">
      <c r="C109" s="11"/>
    </row>
    <row r="110">
      <c r="C110" s="11"/>
    </row>
    <row r="111">
      <c r="C111" s="11"/>
    </row>
    <row r="112">
      <c r="C112" s="11"/>
    </row>
    <row r="113">
      <c r="C113" s="11"/>
    </row>
    <row r="114">
      <c r="C114" s="11"/>
    </row>
    <row r="115">
      <c r="C115" s="11"/>
    </row>
    <row r="116">
      <c r="C116" s="11"/>
    </row>
    <row r="117">
      <c r="C117" s="11"/>
    </row>
    <row r="118">
      <c r="C118" s="11"/>
    </row>
    <row r="119">
      <c r="C119" s="11"/>
    </row>
    <row r="120">
      <c r="C120" s="11"/>
    </row>
    <row r="121">
      <c r="C121" s="11"/>
    </row>
    <row r="122">
      <c r="C122" s="11"/>
    </row>
    <row r="123">
      <c r="C123" s="11"/>
    </row>
    <row r="124">
      <c r="C124" s="11"/>
    </row>
    <row r="125">
      <c r="C125" s="11"/>
    </row>
    <row r="126">
      <c r="C126" s="11"/>
    </row>
    <row r="127">
      <c r="C127" s="11"/>
    </row>
    <row r="128">
      <c r="C128" s="11"/>
    </row>
    <row r="129">
      <c r="C129" s="11"/>
    </row>
    <row r="130">
      <c r="C130" s="11"/>
    </row>
    <row r="131">
      <c r="C131" s="11"/>
    </row>
    <row r="132">
      <c r="C132" s="11"/>
    </row>
    <row r="133">
      <c r="C133" s="11"/>
    </row>
    <row r="134">
      <c r="C134" s="11"/>
    </row>
    <row r="135">
      <c r="C135" s="11"/>
    </row>
    <row r="136">
      <c r="C136" s="11"/>
    </row>
    <row r="137">
      <c r="C137" s="11"/>
    </row>
    <row r="138">
      <c r="C138" s="11"/>
    </row>
    <row r="139">
      <c r="C139" s="11"/>
    </row>
    <row r="140">
      <c r="C140" s="11"/>
    </row>
    <row r="141">
      <c r="C141" s="11"/>
    </row>
    <row r="142">
      <c r="C142" s="11"/>
    </row>
    <row r="143">
      <c r="C143" s="11"/>
    </row>
    <row r="144">
      <c r="C144" s="11"/>
    </row>
    <row r="145">
      <c r="C145" s="11"/>
    </row>
    <row r="146">
      <c r="C146" s="11"/>
    </row>
    <row r="147">
      <c r="C147" s="11"/>
    </row>
    <row r="148">
      <c r="C148" s="11"/>
    </row>
    <row r="149">
      <c r="C149" s="11"/>
    </row>
    <row r="150">
      <c r="C150" s="11"/>
    </row>
    <row r="151">
      <c r="C151" s="11"/>
    </row>
    <row r="152">
      <c r="C152" s="11"/>
    </row>
    <row r="153">
      <c r="C153" s="11"/>
    </row>
    <row r="154">
      <c r="C154" s="11"/>
    </row>
    <row r="155">
      <c r="C155" s="11"/>
    </row>
    <row r="156">
      <c r="C156" s="11"/>
    </row>
    <row r="157">
      <c r="C157" s="11"/>
    </row>
    <row r="158">
      <c r="C158" s="11"/>
    </row>
    <row r="159">
      <c r="C159" s="11"/>
    </row>
    <row r="160">
      <c r="C160" s="11"/>
    </row>
    <row r="161">
      <c r="C161" s="11"/>
    </row>
    <row r="162">
      <c r="C162" s="11"/>
    </row>
    <row r="163">
      <c r="C163" s="11"/>
    </row>
    <row r="164">
      <c r="C164" s="11"/>
    </row>
    <row r="165">
      <c r="C165" s="11"/>
    </row>
    <row r="166">
      <c r="C166" s="11"/>
    </row>
    <row r="167">
      <c r="C167" s="11"/>
    </row>
    <row r="168">
      <c r="C168" s="11"/>
    </row>
    <row r="169">
      <c r="C169" s="11"/>
    </row>
    <row r="170">
      <c r="C170" s="11"/>
    </row>
    <row r="171">
      <c r="C171" s="11"/>
    </row>
    <row r="172">
      <c r="C172" s="11"/>
    </row>
    <row r="173">
      <c r="C173" s="11"/>
    </row>
    <row r="174">
      <c r="C174" s="11"/>
    </row>
    <row r="175">
      <c r="C175" s="11"/>
    </row>
    <row r="176">
      <c r="C176" s="11"/>
    </row>
    <row r="177">
      <c r="C177" s="11"/>
    </row>
    <row r="178">
      <c r="C178" s="11"/>
    </row>
    <row r="179">
      <c r="C179" s="11"/>
    </row>
    <row r="180">
      <c r="C180" s="11"/>
    </row>
    <row r="181">
      <c r="C181" s="11"/>
    </row>
    <row r="182">
      <c r="C182" s="11"/>
    </row>
    <row r="183">
      <c r="C183" s="11"/>
    </row>
    <row r="184">
      <c r="C184" s="11"/>
    </row>
    <row r="185">
      <c r="C185" s="11"/>
    </row>
    <row r="186">
      <c r="C186" s="11"/>
    </row>
    <row r="187">
      <c r="C187" s="11"/>
    </row>
    <row r="188">
      <c r="C188" s="11"/>
    </row>
    <row r="189">
      <c r="C189" s="11"/>
    </row>
    <row r="190">
      <c r="C190" s="11"/>
    </row>
    <row r="191">
      <c r="C191" s="11"/>
    </row>
    <row r="192">
      <c r="C192" s="11"/>
    </row>
    <row r="193">
      <c r="C193" s="11"/>
    </row>
    <row r="194">
      <c r="C194" s="11"/>
    </row>
    <row r="195">
      <c r="C195" s="11"/>
    </row>
    <row r="196">
      <c r="C196" s="11"/>
    </row>
    <row r="197">
      <c r="C197" s="11"/>
    </row>
    <row r="198">
      <c r="C198" s="11"/>
    </row>
    <row r="199">
      <c r="C199" s="11"/>
    </row>
    <row r="200">
      <c r="C200" s="11"/>
    </row>
    <row r="201">
      <c r="C201" s="11"/>
    </row>
    <row r="202">
      <c r="C202" s="11"/>
    </row>
    <row r="203">
      <c r="C203" s="11"/>
    </row>
    <row r="204">
      <c r="C204" s="11"/>
    </row>
    <row r="205">
      <c r="C205" s="11"/>
    </row>
    <row r="206">
      <c r="C206" s="11"/>
    </row>
    <row r="207">
      <c r="C207" s="11"/>
    </row>
    <row r="208">
      <c r="C208" s="11"/>
    </row>
    <row r="209">
      <c r="C209" s="11"/>
    </row>
    <row r="210">
      <c r="C210" s="11"/>
    </row>
    <row r="211">
      <c r="C211" s="11"/>
    </row>
    <row r="212">
      <c r="C212" s="11"/>
    </row>
    <row r="213">
      <c r="C213" s="11"/>
    </row>
    <row r="214">
      <c r="C214" s="11"/>
    </row>
    <row r="215">
      <c r="C215" s="11"/>
    </row>
    <row r="216">
      <c r="C216" s="11"/>
    </row>
    <row r="217">
      <c r="C217" s="11"/>
    </row>
    <row r="218">
      <c r="C218" s="11"/>
    </row>
    <row r="219">
      <c r="C219" s="11"/>
    </row>
    <row r="220">
      <c r="C220" s="11"/>
    </row>
    <row r="221">
      <c r="C221" s="11"/>
    </row>
    <row r="222">
      <c r="C222" s="11"/>
    </row>
    <row r="223">
      <c r="C223" s="11"/>
    </row>
    <row r="224">
      <c r="C224" s="11"/>
    </row>
    <row r="225">
      <c r="C225" s="11"/>
    </row>
    <row r="226">
      <c r="C226" s="11"/>
    </row>
    <row r="227">
      <c r="C227" s="11"/>
    </row>
    <row r="228">
      <c r="C228" s="11"/>
    </row>
    <row r="229">
      <c r="C229" s="11"/>
    </row>
    <row r="230">
      <c r="C230" s="11"/>
    </row>
    <row r="231">
      <c r="C231" s="11"/>
    </row>
    <row r="232">
      <c r="C232" s="11"/>
    </row>
    <row r="233">
      <c r="C233" s="11"/>
    </row>
    <row r="234">
      <c r="C234" s="11"/>
    </row>
    <row r="235">
      <c r="C235" s="11"/>
    </row>
    <row r="236">
      <c r="C236" s="11"/>
    </row>
    <row r="237">
      <c r="C237" s="11"/>
    </row>
    <row r="238">
      <c r="C238" s="11"/>
    </row>
    <row r="239">
      <c r="C239" s="11"/>
    </row>
    <row r="240">
      <c r="C240" s="11"/>
    </row>
    <row r="241">
      <c r="C241" s="11"/>
    </row>
    <row r="242">
      <c r="C242" s="11"/>
    </row>
    <row r="243">
      <c r="C243" s="11"/>
    </row>
    <row r="244">
      <c r="C244" s="11"/>
    </row>
    <row r="245">
      <c r="C245" s="11"/>
    </row>
    <row r="246">
      <c r="C246" s="11"/>
    </row>
    <row r="247">
      <c r="C247" s="11"/>
    </row>
    <row r="248">
      <c r="C248" s="11"/>
    </row>
    <row r="249">
      <c r="C249" s="11"/>
    </row>
    <row r="250">
      <c r="C250" s="11"/>
    </row>
    <row r="251">
      <c r="C251" s="11"/>
    </row>
    <row r="252">
      <c r="C252" s="11"/>
    </row>
    <row r="253">
      <c r="C253" s="11"/>
    </row>
    <row r="254">
      <c r="C254" s="11"/>
    </row>
    <row r="255">
      <c r="C255" s="11"/>
    </row>
    <row r="256">
      <c r="C256" s="11"/>
    </row>
    <row r="257">
      <c r="C257" s="11"/>
    </row>
    <row r="258">
      <c r="C258" s="11"/>
    </row>
    <row r="259">
      <c r="C259" s="11"/>
    </row>
    <row r="260">
      <c r="C260" s="11"/>
    </row>
    <row r="261">
      <c r="C261" s="11"/>
    </row>
    <row r="262">
      <c r="C262" s="11"/>
    </row>
    <row r="263">
      <c r="C263" s="11"/>
    </row>
    <row r="264">
      <c r="C264" s="11"/>
    </row>
    <row r="265">
      <c r="C265" s="11"/>
    </row>
    <row r="266">
      <c r="C266" s="11"/>
    </row>
    <row r="267">
      <c r="C267" s="11"/>
    </row>
    <row r="268">
      <c r="C268" s="11"/>
    </row>
    <row r="269">
      <c r="C269" s="11"/>
    </row>
    <row r="270">
      <c r="C270" s="11"/>
    </row>
    <row r="271">
      <c r="C271" s="11"/>
    </row>
    <row r="272">
      <c r="C272" s="11"/>
    </row>
    <row r="273">
      <c r="C273" s="11"/>
    </row>
    <row r="274">
      <c r="C274" s="11"/>
    </row>
    <row r="275">
      <c r="C275" s="11"/>
    </row>
    <row r="276">
      <c r="C276" s="11"/>
    </row>
    <row r="277">
      <c r="C277" s="11"/>
    </row>
    <row r="278">
      <c r="C278" s="11"/>
    </row>
    <row r="279">
      <c r="C279" s="11"/>
    </row>
    <row r="280">
      <c r="C280" s="11"/>
    </row>
    <row r="281">
      <c r="C281" s="11"/>
    </row>
    <row r="282">
      <c r="C282" s="11"/>
    </row>
    <row r="283">
      <c r="C283" s="11"/>
    </row>
    <row r="284">
      <c r="C284" s="11"/>
    </row>
    <row r="285">
      <c r="C285" s="11"/>
    </row>
    <row r="286">
      <c r="C286" s="11"/>
    </row>
    <row r="287">
      <c r="C287" s="11"/>
    </row>
    <row r="288">
      <c r="C288" s="11"/>
    </row>
    <row r="289">
      <c r="C289" s="11"/>
    </row>
    <row r="290">
      <c r="C290" s="11"/>
    </row>
    <row r="291">
      <c r="C291" s="11"/>
    </row>
    <row r="292">
      <c r="C292" s="11"/>
    </row>
    <row r="293">
      <c r="C293" s="11"/>
    </row>
    <row r="294">
      <c r="C294" s="11"/>
    </row>
    <row r="295">
      <c r="C295" s="11"/>
    </row>
    <row r="296">
      <c r="C296" s="11"/>
    </row>
    <row r="297">
      <c r="C297" s="11"/>
    </row>
    <row r="298">
      <c r="C298" s="11"/>
    </row>
    <row r="299">
      <c r="C299" s="11"/>
    </row>
    <row r="300">
      <c r="C300" s="11"/>
    </row>
    <row r="301">
      <c r="C301" s="11"/>
    </row>
    <row r="302">
      <c r="C302" s="11"/>
    </row>
    <row r="303">
      <c r="C303" s="11"/>
    </row>
    <row r="304">
      <c r="C304" s="11"/>
    </row>
    <row r="305">
      <c r="C305" s="11"/>
    </row>
    <row r="306">
      <c r="C306" s="11"/>
    </row>
    <row r="307">
      <c r="C307" s="11"/>
    </row>
    <row r="308">
      <c r="C308" s="11"/>
    </row>
    <row r="309">
      <c r="C309" s="11"/>
    </row>
    <row r="310">
      <c r="C310" s="11"/>
    </row>
    <row r="311">
      <c r="C311" s="11"/>
    </row>
    <row r="312">
      <c r="C312" s="11"/>
    </row>
    <row r="313">
      <c r="C313" s="11"/>
    </row>
    <row r="314">
      <c r="C314" s="11"/>
    </row>
    <row r="315">
      <c r="C315" s="11"/>
    </row>
    <row r="316">
      <c r="C316" s="11"/>
    </row>
    <row r="317">
      <c r="C317" s="11"/>
    </row>
    <row r="318">
      <c r="C318" s="11"/>
    </row>
    <row r="319">
      <c r="C319" s="11"/>
    </row>
    <row r="320">
      <c r="C320" s="11"/>
    </row>
    <row r="321">
      <c r="C321" s="11"/>
    </row>
    <row r="322">
      <c r="C322" s="11"/>
    </row>
    <row r="323">
      <c r="C323" s="11"/>
    </row>
    <row r="324">
      <c r="C324" s="11"/>
    </row>
    <row r="325">
      <c r="C325" s="11"/>
    </row>
    <row r="326">
      <c r="C326" s="11"/>
    </row>
    <row r="327">
      <c r="C327" s="11"/>
    </row>
    <row r="328">
      <c r="C328" s="11"/>
    </row>
    <row r="329">
      <c r="C329" s="11"/>
    </row>
    <row r="330">
      <c r="C330" s="11"/>
    </row>
    <row r="331">
      <c r="C331" s="11"/>
    </row>
    <row r="332">
      <c r="C332" s="11"/>
    </row>
    <row r="333">
      <c r="C333" s="11"/>
    </row>
    <row r="334">
      <c r="C334" s="11"/>
    </row>
    <row r="335">
      <c r="C335" s="11"/>
    </row>
    <row r="336">
      <c r="C336" s="11"/>
    </row>
    <row r="337">
      <c r="C337" s="11"/>
    </row>
    <row r="338">
      <c r="C338" s="11"/>
    </row>
    <row r="339">
      <c r="C339" s="11"/>
    </row>
    <row r="340">
      <c r="C340" s="11"/>
    </row>
    <row r="341">
      <c r="C341" s="11"/>
    </row>
    <row r="342">
      <c r="C342" s="11"/>
    </row>
    <row r="343">
      <c r="C343" s="11"/>
    </row>
    <row r="344">
      <c r="C344" s="11"/>
    </row>
    <row r="345">
      <c r="C345" s="11"/>
    </row>
    <row r="346">
      <c r="C346" s="11"/>
    </row>
    <row r="347">
      <c r="C347" s="11"/>
    </row>
    <row r="348">
      <c r="C348" s="11"/>
    </row>
    <row r="349">
      <c r="C349" s="11"/>
    </row>
    <row r="350">
      <c r="C350" s="11"/>
    </row>
    <row r="351">
      <c r="C351" s="11"/>
    </row>
    <row r="352">
      <c r="C352" s="11"/>
    </row>
    <row r="353">
      <c r="C353" s="11"/>
    </row>
    <row r="354">
      <c r="C354" s="11"/>
    </row>
    <row r="355">
      <c r="C355" s="11"/>
    </row>
    <row r="356">
      <c r="C356" s="11"/>
    </row>
    <row r="357">
      <c r="C357" s="11"/>
    </row>
    <row r="358">
      <c r="C358" s="11"/>
    </row>
    <row r="359">
      <c r="C359" s="11"/>
    </row>
    <row r="360">
      <c r="C360" s="11"/>
    </row>
    <row r="361">
      <c r="C361" s="11"/>
    </row>
    <row r="362">
      <c r="C362" s="11"/>
    </row>
    <row r="363">
      <c r="C363" s="11"/>
    </row>
    <row r="364">
      <c r="C364" s="11"/>
    </row>
    <row r="365">
      <c r="C365" s="11"/>
    </row>
    <row r="366">
      <c r="C366" s="11"/>
    </row>
    <row r="367">
      <c r="C367" s="11"/>
    </row>
    <row r="368">
      <c r="C368" s="11"/>
    </row>
    <row r="369">
      <c r="C369" s="11"/>
    </row>
    <row r="370">
      <c r="C370" s="11"/>
    </row>
    <row r="371">
      <c r="C371" s="11"/>
    </row>
    <row r="372">
      <c r="C372" s="11"/>
    </row>
    <row r="373">
      <c r="C373" s="11"/>
    </row>
    <row r="374">
      <c r="C374" s="11"/>
    </row>
    <row r="375">
      <c r="C375" s="11"/>
    </row>
    <row r="376">
      <c r="C376" s="11"/>
    </row>
    <row r="377">
      <c r="C377" s="11"/>
    </row>
    <row r="378">
      <c r="C378" s="11"/>
    </row>
    <row r="379">
      <c r="C379" s="11"/>
    </row>
    <row r="380">
      <c r="C380" s="11"/>
    </row>
    <row r="381">
      <c r="C381" s="11"/>
    </row>
    <row r="382">
      <c r="C382" s="11"/>
    </row>
    <row r="383">
      <c r="C383" s="11"/>
    </row>
    <row r="384">
      <c r="C384" s="11"/>
    </row>
    <row r="385">
      <c r="C385" s="11"/>
    </row>
    <row r="386">
      <c r="C386" s="11"/>
    </row>
    <row r="387">
      <c r="C387" s="11"/>
    </row>
    <row r="388">
      <c r="C388" s="11"/>
    </row>
    <row r="389">
      <c r="C389" s="11"/>
    </row>
    <row r="390">
      <c r="C390" s="11"/>
    </row>
    <row r="391">
      <c r="C391" s="11"/>
    </row>
    <row r="392">
      <c r="C392" s="11"/>
    </row>
    <row r="393">
      <c r="C393" s="11"/>
    </row>
    <row r="394">
      <c r="C394" s="11"/>
    </row>
    <row r="395">
      <c r="C395" s="11"/>
    </row>
    <row r="396">
      <c r="C396" s="11"/>
    </row>
    <row r="397">
      <c r="C397" s="11"/>
    </row>
    <row r="398">
      <c r="C398" s="11"/>
    </row>
    <row r="399">
      <c r="C399" s="11"/>
    </row>
    <row r="400">
      <c r="C400" s="11"/>
    </row>
    <row r="401">
      <c r="C401" s="11"/>
    </row>
    <row r="402">
      <c r="C402" s="11"/>
    </row>
    <row r="403">
      <c r="C403" s="11"/>
    </row>
    <row r="404">
      <c r="C404" s="11"/>
    </row>
    <row r="405">
      <c r="C405" s="11"/>
    </row>
    <row r="406">
      <c r="C406" s="11"/>
    </row>
    <row r="407">
      <c r="C407" s="11"/>
    </row>
    <row r="408">
      <c r="C408" s="11"/>
    </row>
    <row r="409">
      <c r="C409" s="11"/>
    </row>
    <row r="410">
      <c r="C410" s="11"/>
    </row>
    <row r="411">
      <c r="C411" s="11"/>
    </row>
    <row r="412">
      <c r="C412" s="11"/>
    </row>
    <row r="413">
      <c r="C413" s="11"/>
    </row>
    <row r="414">
      <c r="C414" s="11"/>
    </row>
    <row r="415">
      <c r="C415" s="11"/>
    </row>
    <row r="416">
      <c r="C416" s="11"/>
    </row>
    <row r="417">
      <c r="C417" s="11"/>
    </row>
    <row r="418">
      <c r="C418" s="11"/>
    </row>
    <row r="419">
      <c r="C419" s="11"/>
    </row>
    <row r="420">
      <c r="C420" s="11"/>
    </row>
    <row r="421">
      <c r="C421" s="11"/>
    </row>
    <row r="422">
      <c r="C422" s="11"/>
    </row>
    <row r="423">
      <c r="C423" s="11"/>
    </row>
    <row r="424">
      <c r="C424" s="11"/>
    </row>
    <row r="425">
      <c r="C425" s="11"/>
    </row>
    <row r="426">
      <c r="C426" s="11"/>
    </row>
    <row r="427">
      <c r="C427" s="11"/>
    </row>
    <row r="428">
      <c r="C428" s="11"/>
    </row>
    <row r="429">
      <c r="C429" s="11"/>
    </row>
    <row r="430">
      <c r="C430" s="11"/>
    </row>
    <row r="431">
      <c r="C431" s="11"/>
    </row>
    <row r="432">
      <c r="C432" s="11"/>
    </row>
    <row r="433">
      <c r="C433" s="11"/>
    </row>
    <row r="434">
      <c r="C434" s="11"/>
    </row>
    <row r="435">
      <c r="C435" s="11"/>
    </row>
    <row r="436">
      <c r="C436" s="11"/>
    </row>
    <row r="437">
      <c r="C437" s="11"/>
    </row>
    <row r="438">
      <c r="C438" s="11"/>
    </row>
    <row r="439">
      <c r="C439" s="11"/>
    </row>
    <row r="440">
      <c r="C440" s="11"/>
    </row>
    <row r="441">
      <c r="C441" s="11"/>
    </row>
    <row r="442">
      <c r="C442" s="11"/>
    </row>
    <row r="443">
      <c r="C443" s="11"/>
    </row>
    <row r="444">
      <c r="C444" s="11"/>
    </row>
    <row r="445">
      <c r="C445" s="11"/>
    </row>
    <row r="446">
      <c r="C446" s="11"/>
    </row>
    <row r="447">
      <c r="C447" s="11"/>
    </row>
    <row r="448">
      <c r="C448" s="11"/>
    </row>
    <row r="449">
      <c r="C449" s="11"/>
    </row>
    <row r="450">
      <c r="C450" s="11"/>
    </row>
    <row r="451">
      <c r="C451" s="11"/>
    </row>
    <row r="452">
      <c r="C452" s="11"/>
    </row>
    <row r="453">
      <c r="C453" s="11"/>
    </row>
    <row r="454">
      <c r="C454" s="11"/>
    </row>
    <row r="455">
      <c r="C455" s="11"/>
    </row>
    <row r="456">
      <c r="C456" s="11"/>
    </row>
    <row r="457">
      <c r="C457" s="11"/>
    </row>
    <row r="458">
      <c r="C458" s="11"/>
    </row>
    <row r="459">
      <c r="C459" s="11"/>
    </row>
    <row r="460">
      <c r="C460" s="11"/>
    </row>
    <row r="461">
      <c r="C461" s="11"/>
    </row>
    <row r="462">
      <c r="C462" s="11"/>
    </row>
    <row r="463">
      <c r="C463" s="11"/>
    </row>
    <row r="464">
      <c r="C464" s="11"/>
    </row>
    <row r="465">
      <c r="C465" s="11"/>
    </row>
    <row r="466">
      <c r="C466" s="11"/>
    </row>
    <row r="467">
      <c r="C467" s="11"/>
    </row>
    <row r="468">
      <c r="C468" s="11"/>
    </row>
    <row r="469">
      <c r="C469" s="11"/>
    </row>
    <row r="470">
      <c r="C470" s="11"/>
    </row>
    <row r="471">
      <c r="C471" s="11"/>
    </row>
    <row r="472">
      <c r="C472" s="11"/>
    </row>
    <row r="473">
      <c r="C473" s="11"/>
    </row>
    <row r="474">
      <c r="C474" s="11"/>
    </row>
    <row r="475">
      <c r="C475" s="11"/>
    </row>
    <row r="476">
      <c r="C476" s="11"/>
    </row>
    <row r="477">
      <c r="C477" s="11"/>
    </row>
    <row r="478">
      <c r="C478" s="11"/>
    </row>
    <row r="479">
      <c r="C479" s="11"/>
    </row>
    <row r="480">
      <c r="C480" s="11"/>
    </row>
    <row r="481">
      <c r="C481" s="11"/>
    </row>
    <row r="482">
      <c r="C482" s="11"/>
    </row>
    <row r="483">
      <c r="C483" s="11"/>
    </row>
    <row r="484">
      <c r="C484" s="11"/>
    </row>
    <row r="485">
      <c r="C485" s="11"/>
    </row>
    <row r="486">
      <c r="C486" s="11"/>
    </row>
    <row r="487">
      <c r="C487" s="11"/>
    </row>
    <row r="488">
      <c r="C488" s="11"/>
    </row>
    <row r="489">
      <c r="C489" s="11"/>
    </row>
    <row r="490">
      <c r="C490" s="11"/>
    </row>
    <row r="491">
      <c r="C491" s="11"/>
    </row>
    <row r="492">
      <c r="C492" s="11"/>
    </row>
    <row r="493">
      <c r="C493" s="11"/>
    </row>
    <row r="494">
      <c r="C494" s="11"/>
    </row>
    <row r="495">
      <c r="C495" s="11"/>
    </row>
    <row r="496">
      <c r="C496" s="11"/>
    </row>
    <row r="497">
      <c r="C497" s="11"/>
    </row>
    <row r="498">
      <c r="C498" s="11"/>
    </row>
    <row r="499">
      <c r="C499" s="11"/>
    </row>
    <row r="500">
      <c r="C500" s="11"/>
    </row>
    <row r="501">
      <c r="C501" s="11"/>
    </row>
    <row r="502">
      <c r="C502" s="11"/>
    </row>
    <row r="503">
      <c r="C503" s="11"/>
    </row>
    <row r="504">
      <c r="C504" s="11"/>
    </row>
    <row r="505">
      <c r="C505" s="11"/>
    </row>
    <row r="506">
      <c r="C506" s="11"/>
    </row>
    <row r="507">
      <c r="C507" s="11"/>
    </row>
    <row r="508">
      <c r="C508" s="11"/>
    </row>
    <row r="509">
      <c r="C509" s="11"/>
    </row>
    <row r="510">
      <c r="C510" s="11"/>
    </row>
    <row r="511">
      <c r="C511" s="11"/>
    </row>
    <row r="512">
      <c r="C512" s="11"/>
    </row>
    <row r="513">
      <c r="C513" s="11"/>
    </row>
    <row r="514">
      <c r="C514" s="11"/>
    </row>
    <row r="515">
      <c r="C515" s="11"/>
    </row>
    <row r="516">
      <c r="C516" s="11"/>
    </row>
    <row r="517">
      <c r="C517" s="11"/>
    </row>
    <row r="518">
      <c r="C518" s="11"/>
    </row>
    <row r="519">
      <c r="C519" s="11"/>
    </row>
    <row r="520">
      <c r="C520" s="11"/>
    </row>
    <row r="521">
      <c r="C521" s="11"/>
    </row>
    <row r="522">
      <c r="C522" s="11"/>
    </row>
    <row r="523">
      <c r="C523" s="11"/>
    </row>
    <row r="524">
      <c r="C524" s="11"/>
    </row>
    <row r="525">
      <c r="C525" s="11"/>
    </row>
    <row r="526">
      <c r="C526" s="11"/>
    </row>
    <row r="527">
      <c r="C527" s="11"/>
    </row>
    <row r="528">
      <c r="C528" s="11"/>
    </row>
    <row r="529">
      <c r="C529" s="11"/>
    </row>
    <row r="530">
      <c r="C530" s="11"/>
    </row>
    <row r="531">
      <c r="C531" s="11"/>
    </row>
    <row r="532">
      <c r="C532" s="11"/>
    </row>
    <row r="533">
      <c r="C533" s="11"/>
    </row>
    <row r="534">
      <c r="C534" s="11"/>
    </row>
    <row r="535">
      <c r="C535" s="11"/>
    </row>
    <row r="536">
      <c r="C536" s="11"/>
    </row>
    <row r="537">
      <c r="C537" s="11"/>
    </row>
    <row r="538">
      <c r="C538" s="11"/>
    </row>
    <row r="539">
      <c r="C539" s="11"/>
    </row>
    <row r="540">
      <c r="C540" s="11"/>
    </row>
    <row r="541">
      <c r="C541" s="11"/>
    </row>
    <row r="542">
      <c r="C542" s="11"/>
    </row>
    <row r="543">
      <c r="C543" s="11"/>
    </row>
    <row r="544">
      <c r="C544" s="11"/>
    </row>
    <row r="545">
      <c r="C545" s="11"/>
    </row>
    <row r="546">
      <c r="C546" s="11"/>
    </row>
    <row r="547">
      <c r="C547" s="11"/>
    </row>
    <row r="548">
      <c r="C548" s="11"/>
    </row>
    <row r="549">
      <c r="C549" s="11"/>
    </row>
    <row r="550">
      <c r="C550" s="11"/>
    </row>
    <row r="551">
      <c r="C551" s="11"/>
    </row>
    <row r="552">
      <c r="C552" s="11"/>
    </row>
    <row r="553">
      <c r="C553" s="11"/>
    </row>
    <row r="554">
      <c r="C554" s="11"/>
    </row>
    <row r="555">
      <c r="C555" s="11"/>
    </row>
    <row r="556">
      <c r="C556" s="11"/>
    </row>
    <row r="557">
      <c r="C557" s="11"/>
    </row>
    <row r="558">
      <c r="C558" s="11"/>
    </row>
    <row r="559">
      <c r="C559" s="11"/>
    </row>
    <row r="560">
      <c r="C560" s="11"/>
    </row>
    <row r="561">
      <c r="C561" s="11"/>
    </row>
    <row r="562">
      <c r="C562" s="11"/>
    </row>
    <row r="563">
      <c r="C563" s="11"/>
    </row>
    <row r="564">
      <c r="C564" s="11"/>
    </row>
    <row r="565">
      <c r="C565" s="11"/>
    </row>
    <row r="566">
      <c r="C566" s="11"/>
    </row>
    <row r="567">
      <c r="C567" s="11"/>
    </row>
    <row r="568">
      <c r="C568" s="11"/>
    </row>
    <row r="569">
      <c r="C569" s="11"/>
    </row>
    <row r="570">
      <c r="C570" s="11"/>
    </row>
    <row r="571">
      <c r="C571" s="11"/>
    </row>
    <row r="572">
      <c r="C572" s="11"/>
    </row>
    <row r="573">
      <c r="C573" s="11"/>
    </row>
    <row r="574">
      <c r="C574" s="11"/>
    </row>
    <row r="575">
      <c r="C575" s="11"/>
    </row>
    <row r="576">
      <c r="C576" s="11"/>
    </row>
    <row r="577">
      <c r="C577" s="11"/>
    </row>
    <row r="578">
      <c r="C578" s="11"/>
    </row>
    <row r="579">
      <c r="C579" s="11"/>
    </row>
    <row r="580">
      <c r="C580" s="11"/>
    </row>
    <row r="581">
      <c r="C581" s="11"/>
    </row>
    <row r="582">
      <c r="C582" s="11"/>
    </row>
    <row r="583">
      <c r="C583" s="11"/>
    </row>
    <row r="584">
      <c r="C584" s="11"/>
    </row>
    <row r="585">
      <c r="C585" s="11"/>
    </row>
    <row r="586">
      <c r="C586" s="11"/>
    </row>
    <row r="587">
      <c r="C587" s="11"/>
    </row>
    <row r="588">
      <c r="C588" s="11"/>
    </row>
    <row r="589">
      <c r="C589" s="11"/>
    </row>
    <row r="590">
      <c r="C590" s="11"/>
    </row>
    <row r="591">
      <c r="C591" s="11"/>
    </row>
    <row r="592">
      <c r="C592" s="11"/>
    </row>
    <row r="593">
      <c r="C593" s="11"/>
    </row>
    <row r="594">
      <c r="C594" s="11"/>
    </row>
    <row r="595">
      <c r="C595" s="11"/>
    </row>
    <row r="596">
      <c r="C596" s="11"/>
    </row>
    <row r="597">
      <c r="C597" s="11"/>
    </row>
    <row r="598">
      <c r="C598" s="11"/>
    </row>
    <row r="599">
      <c r="C599" s="11"/>
    </row>
    <row r="600">
      <c r="C600" s="11"/>
    </row>
    <row r="601">
      <c r="C601" s="11"/>
    </row>
    <row r="602">
      <c r="C602" s="11"/>
    </row>
    <row r="603">
      <c r="C603" s="11"/>
    </row>
    <row r="604">
      <c r="C604" s="11"/>
    </row>
    <row r="605">
      <c r="C605" s="11"/>
    </row>
    <row r="606">
      <c r="C606" s="11"/>
    </row>
    <row r="607">
      <c r="C607" s="11"/>
    </row>
    <row r="608">
      <c r="C608" s="11"/>
    </row>
    <row r="609">
      <c r="C609" s="11"/>
    </row>
    <row r="610">
      <c r="C610" s="11"/>
    </row>
    <row r="611">
      <c r="C611" s="11"/>
    </row>
    <row r="612">
      <c r="C612" s="11"/>
    </row>
    <row r="613">
      <c r="C613" s="11"/>
    </row>
    <row r="614">
      <c r="C614" s="11"/>
    </row>
    <row r="615">
      <c r="C615" s="11"/>
    </row>
    <row r="616">
      <c r="C616" s="11"/>
    </row>
    <row r="617">
      <c r="C617" s="11"/>
    </row>
    <row r="618">
      <c r="C618" s="11"/>
    </row>
    <row r="619">
      <c r="C619" s="11"/>
    </row>
    <row r="620">
      <c r="C620" s="11"/>
    </row>
    <row r="621">
      <c r="C621" s="11"/>
    </row>
    <row r="622">
      <c r="C622" s="11"/>
    </row>
    <row r="623">
      <c r="C623" s="11"/>
    </row>
    <row r="624">
      <c r="C624" s="11"/>
    </row>
    <row r="625">
      <c r="C625" s="11"/>
    </row>
    <row r="626">
      <c r="C626" s="11"/>
    </row>
    <row r="627">
      <c r="C627" s="11"/>
    </row>
    <row r="628">
      <c r="C628" s="11"/>
    </row>
    <row r="629">
      <c r="C629" s="11"/>
    </row>
    <row r="630">
      <c r="C630" s="11"/>
    </row>
    <row r="631">
      <c r="C631" s="11"/>
    </row>
    <row r="632">
      <c r="C632" s="11"/>
    </row>
    <row r="633">
      <c r="C633" s="11"/>
    </row>
    <row r="634">
      <c r="C634" s="11"/>
    </row>
    <row r="635">
      <c r="C635" s="11"/>
    </row>
    <row r="636">
      <c r="C636" s="11"/>
    </row>
    <row r="637">
      <c r="C637" s="11"/>
    </row>
    <row r="638">
      <c r="C638" s="11"/>
    </row>
    <row r="639">
      <c r="C639" s="11"/>
    </row>
    <row r="640">
      <c r="C640" s="11"/>
    </row>
    <row r="641">
      <c r="C641" s="11"/>
    </row>
    <row r="642">
      <c r="C642" s="11"/>
    </row>
    <row r="643">
      <c r="C643" s="11"/>
    </row>
    <row r="644">
      <c r="C644" s="11"/>
    </row>
    <row r="645">
      <c r="C645" s="11"/>
    </row>
    <row r="646">
      <c r="C646" s="11"/>
    </row>
    <row r="647">
      <c r="C647" s="11"/>
    </row>
    <row r="648">
      <c r="C648" s="11"/>
    </row>
    <row r="649">
      <c r="C649" s="11"/>
    </row>
    <row r="650">
      <c r="C650" s="11"/>
    </row>
    <row r="651">
      <c r="C651" s="11"/>
    </row>
    <row r="652">
      <c r="C652" s="11"/>
    </row>
    <row r="653">
      <c r="C653" s="11"/>
    </row>
    <row r="654">
      <c r="C654" s="11"/>
    </row>
    <row r="655">
      <c r="C655" s="11"/>
    </row>
    <row r="656">
      <c r="C656" s="11"/>
    </row>
    <row r="657">
      <c r="C657" s="11"/>
    </row>
    <row r="658">
      <c r="C658" s="11"/>
    </row>
    <row r="659">
      <c r="C659" s="11"/>
    </row>
    <row r="660">
      <c r="C660" s="11"/>
    </row>
    <row r="661">
      <c r="C661" s="11"/>
    </row>
    <row r="662">
      <c r="C662" s="11"/>
    </row>
    <row r="663">
      <c r="C663" s="11"/>
    </row>
    <row r="664">
      <c r="C664" s="11"/>
    </row>
    <row r="665">
      <c r="C665" s="11"/>
    </row>
    <row r="666">
      <c r="C666" s="11"/>
    </row>
    <row r="667">
      <c r="C667" s="11"/>
    </row>
    <row r="668">
      <c r="C668" s="11"/>
    </row>
    <row r="669">
      <c r="C669" s="11"/>
    </row>
    <row r="670">
      <c r="C670" s="11"/>
    </row>
    <row r="671">
      <c r="C671" s="11"/>
    </row>
    <row r="672">
      <c r="C672" s="11"/>
    </row>
    <row r="673">
      <c r="C673" s="11"/>
    </row>
    <row r="674">
      <c r="C674" s="11"/>
    </row>
    <row r="675">
      <c r="C675" s="11"/>
    </row>
    <row r="676">
      <c r="C676" s="11"/>
    </row>
    <row r="677">
      <c r="C677" s="11"/>
    </row>
    <row r="678">
      <c r="C678" s="11"/>
    </row>
    <row r="679">
      <c r="C679" s="11"/>
    </row>
    <row r="680">
      <c r="C680" s="11"/>
    </row>
    <row r="681">
      <c r="C681" s="11"/>
    </row>
    <row r="682">
      <c r="C682" s="11"/>
    </row>
    <row r="683">
      <c r="C683" s="11"/>
    </row>
    <row r="684">
      <c r="C684" s="11"/>
    </row>
    <row r="685">
      <c r="C685" s="11"/>
    </row>
    <row r="686">
      <c r="C686" s="11"/>
    </row>
    <row r="687">
      <c r="C687" s="11"/>
    </row>
    <row r="688">
      <c r="C688" s="11"/>
    </row>
    <row r="689">
      <c r="C689" s="11"/>
    </row>
    <row r="690">
      <c r="C690" s="11"/>
    </row>
    <row r="691">
      <c r="C691" s="11"/>
    </row>
    <row r="692">
      <c r="C692" s="11"/>
    </row>
    <row r="693">
      <c r="C693" s="11"/>
    </row>
    <row r="694">
      <c r="C694" s="11"/>
    </row>
    <row r="695">
      <c r="C695" s="11"/>
    </row>
    <row r="696">
      <c r="C696" s="11"/>
    </row>
    <row r="697">
      <c r="C697" s="11"/>
    </row>
    <row r="698">
      <c r="C698" s="11"/>
    </row>
    <row r="699">
      <c r="C699" s="11"/>
    </row>
    <row r="700">
      <c r="C700" s="11"/>
    </row>
    <row r="701">
      <c r="C701" s="11"/>
    </row>
    <row r="702">
      <c r="C702" s="11"/>
    </row>
    <row r="703">
      <c r="C703" s="11"/>
    </row>
    <row r="704">
      <c r="C704" s="11"/>
    </row>
    <row r="705">
      <c r="C705" s="11"/>
    </row>
    <row r="706">
      <c r="C706" s="11"/>
    </row>
    <row r="707">
      <c r="C707" s="11"/>
    </row>
    <row r="708">
      <c r="C708" s="11"/>
    </row>
    <row r="709">
      <c r="C709" s="11"/>
    </row>
    <row r="710">
      <c r="C710" s="11"/>
    </row>
    <row r="711">
      <c r="C711" s="11"/>
    </row>
    <row r="712">
      <c r="C712" s="11"/>
    </row>
    <row r="713">
      <c r="C713" s="11"/>
    </row>
    <row r="714">
      <c r="C714" s="11"/>
    </row>
    <row r="715">
      <c r="C715" s="11"/>
    </row>
    <row r="716">
      <c r="C716" s="11"/>
    </row>
    <row r="717">
      <c r="C717" s="11"/>
    </row>
    <row r="718">
      <c r="C718" s="11"/>
    </row>
    <row r="719">
      <c r="C719" s="11"/>
    </row>
    <row r="720">
      <c r="C720" s="11"/>
    </row>
    <row r="721">
      <c r="C721" s="11"/>
    </row>
    <row r="722">
      <c r="C722" s="11"/>
    </row>
    <row r="723">
      <c r="C723" s="11"/>
    </row>
    <row r="724">
      <c r="C724" s="11"/>
    </row>
    <row r="725">
      <c r="C725" s="11"/>
    </row>
    <row r="726">
      <c r="C726" s="11"/>
    </row>
    <row r="727">
      <c r="C727" s="11"/>
    </row>
    <row r="728">
      <c r="C728" s="11"/>
    </row>
    <row r="729">
      <c r="C729" s="11"/>
    </row>
    <row r="730">
      <c r="C730" s="11"/>
    </row>
    <row r="731">
      <c r="C731" s="11"/>
    </row>
    <row r="732">
      <c r="C732" s="11"/>
    </row>
    <row r="733">
      <c r="C733" s="11"/>
    </row>
    <row r="734">
      <c r="C734" s="11"/>
    </row>
    <row r="735">
      <c r="C735" s="11"/>
    </row>
    <row r="736">
      <c r="C736" s="11"/>
    </row>
    <row r="737">
      <c r="C737" s="11"/>
    </row>
    <row r="738">
      <c r="C738" s="11"/>
    </row>
    <row r="739">
      <c r="C739" s="11"/>
    </row>
    <row r="740">
      <c r="C740" s="11"/>
    </row>
    <row r="741">
      <c r="C741" s="11"/>
    </row>
    <row r="742">
      <c r="C742" s="11"/>
    </row>
    <row r="743">
      <c r="C743" s="11"/>
    </row>
    <row r="744">
      <c r="C744" s="11"/>
    </row>
    <row r="745">
      <c r="C745" s="11"/>
    </row>
    <row r="746">
      <c r="C746" s="11"/>
    </row>
    <row r="747">
      <c r="C747" s="11"/>
    </row>
    <row r="748">
      <c r="C748" s="11"/>
    </row>
    <row r="749">
      <c r="C749" s="11"/>
    </row>
    <row r="750">
      <c r="C750" s="11"/>
    </row>
    <row r="751">
      <c r="C751" s="11"/>
    </row>
    <row r="752">
      <c r="C752" s="11"/>
    </row>
    <row r="753">
      <c r="C753" s="11"/>
    </row>
    <row r="754">
      <c r="C754" s="11"/>
    </row>
    <row r="755">
      <c r="C755" s="11"/>
    </row>
    <row r="756">
      <c r="C756" s="11"/>
    </row>
    <row r="757">
      <c r="C757" s="11"/>
    </row>
    <row r="758">
      <c r="C758" s="11"/>
    </row>
    <row r="759">
      <c r="C759" s="11"/>
    </row>
    <row r="760">
      <c r="C760" s="11"/>
    </row>
    <row r="761">
      <c r="C761" s="11"/>
    </row>
    <row r="762">
      <c r="C762" s="11"/>
    </row>
    <row r="763">
      <c r="C763" s="11"/>
    </row>
    <row r="764">
      <c r="C764" s="11"/>
    </row>
    <row r="765">
      <c r="C765" s="11"/>
    </row>
    <row r="766">
      <c r="C766" s="11"/>
    </row>
    <row r="767">
      <c r="C767" s="11"/>
    </row>
    <row r="768">
      <c r="C768" s="11"/>
    </row>
    <row r="769">
      <c r="C769" s="11"/>
    </row>
    <row r="770">
      <c r="C770" s="11"/>
    </row>
    <row r="771">
      <c r="C771" s="11"/>
    </row>
    <row r="772">
      <c r="C772" s="11"/>
    </row>
    <row r="773">
      <c r="C773" s="11"/>
    </row>
    <row r="774">
      <c r="C774" s="11"/>
    </row>
    <row r="775">
      <c r="C775" s="11"/>
    </row>
    <row r="776">
      <c r="C776" s="11"/>
    </row>
    <row r="777">
      <c r="C777" s="11"/>
    </row>
    <row r="778">
      <c r="C778" s="11"/>
    </row>
    <row r="779">
      <c r="C779" s="11"/>
    </row>
    <row r="780">
      <c r="C780" s="11"/>
    </row>
    <row r="781">
      <c r="C781" s="11"/>
    </row>
    <row r="782">
      <c r="C782" s="11"/>
    </row>
    <row r="783">
      <c r="C783" s="11"/>
    </row>
    <row r="784">
      <c r="C784" s="11"/>
    </row>
    <row r="785">
      <c r="C785" s="11"/>
    </row>
    <row r="786">
      <c r="C786" s="11"/>
    </row>
    <row r="787">
      <c r="C787" s="11"/>
    </row>
    <row r="788">
      <c r="C788" s="11"/>
    </row>
    <row r="789">
      <c r="C789" s="11"/>
    </row>
    <row r="790">
      <c r="C790" s="11"/>
    </row>
    <row r="791">
      <c r="C791" s="11"/>
    </row>
    <row r="792">
      <c r="C792" s="11"/>
    </row>
    <row r="793">
      <c r="C793" s="11"/>
    </row>
    <row r="794">
      <c r="C794" s="11"/>
    </row>
    <row r="795">
      <c r="C795" s="11"/>
    </row>
    <row r="796">
      <c r="C796" s="11"/>
    </row>
    <row r="797">
      <c r="C797" s="11"/>
    </row>
    <row r="798">
      <c r="C798" s="11"/>
    </row>
    <row r="799">
      <c r="C799" s="11"/>
    </row>
    <row r="800">
      <c r="C800" s="11"/>
    </row>
    <row r="801">
      <c r="C801" s="11"/>
    </row>
    <row r="802">
      <c r="C802" s="11"/>
    </row>
    <row r="803">
      <c r="C803" s="11"/>
    </row>
    <row r="804">
      <c r="C804" s="11"/>
    </row>
    <row r="805">
      <c r="C805" s="11"/>
    </row>
    <row r="806">
      <c r="C806" s="11"/>
    </row>
    <row r="807">
      <c r="C807" s="11"/>
    </row>
    <row r="808">
      <c r="C808" s="11"/>
    </row>
    <row r="809">
      <c r="C809" s="11"/>
    </row>
    <row r="810">
      <c r="C810" s="11"/>
    </row>
    <row r="811">
      <c r="C811" s="11"/>
    </row>
    <row r="812">
      <c r="C812" s="11"/>
    </row>
    <row r="813">
      <c r="C813" s="11"/>
    </row>
    <row r="814">
      <c r="C814" s="11"/>
    </row>
    <row r="815">
      <c r="C815" s="11"/>
    </row>
    <row r="816">
      <c r="C816" s="11"/>
    </row>
    <row r="817">
      <c r="C817" s="11"/>
    </row>
    <row r="818">
      <c r="C818" s="11"/>
    </row>
    <row r="819">
      <c r="C819" s="11"/>
    </row>
    <row r="820">
      <c r="C820" s="11"/>
    </row>
    <row r="821">
      <c r="C821" s="11"/>
    </row>
    <row r="822">
      <c r="C822" s="11"/>
    </row>
    <row r="823">
      <c r="C823" s="11"/>
    </row>
    <row r="824">
      <c r="C824" s="11"/>
    </row>
    <row r="825">
      <c r="C825" s="11"/>
    </row>
    <row r="826">
      <c r="C826" s="11"/>
    </row>
    <row r="827">
      <c r="C827" s="11"/>
    </row>
    <row r="828">
      <c r="C828" s="11"/>
    </row>
    <row r="829">
      <c r="C829" s="11"/>
    </row>
    <row r="830">
      <c r="C830" s="11"/>
    </row>
    <row r="831">
      <c r="C831" s="11"/>
    </row>
    <row r="832">
      <c r="C832" s="11"/>
    </row>
    <row r="833">
      <c r="C833" s="11"/>
    </row>
    <row r="834">
      <c r="C834" s="11"/>
    </row>
    <row r="835">
      <c r="C835" s="11"/>
    </row>
    <row r="836">
      <c r="C836" s="11"/>
    </row>
    <row r="837">
      <c r="C837" s="11"/>
    </row>
    <row r="838">
      <c r="C838" s="11"/>
    </row>
    <row r="839">
      <c r="C839" s="11"/>
    </row>
    <row r="840">
      <c r="C840" s="11"/>
    </row>
    <row r="841">
      <c r="C841" s="11"/>
    </row>
    <row r="842">
      <c r="C842" s="11"/>
    </row>
    <row r="843">
      <c r="C843" s="11"/>
    </row>
    <row r="844">
      <c r="C844" s="11"/>
    </row>
    <row r="845">
      <c r="C845" s="11"/>
    </row>
    <row r="846">
      <c r="C846" s="11"/>
    </row>
    <row r="847">
      <c r="C847" s="11"/>
    </row>
    <row r="848">
      <c r="C848" s="11"/>
    </row>
    <row r="849">
      <c r="C849" s="11"/>
    </row>
    <row r="850">
      <c r="C850" s="11"/>
    </row>
    <row r="851">
      <c r="C851" s="11"/>
    </row>
    <row r="852">
      <c r="C852" s="11"/>
    </row>
    <row r="853">
      <c r="C853" s="11"/>
    </row>
    <row r="854">
      <c r="C854" s="11"/>
    </row>
    <row r="855">
      <c r="C855" s="11"/>
    </row>
    <row r="856">
      <c r="C856" s="11"/>
    </row>
    <row r="857">
      <c r="C857" s="11"/>
    </row>
    <row r="858">
      <c r="C858" s="11"/>
    </row>
    <row r="859">
      <c r="C859" s="11"/>
    </row>
    <row r="860">
      <c r="C860" s="11"/>
    </row>
    <row r="861">
      <c r="C861" s="11"/>
    </row>
    <row r="862">
      <c r="C862" s="11"/>
    </row>
    <row r="863">
      <c r="C863" s="11"/>
    </row>
    <row r="864">
      <c r="C864" s="11"/>
    </row>
    <row r="865">
      <c r="C865" s="11"/>
    </row>
    <row r="866">
      <c r="C866" s="11"/>
    </row>
    <row r="867">
      <c r="C867" s="11"/>
    </row>
    <row r="868">
      <c r="C868" s="11"/>
    </row>
    <row r="869">
      <c r="C869" s="11"/>
    </row>
    <row r="870">
      <c r="C870" s="11"/>
    </row>
    <row r="871">
      <c r="C871" s="11"/>
    </row>
    <row r="872">
      <c r="C872" s="11"/>
    </row>
    <row r="873">
      <c r="C873" s="11"/>
    </row>
    <row r="874">
      <c r="C874" s="11"/>
    </row>
    <row r="875">
      <c r="C875" s="11"/>
    </row>
    <row r="876">
      <c r="C876" s="11"/>
    </row>
    <row r="877">
      <c r="C877" s="11"/>
    </row>
    <row r="878">
      <c r="C878" s="11"/>
    </row>
    <row r="879">
      <c r="C879" s="11"/>
    </row>
    <row r="880">
      <c r="C880" s="11"/>
    </row>
    <row r="881">
      <c r="C881" s="11"/>
    </row>
    <row r="882">
      <c r="C882" s="11"/>
    </row>
    <row r="883">
      <c r="C883" s="11"/>
    </row>
    <row r="884">
      <c r="C884" s="11"/>
    </row>
    <row r="885">
      <c r="C885" s="11"/>
    </row>
    <row r="886">
      <c r="C886" s="11"/>
    </row>
    <row r="887">
      <c r="C887" s="11"/>
    </row>
    <row r="888">
      <c r="C888" s="11"/>
    </row>
    <row r="889">
      <c r="C889" s="11"/>
    </row>
    <row r="890">
      <c r="C890" s="11"/>
    </row>
    <row r="891">
      <c r="C891" s="11"/>
    </row>
    <row r="892">
      <c r="C892" s="11"/>
    </row>
    <row r="893">
      <c r="C893" s="11"/>
    </row>
    <row r="894">
      <c r="C894" s="11"/>
    </row>
    <row r="895">
      <c r="C895" s="11"/>
    </row>
    <row r="896">
      <c r="C896" s="11"/>
    </row>
    <row r="897">
      <c r="C897" s="11"/>
    </row>
    <row r="898">
      <c r="C898" s="11"/>
    </row>
    <row r="899">
      <c r="C899" s="11"/>
    </row>
    <row r="900">
      <c r="C900" s="11"/>
    </row>
    <row r="901">
      <c r="C901" s="11"/>
    </row>
    <row r="902">
      <c r="C902" s="11"/>
    </row>
    <row r="903">
      <c r="C903" s="11"/>
    </row>
    <row r="904">
      <c r="C904" s="11"/>
    </row>
    <row r="905">
      <c r="C905" s="11"/>
    </row>
    <row r="906">
      <c r="C906" s="11"/>
    </row>
    <row r="907">
      <c r="C907" s="11"/>
    </row>
    <row r="908">
      <c r="C908" s="11"/>
    </row>
    <row r="909">
      <c r="C909" s="11"/>
    </row>
    <row r="910">
      <c r="C910" s="11"/>
    </row>
    <row r="911">
      <c r="C911" s="11"/>
    </row>
    <row r="912">
      <c r="C912" s="11"/>
    </row>
    <row r="913">
      <c r="C913" s="11"/>
    </row>
    <row r="914">
      <c r="C914" s="11"/>
    </row>
    <row r="915">
      <c r="C915" s="11"/>
    </row>
    <row r="916">
      <c r="C916" s="11"/>
    </row>
    <row r="917">
      <c r="C917" s="11"/>
    </row>
    <row r="918">
      <c r="C918" s="11"/>
    </row>
    <row r="919">
      <c r="C919" s="11"/>
    </row>
    <row r="920">
      <c r="C920" s="11"/>
    </row>
    <row r="921">
      <c r="C921" s="11"/>
    </row>
    <row r="922">
      <c r="C922" s="11"/>
    </row>
    <row r="923">
      <c r="C923" s="11"/>
    </row>
    <row r="924">
      <c r="C924" s="11"/>
    </row>
    <row r="925">
      <c r="C925" s="11"/>
    </row>
    <row r="926">
      <c r="C926" s="11"/>
    </row>
    <row r="927">
      <c r="C927" s="11"/>
    </row>
    <row r="928">
      <c r="C928" s="11"/>
    </row>
    <row r="929">
      <c r="C929" s="11"/>
    </row>
    <row r="930">
      <c r="C930" s="11"/>
    </row>
    <row r="931">
      <c r="C931" s="11"/>
    </row>
    <row r="932">
      <c r="C932" s="11"/>
    </row>
    <row r="933">
      <c r="C933" s="11"/>
    </row>
    <row r="934">
      <c r="C934" s="11"/>
    </row>
    <row r="935">
      <c r="C935" s="11"/>
    </row>
    <row r="936">
      <c r="C936" s="11"/>
    </row>
    <row r="937">
      <c r="C937" s="11"/>
    </row>
    <row r="938">
      <c r="C938" s="11"/>
    </row>
    <row r="939">
      <c r="C939" s="11"/>
    </row>
    <row r="940">
      <c r="C940" s="11"/>
    </row>
    <row r="941">
      <c r="C941" s="11"/>
    </row>
    <row r="942">
      <c r="C942" s="11"/>
    </row>
    <row r="943">
      <c r="C943" s="11"/>
    </row>
    <row r="944">
      <c r="C944" s="11"/>
    </row>
    <row r="945">
      <c r="C945" s="11"/>
    </row>
    <row r="946">
      <c r="C946" s="11"/>
    </row>
    <row r="947">
      <c r="C947" s="11"/>
    </row>
    <row r="948">
      <c r="C948" s="11"/>
    </row>
    <row r="949">
      <c r="C949" s="11"/>
    </row>
    <row r="950">
      <c r="C950" s="11"/>
    </row>
    <row r="951">
      <c r="C951" s="11"/>
    </row>
    <row r="952">
      <c r="C952" s="11"/>
    </row>
    <row r="953">
      <c r="C953" s="11"/>
    </row>
    <row r="954">
      <c r="C954" s="11"/>
    </row>
    <row r="955">
      <c r="C955" s="11"/>
    </row>
    <row r="956">
      <c r="C956" s="11"/>
    </row>
    <row r="957">
      <c r="C957" s="11"/>
    </row>
    <row r="958">
      <c r="C958" s="11"/>
    </row>
    <row r="959">
      <c r="C959" s="11"/>
    </row>
    <row r="960">
      <c r="C960" s="11"/>
    </row>
    <row r="961">
      <c r="C961" s="11"/>
    </row>
    <row r="962">
      <c r="C962" s="11"/>
    </row>
    <row r="963">
      <c r="C963" s="11"/>
    </row>
    <row r="964">
      <c r="C964" s="11"/>
    </row>
    <row r="965">
      <c r="C965" s="11"/>
    </row>
    <row r="966">
      <c r="C966" s="11"/>
    </row>
    <row r="967">
      <c r="C967" s="11"/>
    </row>
    <row r="968">
      <c r="C968" s="11"/>
    </row>
    <row r="969">
      <c r="C969" s="11"/>
    </row>
    <row r="970">
      <c r="C970" s="11"/>
    </row>
    <row r="971">
      <c r="C971" s="11"/>
    </row>
    <row r="972">
      <c r="C972" s="11"/>
    </row>
    <row r="973">
      <c r="C973" s="11"/>
    </row>
    <row r="974">
      <c r="C974" s="11"/>
    </row>
    <row r="975">
      <c r="C975" s="11"/>
    </row>
    <row r="976">
      <c r="C976" s="11"/>
    </row>
    <row r="977">
      <c r="C977" s="11"/>
    </row>
    <row r="978">
      <c r="C978" s="11"/>
    </row>
    <row r="979">
      <c r="C979" s="11"/>
    </row>
    <row r="980">
      <c r="C980" s="11"/>
    </row>
    <row r="981">
      <c r="C981" s="11"/>
    </row>
    <row r="982">
      <c r="C982" s="11"/>
    </row>
    <row r="983">
      <c r="C983" s="11"/>
    </row>
    <row r="984">
      <c r="C984" s="11"/>
    </row>
    <row r="985">
      <c r="C985" s="11"/>
    </row>
    <row r="986">
      <c r="C986" s="11"/>
    </row>
    <row r="987">
      <c r="C987" s="11"/>
    </row>
    <row r="988">
      <c r="C988" s="11"/>
    </row>
    <row r="989">
      <c r="C989" s="11"/>
    </row>
    <row r="990">
      <c r="C990" s="11"/>
    </row>
    <row r="991">
      <c r="C991" s="11"/>
    </row>
    <row r="992">
      <c r="C992" s="11"/>
    </row>
    <row r="993">
      <c r="C993" s="11"/>
    </row>
    <row r="994">
      <c r="C994" s="11"/>
    </row>
    <row r="995">
      <c r="C995" s="11"/>
    </row>
    <row r="996">
      <c r="C996" s="11"/>
    </row>
    <row r="997">
      <c r="C997" s="11"/>
    </row>
    <row r="998">
      <c r="C998" s="11"/>
    </row>
    <row r="999">
      <c r="C999" s="11"/>
    </row>
    <row r="1000">
      <c r="C1000" s="11"/>
    </row>
  </sheetData>
  <drawing r:id="rId1"/>
</worksheet>
</file>