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Park Revenue and Reporting\FY22\FY 22 Park Revenue Reports\Open Records Requests\Request R001808-092721 - Activity 2047\"/>
    </mc:Choice>
  </mc:AlternateContent>
  <xr:revisionPtr revIDLastSave="0" documentId="8_{E0CD3841-777E-4E77-9000-031B6B9EC7E8}" xr6:coauthVersionLast="46" xr6:coauthVersionMax="46" xr10:uidLastSave="{00000000-0000-0000-0000-000000000000}"/>
  <bookViews>
    <workbookView xWindow="-108" yWindow="-108" windowWidth="20376" windowHeight="12216" tabRatio="785" firstSheet="1" activeTab="14" xr2:uid="{00000000-000D-0000-FFFF-FFFF00000000}"/>
  </bookViews>
  <sheets>
    <sheet name="template" sheetId="25" state="hidden" r:id="rId1"/>
    <sheet name="September" sheetId="106" r:id="rId2"/>
    <sheet name="October" sheetId="107" r:id="rId3"/>
    <sheet name="November" sheetId="105" r:id="rId4"/>
    <sheet name="December" sheetId="104" r:id="rId5"/>
    <sheet name="January" sheetId="103" r:id="rId6"/>
    <sheet name="February" sheetId="102" r:id="rId7"/>
    <sheet name="March" sheetId="101" r:id="rId8"/>
    <sheet name="April" sheetId="100" r:id="rId9"/>
    <sheet name="May" sheetId="96" r:id="rId10"/>
    <sheet name="June" sheetId="97" r:id="rId11"/>
    <sheet name="July" sheetId="98" r:id="rId12"/>
    <sheet name="August" sheetId="99" r:id="rId13"/>
    <sheet name="Adj" sheetId="109" r:id="rId14"/>
    <sheet name="YTD" sheetId="108" r:id="rId15"/>
    <sheet name="Current month working copy-Sep" sheetId="132" state="hidden" r:id="rId16"/>
  </sheets>
  <externalReferences>
    <externalReference r:id="rId17"/>
    <externalReference r:id="rId18"/>
  </externalReferences>
  <definedNames>
    <definedName name="_del2">[1]Data!$C$4</definedName>
    <definedName name="_del3" localSheetId="8">#REF!</definedName>
    <definedName name="_del3" localSheetId="12">#REF!</definedName>
    <definedName name="_del3" localSheetId="4">#REF!</definedName>
    <definedName name="_del3" localSheetId="6">#REF!</definedName>
    <definedName name="_del3" localSheetId="5">#REF!</definedName>
    <definedName name="_del3" localSheetId="11">#REF!</definedName>
    <definedName name="_del3" localSheetId="10">#REF!</definedName>
    <definedName name="_del3" localSheetId="7">#REF!</definedName>
    <definedName name="_del3" localSheetId="3">#REF!</definedName>
    <definedName name="_del3" localSheetId="2">#REF!</definedName>
    <definedName name="_del3" localSheetId="1">#REF!</definedName>
    <definedName name="_del3" localSheetId="14">#REF!</definedName>
    <definedName name="_del5" localSheetId="8">#REF!</definedName>
    <definedName name="_del5" localSheetId="12">#REF!</definedName>
    <definedName name="_del5" localSheetId="4">#REF!</definedName>
    <definedName name="_del5" localSheetId="6">#REF!</definedName>
    <definedName name="_del5" localSheetId="5">#REF!</definedName>
    <definedName name="_del5" localSheetId="11">#REF!</definedName>
    <definedName name="_del5" localSheetId="10">#REF!</definedName>
    <definedName name="_del5" localSheetId="7">#REF!</definedName>
    <definedName name="_del5" localSheetId="3">#REF!</definedName>
    <definedName name="_del5" localSheetId="2">#REF!</definedName>
    <definedName name="_del5" localSheetId="1">#REF!</definedName>
    <definedName name="_del5" localSheetId="14">#REF!</definedName>
    <definedName name="_xlnm._FilterDatabase" localSheetId="0" hidden="1">template!$A$5:$BU$121</definedName>
    <definedName name="ert" localSheetId="8">April!$E$7</definedName>
    <definedName name="ert" localSheetId="12">August!$E$7</definedName>
    <definedName name="ert" localSheetId="4">December!$E$7</definedName>
    <definedName name="ert" localSheetId="6">February!$E$7</definedName>
    <definedName name="ert" localSheetId="5">January!$E$7</definedName>
    <definedName name="ert" localSheetId="11">July!$E$6</definedName>
    <definedName name="ert" localSheetId="10">June!$E$7</definedName>
    <definedName name="ert" localSheetId="7">March!$E$7</definedName>
    <definedName name="ert" localSheetId="9">May!$E$7</definedName>
    <definedName name="ert" localSheetId="3">November!$E$7</definedName>
    <definedName name="ert" localSheetId="2">October!$E$7</definedName>
    <definedName name="ert" localSheetId="1">September!$E$7</definedName>
    <definedName name="ert" localSheetId="14">YTD!$E$6</definedName>
    <definedName name="fy04_fy_tot">[1]Summary!$G$13</definedName>
    <definedName name="fy04_ytd_act">[1]Summary!$C$7</definedName>
    <definedName name="fy04_ytd_ent">[1]Summary!$C$8</definedName>
    <definedName name="fy04_ytd_fac">[1]Summary!$C$9</definedName>
    <definedName name="fy04_ytd_misc">[1]Summary!$C$12</definedName>
    <definedName name="fy04_ytd_pass">[1]Summary!$C$10</definedName>
    <definedName name="fy04_ytd_tot">[1]Summary!$C$13</definedName>
    <definedName name="fy05_fy_act">[1]Summary!$H$7</definedName>
    <definedName name="fy05_fy_ent">[1]Summary!$H$8</definedName>
    <definedName name="fy05_fy_fac">[1]Summary!$H$9</definedName>
    <definedName name="fy05_fy_misc">[1]Summary!$H$12</definedName>
    <definedName name="fy05_fy_pass">[1]Summary!$H$10</definedName>
    <definedName name="fy05_fy_tot">[1]Summary!$H$13</definedName>
    <definedName name="fy05_ytd_act">[1]Summary!$D$7</definedName>
    <definedName name="fy05_ytd_ent">[1]Summary!$D$8</definedName>
    <definedName name="fy05_ytd_fac">[1]Summary!$D$9</definedName>
    <definedName name="fy05_ytd_misc">[1]Summary!$D$12</definedName>
    <definedName name="fy05_ytd_pass">[1]Summary!$D$10</definedName>
    <definedName name="fy05_ytd_tot">[1]Summary!$D$13</definedName>
    <definedName name="fy06_fy_act">[1]Summary!$I$7</definedName>
    <definedName name="fy06_fy_ent">[1]Summary!$I$8</definedName>
    <definedName name="fy06_fy_fac">[1]Summary!$I$9</definedName>
    <definedName name="fy06_fy_misc">[1]Summary!$I$12</definedName>
    <definedName name="fy06_fy_pass">[1]Summary!$I$10</definedName>
    <definedName name="fy06_fy_tot">[1]Summary!$I$13</definedName>
    <definedName name="fy06_ytd_act">[1]Summary!$E$7</definedName>
    <definedName name="fy06_ytd_ent">[1]Summary!$E$8</definedName>
    <definedName name="fy06_ytd_fac">[1]Summary!$E$9</definedName>
    <definedName name="fy06_ytd_misc">[1]Summary!$E$12</definedName>
    <definedName name="fy06_ytd_pass">[1]Summary!$E$10</definedName>
    <definedName name="fy06_ytd_tot">[1]Summary!$E$13</definedName>
    <definedName name="fy07_fy_act">[1]Summary!$J$7</definedName>
    <definedName name="fy07_fy_ent">[1]Summary!$J$8</definedName>
    <definedName name="fy07_fy_fac">[1]Summary!$J$9</definedName>
    <definedName name="fy07_fy_misc">[1]Summary!$J$12</definedName>
    <definedName name="fy07_fy_pass">[1]Summary!$J$10</definedName>
    <definedName name="fy07_fy_tot">[1]Summary!$J$13</definedName>
    <definedName name="fy07_ytd_act">[1]Summary!$F$7</definedName>
    <definedName name="fy07_ytd_ent">[1]Summary!$F$8</definedName>
    <definedName name="fy07_ytd_fac">[1]Summary!$F$9</definedName>
    <definedName name="fy07_ytd_misc">[1]Summary!$F$12</definedName>
    <definedName name="fy07_ytd_pass">[1]Summary!$F$10</definedName>
    <definedName name="fy07_ytd_tot">[1]Summary!$F$13</definedName>
    <definedName name="GCRAC06">OFFSET('[2]4-YTD Totals'!$C$18,0,0,1,COUNT('[2]4-YTD Totals'!$C$18:$N$18))</definedName>
    <definedName name="GCRAC07">OFFSET('[2]4-YTD Totals'!$C$8,0,0,1,COUNT('[2]4-YTD Totals'!$C$8:$N$8))</definedName>
    <definedName name="GCRE06">OFFSET('[2]4-YTD Totals'!$C$19,0,0,1,COUNT('[2]4-YTD Totals'!$C$19:$N$19))</definedName>
    <definedName name="GCRE07">OFFSET('[2]4-YTD Totals'!$C$9,0,0,1,COUNT('[2]4-YTD Totals'!$C$9:$N$9))</definedName>
    <definedName name="GCRF06">OFFSET('[2]4-YTD Totals'!$C$20,0,0,1,COUNT('[2]4-YTD Totals'!$C$20:$N$20))</definedName>
    <definedName name="GCRF07">OFFSET('[2]4-YTD Totals'!$C$10,0,0,1,COUNT('[2]4-YTD Totals'!$C$10:$N$10))</definedName>
    <definedName name="GCRMD06">OFFSET('[2]4-YTD Totals'!$C$23,0,0,1,COUNT('[2]4-YTD Totals'!$C$23:$N$23))</definedName>
    <definedName name="GCRMD07">OFFSET('[2]4-YTD Totals'!$C$13,0,0,1,COUNT('[2]4-YTD Totals'!$C$13:$N$13))</definedName>
    <definedName name="GCRPP06">OFFSET('[2]4-YTD Totals'!$C$21,0,0,1,COUNT('[2]4-YTD Totals'!$C$21:$N$21))</definedName>
    <definedName name="GCRPP07">OFFSET('[2]4-YTD Totals'!$C$11,0,0,1,COUNT('[2]4-YTD Totals'!$C$11:$N$11))</definedName>
    <definedName name="GCRYTD06">OFFSET('[2]4-YTD Totals'!$C$24,0,0,1,COUNT('[2]4-YTD Totals'!$C$24:$N$24))</definedName>
    <definedName name="GCRYTD07">OFFSET('[2]4-YTD Totals'!$C$14,0,0,1,COUNT('[2]4-YTD Totals'!$C$14:$N$14))</definedName>
    <definedName name="graph_YTD_activities">'[2]5-YTD Graphs'!$A$22</definedName>
    <definedName name="graph_ytd_entrance">'[2]5-YTD Graphs'!$A$39</definedName>
    <definedName name="graph_ytd_facilities">'[2]5-YTD Graphs'!$A$65</definedName>
    <definedName name="graph_ytd_Misc">'[2]5-YTD Graphs'!$A$84</definedName>
    <definedName name="Graph_YTD_Total">'[2]5-YTD Graphs'!$A5</definedName>
    <definedName name="graph_ytd_TSPP">'[2]5-YTD Graphs'!$A$99</definedName>
    <definedName name="link_month_rpt" localSheetId="8">#REF!</definedName>
    <definedName name="link_month_rpt" localSheetId="12">#REF!</definedName>
    <definedName name="link_month_rpt" localSheetId="4">#REF!</definedName>
    <definedName name="link_month_rpt" localSheetId="6">#REF!</definedName>
    <definedName name="link_month_rpt" localSheetId="5">#REF!</definedName>
    <definedName name="link_month_rpt" localSheetId="11">#REF!</definedName>
    <definedName name="link_month_rpt" localSheetId="10">#REF!</definedName>
    <definedName name="link_month_rpt" localSheetId="7">#REF!</definedName>
    <definedName name="link_month_rpt" localSheetId="3">#REF!</definedName>
    <definedName name="link_month_rpt" localSheetId="2">#REF!</definedName>
    <definedName name="link_month_rpt" localSheetId="1">#REF!</definedName>
    <definedName name="link_month_rpt" localSheetId="14">#REF!</definedName>
    <definedName name="octnew" localSheetId="8">#REF!</definedName>
    <definedName name="octnew" localSheetId="12">#REF!</definedName>
    <definedName name="octnew" localSheetId="4">#REF!</definedName>
    <definedName name="octnew" localSheetId="6">#REF!</definedName>
    <definedName name="octnew" localSheetId="5">#REF!</definedName>
    <definedName name="octnew" localSheetId="11">#REF!</definedName>
    <definedName name="octnew" localSheetId="10">#REF!</definedName>
    <definedName name="octnew" localSheetId="7">#REF!</definedName>
    <definedName name="octnew" localSheetId="3">#REF!</definedName>
    <definedName name="octnew" localSheetId="2">#REF!</definedName>
    <definedName name="octnew" localSheetId="1">#REF!</definedName>
    <definedName name="octnew" localSheetId="14">#REF!</definedName>
    <definedName name="octnew1" localSheetId="8">#REF!</definedName>
    <definedName name="octnew1" localSheetId="12">#REF!</definedName>
    <definedName name="octnew1" localSheetId="4">#REF!</definedName>
    <definedName name="octnew1" localSheetId="6">#REF!</definedName>
    <definedName name="octnew1" localSheetId="5">#REF!</definedName>
    <definedName name="octnew1" localSheetId="11">#REF!</definedName>
    <definedName name="octnew1" localSheetId="10">#REF!</definedName>
    <definedName name="octnew1" localSheetId="7">#REF!</definedName>
    <definedName name="octnew1" localSheetId="3">#REF!</definedName>
    <definedName name="octnew1" localSheetId="2">#REF!</definedName>
    <definedName name="octnew1" localSheetId="1">#REF!</definedName>
    <definedName name="octnew1" localSheetId="14">#REF!</definedName>
    <definedName name="parksummary" localSheetId="8">#REF!</definedName>
    <definedName name="parksummary" localSheetId="12">#REF!</definedName>
    <definedName name="parksummary" localSheetId="4">#REF!</definedName>
    <definedName name="parksummary" localSheetId="6">#REF!</definedName>
    <definedName name="parksummary" localSheetId="5">#REF!</definedName>
    <definedName name="parksummary" localSheetId="11">#REF!</definedName>
    <definedName name="parksummary" localSheetId="10">#REF!</definedName>
    <definedName name="parksummary" localSheetId="7">#REF!</definedName>
    <definedName name="parksummary" localSheetId="3">#REF!</definedName>
    <definedName name="parksummary" localSheetId="2">#REF!</definedName>
    <definedName name="parksummary" localSheetId="1">#REF!</definedName>
    <definedName name="parksummary" localSheetId="14">#REF!</definedName>
    <definedName name="_xlnm.Print_Area" localSheetId="1">September!$Z$68</definedName>
    <definedName name="_xlnm.Print_Area" localSheetId="0">template!$A$1:$W$121</definedName>
    <definedName name="_xlnm.Print_Titles" localSheetId="8">April!$1:$5</definedName>
    <definedName name="_xlnm.Print_Titles" localSheetId="12">August!$1:$5</definedName>
    <definedName name="_xlnm.Print_Titles" localSheetId="4">December!$1:$5</definedName>
    <definedName name="_xlnm.Print_Titles" localSheetId="6">February!$1:$5</definedName>
    <definedName name="_xlnm.Print_Titles" localSheetId="5">January!$1:$5</definedName>
    <definedName name="_xlnm.Print_Titles" localSheetId="11">July!$1:$5</definedName>
    <definedName name="_xlnm.Print_Titles" localSheetId="10">June!$1:$5</definedName>
    <definedName name="_xlnm.Print_Titles" localSheetId="7">March!$1:$5</definedName>
    <definedName name="_xlnm.Print_Titles" localSheetId="9">May!$1:$5</definedName>
    <definedName name="_xlnm.Print_Titles" localSheetId="3">November!$1:$5</definedName>
    <definedName name="_xlnm.Print_Titles" localSheetId="2">October!$1:$5</definedName>
    <definedName name="_xlnm.Print_Titles" localSheetId="1">September!$1:$5</definedName>
    <definedName name="_xlnm.Print_Titles" localSheetId="0">template!$1:$5</definedName>
    <definedName name="_xlnm.Print_Titles" localSheetId="14">YTD!$1:$5</definedName>
    <definedName name="sd" localSheetId="8">#REF!</definedName>
    <definedName name="sd" localSheetId="12">#REF!</definedName>
    <definedName name="sd" localSheetId="4">#REF!</definedName>
    <definedName name="sd" localSheetId="6">#REF!</definedName>
    <definedName name="sd" localSheetId="5">#REF!</definedName>
    <definedName name="sd" localSheetId="11">#REF!</definedName>
    <definedName name="sd" localSheetId="10">#REF!</definedName>
    <definedName name="sd" localSheetId="7">#REF!</definedName>
    <definedName name="sd" localSheetId="3">#REF!</definedName>
    <definedName name="sd" localSheetId="2">#REF!</definedName>
    <definedName name="sd" localSheetId="1">#REF!</definedName>
    <definedName name="sd" localSheetId="14">#REF!</definedName>
    <definedName name="sdfs" localSheetId="8">#REF!</definedName>
    <definedName name="sdfs" localSheetId="12">#REF!</definedName>
    <definedName name="sdfs" localSheetId="4">#REF!</definedName>
    <definedName name="sdfs" localSheetId="6">#REF!</definedName>
    <definedName name="sdfs" localSheetId="5">#REF!</definedName>
    <definedName name="sdfs" localSheetId="11">#REF!</definedName>
    <definedName name="sdfs" localSheetId="10">#REF!</definedName>
    <definedName name="sdfs" localSheetId="7">#REF!</definedName>
    <definedName name="sdfs" localSheetId="3">#REF!</definedName>
    <definedName name="sdfs" localSheetId="2">#REF!</definedName>
    <definedName name="sdfs" localSheetId="1">#REF!</definedName>
    <definedName name="sdfs" localSheetId="14">#REF!</definedName>
    <definedName name="sort" localSheetId="8">#REF!</definedName>
    <definedName name="sort" localSheetId="12">#REF!</definedName>
    <definedName name="sort" localSheetId="4">#REF!</definedName>
    <definedName name="sort" localSheetId="6">#REF!</definedName>
    <definedName name="sort" localSheetId="5">#REF!</definedName>
    <definedName name="sort" localSheetId="11">#REF!</definedName>
    <definedName name="sort" localSheetId="10">#REF!</definedName>
    <definedName name="sort" localSheetId="7">#REF!</definedName>
    <definedName name="sort" localSheetId="3">#REF!</definedName>
    <definedName name="sort" localSheetId="2">#REF!</definedName>
    <definedName name="sort" localSheetId="1">#REF!</definedName>
    <definedName name="sort" localSheetId="14">#REF!</definedName>
    <definedName name="ytd_date_cy" localSheetId="8">#REF!</definedName>
    <definedName name="ytd_date_cy" localSheetId="12">#REF!</definedName>
    <definedName name="ytd_date_cy" localSheetId="4">#REF!</definedName>
    <definedName name="ytd_date_cy" localSheetId="6">#REF!</definedName>
    <definedName name="ytd_date_cy" localSheetId="5">#REF!</definedName>
    <definedName name="ytd_date_cy" localSheetId="11">#REF!</definedName>
    <definedName name="ytd_date_cy" localSheetId="10">#REF!</definedName>
    <definedName name="ytd_date_cy" localSheetId="7">#REF!</definedName>
    <definedName name="ytd_date_cy" localSheetId="3">#REF!</definedName>
    <definedName name="ytd_date_cy" localSheetId="2">#REF!</definedName>
    <definedName name="ytd_date_cy" localSheetId="1">#REF!</definedName>
    <definedName name="ytd_date_cy" localSheetId="14">#REF!</definedName>
    <definedName name="ytd_date_py" localSheetId="8">#REF!</definedName>
    <definedName name="ytd_date_py" localSheetId="12">#REF!</definedName>
    <definedName name="ytd_date_py" localSheetId="4">#REF!</definedName>
    <definedName name="ytd_date_py" localSheetId="6">#REF!</definedName>
    <definedName name="ytd_date_py" localSheetId="5">#REF!</definedName>
    <definedName name="ytd_date_py" localSheetId="11">#REF!</definedName>
    <definedName name="ytd_date_py" localSheetId="10">#REF!</definedName>
    <definedName name="ytd_date_py" localSheetId="7">#REF!</definedName>
    <definedName name="ytd_date_py" localSheetId="3">#REF!</definedName>
    <definedName name="ytd_date_py" localSheetId="2">#REF!</definedName>
    <definedName name="ytd_date_py" localSheetId="1">#REF!</definedName>
    <definedName name="ytd_date_py" localSheetId="14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2" i="99" l="1"/>
  <c r="W50" i="99" l="1"/>
  <c r="W67" i="99" l="1"/>
  <c r="W56" i="99"/>
  <c r="W35" i="99" l="1"/>
  <c r="W65" i="99" l="1"/>
  <c r="Y38" i="99" l="1"/>
  <c r="X38" i="99"/>
  <c r="V84" i="98" l="1"/>
  <c r="Y7" i="109" l="1"/>
  <c r="Y8" i="109"/>
  <c r="X8" i="109"/>
  <c r="X7" i="109"/>
  <c r="W35" i="98"/>
  <c r="W65" i="98" l="1"/>
  <c r="W56" i="98" l="1"/>
  <c r="W102" i="98" l="1"/>
  <c r="W50" i="98" l="1"/>
  <c r="V91" i="98" l="1"/>
  <c r="V92" i="98"/>
  <c r="V93" i="98"/>
  <c r="V94" i="98"/>
  <c r="V95" i="98"/>
  <c r="V96" i="98"/>
  <c r="V97" i="98"/>
  <c r="V98" i="98"/>
  <c r="V99" i="98"/>
  <c r="V100" i="98"/>
  <c r="V101" i="98"/>
  <c r="V102" i="98"/>
  <c r="V90" i="98"/>
  <c r="AA58" i="97" l="1"/>
  <c r="AA59" i="97"/>
  <c r="AA60" i="97"/>
  <c r="AA61" i="97"/>
  <c r="AA62" i="97"/>
  <c r="AA63" i="97"/>
  <c r="AA64" i="97"/>
  <c r="AA65" i="97"/>
  <c r="AA66" i="97"/>
  <c r="AA67" i="97"/>
  <c r="AA68" i="97"/>
  <c r="AA69" i="97"/>
  <c r="AA70" i="97"/>
  <c r="AA71" i="97"/>
  <c r="Y48" i="97" l="1"/>
  <c r="X48" i="97"/>
  <c r="W50" i="97" l="1"/>
  <c r="W56" i="97" l="1"/>
  <c r="W67" i="97"/>
  <c r="U70" i="108"/>
  <c r="T70" i="108"/>
  <c r="S70" i="108"/>
  <c r="R70" i="108"/>
  <c r="Q70" i="108"/>
  <c r="P70" i="108"/>
  <c r="O70" i="108"/>
  <c r="N70" i="108"/>
  <c r="M70" i="108"/>
  <c r="H47" i="97"/>
  <c r="H103" i="97"/>
  <c r="H42" i="97"/>
  <c r="W35" i="97" l="1"/>
  <c r="W102" i="97"/>
  <c r="V57" i="97" l="1"/>
  <c r="V58" i="97"/>
  <c r="V59" i="97"/>
  <c r="V60" i="97"/>
  <c r="V61" i="97"/>
  <c r="V62" i="97"/>
  <c r="V63" i="97"/>
  <c r="V64" i="97"/>
  <c r="V65" i="97"/>
  <c r="V66" i="97"/>
  <c r="V67" i="97"/>
  <c r="V68" i="97"/>
  <c r="V69" i="97"/>
  <c r="V70" i="97"/>
  <c r="V71" i="97"/>
  <c r="M58" i="108" l="1"/>
  <c r="N58" i="108"/>
  <c r="O58" i="108"/>
  <c r="P58" i="108"/>
  <c r="Q58" i="108"/>
  <c r="R58" i="108"/>
  <c r="S58" i="108"/>
  <c r="T58" i="108"/>
  <c r="U58" i="108"/>
  <c r="W56" i="96" l="1"/>
  <c r="W102" i="96"/>
  <c r="W35" i="96" l="1"/>
  <c r="W50" i="96" l="1"/>
  <c r="AA58" i="96" l="1"/>
  <c r="AA59" i="96"/>
  <c r="M23" i="96"/>
  <c r="N23" i="96"/>
  <c r="O23" i="96"/>
  <c r="P23" i="96"/>
  <c r="Q23" i="96"/>
  <c r="R23" i="96"/>
  <c r="S23" i="96"/>
  <c r="T23" i="96"/>
  <c r="W102" i="100" l="1"/>
  <c r="M37" i="100" l="1"/>
  <c r="N37" i="100"/>
  <c r="O37" i="100"/>
  <c r="P37" i="100"/>
  <c r="Q37" i="100"/>
  <c r="R37" i="100"/>
  <c r="S37" i="100"/>
  <c r="T37" i="100"/>
  <c r="W56" i="100" l="1"/>
  <c r="W35" i="100"/>
  <c r="W50" i="100" l="1"/>
  <c r="V57" i="101" l="1"/>
  <c r="V58" i="101"/>
  <c r="V59" i="101"/>
  <c r="V60" i="101"/>
  <c r="V61" i="101"/>
  <c r="V62" i="101"/>
  <c r="V63" i="101"/>
  <c r="V64" i="101"/>
  <c r="V65" i="101"/>
  <c r="V66" i="101"/>
  <c r="V67" i="101"/>
  <c r="V68" i="101"/>
  <c r="V69" i="101"/>
  <c r="V70" i="101"/>
  <c r="V71" i="101"/>
  <c r="V56" i="101"/>
  <c r="W56" i="101" l="1"/>
  <c r="W102" i="101"/>
  <c r="W35" i="101" l="1"/>
  <c r="W50" i="101" l="1"/>
  <c r="C57" i="108" l="1"/>
  <c r="D57" i="108"/>
  <c r="E57" i="108"/>
  <c r="F57" i="108"/>
  <c r="G57" i="108"/>
  <c r="H57" i="108"/>
  <c r="I57" i="108"/>
  <c r="J57" i="108"/>
  <c r="K57" i="108"/>
  <c r="C58" i="108"/>
  <c r="D58" i="108"/>
  <c r="E58" i="108"/>
  <c r="F58" i="108"/>
  <c r="G58" i="108"/>
  <c r="H58" i="108"/>
  <c r="I58" i="108"/>
  <c r="J58" i="108"/>
  <c r="K58" i="108"/>
  <c r="C59" i="108"/>
  <c r="D59" i="108"/>
  <c r="E59" i="108"/>
  <c r="F59" i="108"/>
  <c r="G59" i="108"/>
  <c r="H59" i="108"/>
  <c r="I59" i="108"/>
  <c r="J59" i="108"/>
  <c r="K59" i="108"/>
  <c r="C60" i="108"/>
  <c r="D60" i="108"/>
  <c r="E60" i="108"/>
  <c r="F60" i="108"/>
  <c r="G60" i="108"/>
  <c r="H60" i="108"/>
  <c r="I60" i="108"/>
  <c r="J60" i="108"/>
  <c r="K60" i="108"/>
  <c r="C61" i="108"/>
  <c r="D61" i="108"/>
  <c r="E61" i="108"/>
  <c r="F61" i="108"/>
  <c r="G61" i="108"/>
  <c r="H61" i="108"/>
  <c r="I61" i="108"/>
  <c r="J61" i="108"/>
  <c r="K61" i="108"/>
  <c r="C62" i="108"/>
  <c r="D62" i="108"/>
  <c r="E62" i="108"/>
  <c r="F62" i="108"/>
  <c r="G62" i="108"/>
  <c r="H62" i="108"/>
  <c r="I62" i="108"/>
  <c r="J62" i="108"/>
  <c r="K62" i="108"/>
  <c r="C63" i="108"/>
  <c r="D63" i="108"/>
  <c r="E63" i="108"/>
  <c r="F63" i="108"/>
  <c r="G63" i="108"/>
  <c r="H63" i="108"/>
  <c r="I63" i="108"/>
  <c r="J63" i="108"/>
  <c r="K63" i="108"/>
  <c r="C64" i="108"/>
  <c r="D64" i="108"/>
  <c r="E64" i="108"/>
  <c r="F64" i="108"/>
  <c r="G64" i="108"/>
  <c r="H64" i="108"/>
  <c r="I64" i="108"/>
  <c r="J64" i="108"/>
  <c r="K64" i="108"/>
  <c r="C65" i="108"/>
  <c r="D65" i="108"/>
  <c r="E65" i="108"/>
  <c r="F65" i="108"/>
  <c r="G65" i="108"/>
  <c r="H65" i="108"/>
  <c r="I65" i="108"/>
  <c r="J65" i="108"/>
  <c r="K65" i="108"/>
  <c r="C66" i="108"/>
  <c r="D66" i="108"/>
  <c r="E66" i="108"/>
  <c r="F66" i="108"/>
  <c r="G66" i="108"/>
  <c r="H66" i="108"/>
  <c r="I66" i="108"/>
  <c r="J66" i="108"/>
  <c r="K66" i="108"/>
  <c r="C67" i="108"/>
  <c r="D67" i="108"/>
  <c r="E67" i="108"/>
  <c r="F67" i="108"/>
  <c r="G67" i="108"/>
  <c r="H67" i="108"/>
  <c r="I67" i="108"/>
  <c r="J67" i="108"/>
  <c r="K67" i="108"/>
  <c r="C68" i="108"/>
  <c r="D68" i="108"/>
  <c r="E68" i="108"/>
  <c r="F68" i="108"/>
  <c r="G68" i="108"/>
  <c r="H68" i="108"/>
  <c r="I68" i="108"/>
  <c r="J68" i="108"/>
  <c r="K68" i="108"/>
  <c r="C69" i="108"/>
  <c r="D69" i="108"/>
  <c r="E69" i="108"/>
  <c r="F69" i="108"/>
  <c r="G69" i="108"/>
  <c r="H69" i="108"/>
  <c r="I69" i="108"/>
  <c r="J69" i="108"/>
  <c r="K69" i="108"/>
  <c r="C70" i="108"/>
  <c r="D70" i="108"/>
  <c r="E70" i="108"/>
  <c r="F70" i="108"/>
  <c r="G70" i="108"/>
  <c r="H70" i="108"/>
  <c r="I70" i="108"/>
  <c r="J70" i="108"/>
  <c r="K70" i="108"/>
  <c r="C71" i="108"/>
  <c r="D71" i="108"/>
  <c r="E71" i="108"/>
  <c r="F71" i="108"/>
  <c r="G71" i="108"/>
  <c r="H71" i="108"/>
  <c r="I71" i="108"/>
  <c r="J71" i="108"/>
  <c r="K71" i="108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58" i="102"/>
  <c r="AA91" i="102" l="1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W56" i="102"/>
  <c r="Y48" i="102"/>
  <c r="X48" i="102"/>
  <c r="W102" i="102"/>
  <c r="W35" i="102" l="1"/>
  <c r="W65" i="102" l="1"/>
  <c r="W50" i="102"/>
  <c r="E56" i="102" l="1"/>
  <c r="D56" i="102"/>
  <c r="L57" i="102" l="1"/>
  <c r="L58" i="102"/>
  <c r="L59" i="102"/>
  <c r="L60" i="102"/>
  <c r="L61" i="102"/>
  <c r="L62" i="102"/>
  <c r="L63" i="102"/>
  <c r="L64" i="102"/>
  <c r="L65" i="102"/>
  <c r="L66" i="102"/>
  <c r="L67" i="102"/>
  <c r="L68" i="102"/>
  <c r="L69" i="102"/>
  <c r="L70" i="102"/>
  <c r="L71" i="102"/>
  <c r="M37" i="102" l="1"/>
  <c r="N37" i="102"/>
  <c r="O37" i="102"/>
  <c r="P37" i="102"/>
  <c r="Q37" i="102"/>
  <c r="R37" i="102"/>
  <c r="S37" i="102"/>
  <c r="T37" i="102"/>
  <c r="U37" i="102"/>
  <c r="Y42" i="103" l="1"/>
  <c r="X42" i="103"/>
  <c r="W56" i="103"/>
  <c r="W102" i="103"/>
  <c r="W65" i="103" l="1"/>
  <c r="W50" i="103" l="1"/>
  <c r="W35" i="103" l="1"/>
  <c r="W35" i="104" l="1"/>
  <c r="W102" i="104"/>
  <c r="W56" i="104" l="1"/>
  <c r="W50" i="104"/>
  <c r="V52" i="104" l="1"/>
  <c r="V53" i="104"/>
  <c r="V54" i="104"/>
  <c r="V39" i="104"/>
  <c r="V40" i="104"/>
  <c r="V41" i="104"/>
  <c r="V42" i="104"/>
  <c r="V43" i="104"/>
  <c r="V44" i="104"/>
  <c r="V45" i="104"/>
  <c r="V46" i="104"/>
  <c r="V47" i="104"/>
  <c r="V48" i="104"/>
  <c r="V49" i="104"/>
  <c r="V50" i="104"/>
  <c r="V51" i="104"/>
  <c r="V38" i="104"/>
  <c r="W50" i="105" l="1"/>
  <c r="W102" i="105" l="1"/>
  <c r="Y42" i="105" l="1"/>
  <c r="X42" i="105"/>
  <c r="W35" i="105" l="1"/>
  <c r="W56" i="105" l="1"/>
  <c r="W65" i="105" l="1"/>
  <c r="V57" i="105" l="1"/>
  <c r="V58" i="105"/>
  <c r="V59" i="105"/>
  <c r="V60" i="105"/>
  <c r="V61" i="105"/>
  <c r="V62" i="105"/>
  <c r="V63" i="105"/>
  <c r="V64" i="105"/>
  <c r="V65" i="105"/>
  <c r="V66" i="105"/>
  <c r="V67" i="105"/>
  <c r="V68" i="105"/>
  <c r="V69" i="105"/>
  <c r="V70" i="105"/>
  <c r="V56" i="105"/>
  <c r="L57" i="105"/>
  <c r="L58" i="105"/>
  <c r="L59" i="105"/>
  <c r="L60" i="105"/>
  <c r="L61" i="105"/>
  <c r="L62" i="105"/>
  <c r="L63" i="105"/>
  <c r="L64" i="105"/>
  <c r="L65" i="105"/>
  <c r="L66" i="105"/>
  <c r="L67" i="105"/>
  <c r="L68" i="105"/>
  <c r="L69" i="105"/>
  <c r="L70" i="105"/>
  <c r="L71" i="105"/>
  <c r="L25" i="105"/>
  <c r="L26" i="105"/>
  <c r="L27" i="105"/>
  <c r="L28" i="105"/>
  <c r="L29" i="105"/>
  <c r="L30" i="105"/>
  <c r="L31" i="105"/>
  <c r="L32" i="105"/>
  <c r="L33" i="105"/>
  <c r="L34" i="105"/>
  <c r="L35" i="105"/>
  <c r="L36" i="105"/>
  <c r="M37" i="107" l="1"/>
  <c r="N37" i="107"/>
  <c r="O37" i="107"/>
  <c r="P37" i="107"/>
  <c r="L104" i="107" l="1"/>
  <c r="L105" i="107"/>
  <c r="L58" i="107" l="1"/>
  <c r="L59" i="107"/>
  <c r="L60" i="107"/>
  <c r="L61" i="107"/>
  <c r="L62" i="107"/>
  <c r="W56" i="107" l="1"/>
  <c r="W67" i="107"/>
  <c r="W102" i="107" l="1"/>
  <c r="W35" i="107" l="1"/>
  <c r="W65" i="107" l="1"/>
  <c r="L32" i="106" l="1"/>
  <c r="L33" i="106"/>
  <c r="L34" i="106"/>
  <c r="L35" i="106"/>
  <c r="L36" i="106"/>
  <c r="L39" i="106"/>
  <c r="L40" i="106"/>
  <c r="L41" i="106"/>
  <c r="L42" i="106"/>
  <c r="L43" i="106"/>
  <c r="L44" i="106"/>
  <c r="L45" i="106"/>
  <c r="L46" i="106"/>
  <c r="L47" i="106"/>
  <c r="L48" i="106"/>
  <c r="L49" i="106"/>
  <c r="L50" i="106"/>
  <c r="L51" i="106"/>
  <c r="L52" i="106"/>
  <c r="L53" i="106"/>
  <c r="L54" i="106"/>
  <c r="L38" i="106"/>
  <c r="W102" i="106" l="1"/>
  <c r="W50" i="106" l="1"/>
  <c r="L25" i="106" l="1"/>
  <c r="L26" i="106"/>
  <c r="L27" i="106"/>
  <c r="L28" i="106"/>
  <c r="L29" i="106"/>
  <c r="L30" i="106"/>
  <c r="L31" i="106"/>
  <c r="L24" i="106"/>
  <c r="L57" i="106"/>
  <c r="L58" i="106"/>
  <c r="L59" i="106"/>
  <c r="L60" i="106"/>
  <c r="L61" i="106"/>
  <c r="L62" i="106"/>
  <c r="L63" i="106"/>
  <c r="L64" i="106"/>
  <c r="L65" i="106"/>
  <c r="L66" i="106"/>
  <c r="L67" i="106"/>
  <c r="L68" i="106"/>
  <c r="L69" i="106"/>
  <c r="L70" i="106"/>
  <c r="W67" i="106" l="1"/>
  <c r="V10" i="106" l="1"/>
  <c r="AA10" i="106"/>
  <c r="W35" i="106" l="1"/>
  <c r="W65" i="106"/>
  <c r="V6" i="102" l="1"/>
  <c r="V7" i="102"/>
  <c r="V8" i="102"/>
  <c r="S9" i="108" l="1"/>
  <c r="V57" i="104" l="1"/>
  <c r="V58" i="104"/>
  <c r="V59" i="104"/>
  <c r="V60" i="104"/>
  <c r="V61" i="104"/>
  <c r="V62" i="104"/>
  <c r="V63" i="104"/>
  <c r="V64" i="104"/>
  <c r="V65" i="104"/>
  <c r="V66" i="104"/>
  <c r="V67" i="104"/>
  <c r="V68" i="104"/>
  <c r="V69" i="104"/>
  <c r="V70" i="104"/>
  <c r="V71" i="104"/>
  <c r="V25" i="104"/>
  <c r="V26" i="104"/>
  <c r="V27" i="104"/>
  <c r="V28" i="104"/>
  <c r="V29" i="104"/>
  <c r="V30" i="104"/>
  <c r="V31" i="104"/>
  <c r="V32" i="104"/>
  <c r="V33" i="104"/>
  <c r="V34" i="104"/>
  <c r="V35" i="104"/>
  <c r="V36" i="104"/>
  <c r="V7" i="104"/>
  <c r="V8" i="104"/>
  <c r="V9" i="104"/>
  <c r="V10" i="104"/>
  <c r="V11" i="104"/>
  <c r="V12" i="104"/>
  <c r="V13" i="104"/>
  <c r="V14" i="104"/>
  <c r="V15" i="104"/>
  <c r="V16" i="104"/>
  <c r="V17" i="104"/>
  <c r="V18" i="104"/>
  <c r="V19" i="104"/>
  <c r="V20" i="104"/>
  <c r="V21" i="104"/>
  <c r="V22" i="104"/>
  <c r="V73" i="105" l="1"/>
  <c r="V74" i="105"/>
  <c r="V75" i="105"/>
  <c r="V76" i="105"/>
  <c r="V77" i="105"/>
  <c r="V78" i="105"/>
  <c r="V79" i="105"/>
  <c r="V80" i="105"/>
  <c r="V81" i="105"/>
  <c r="V82" i="105"/>
  <c r="V83" i="105"/>
  <c r="V84" i="105"/>
  <c r="V85" i="105"/>
  <c r="V86" i="105"/>
  <c r="V87" i="105"/>
  <c r="V88" i="105"/>
  <c r="V89" i="105" l="1"/>
  <c r="L33" i="100" l="1"/>
  <c r="L34" i="100"/>
  <c r="L35" i="100"/>
  <c r="L36" i="100"/>
  <c r="V56" i="104"/>
  <c r="L73" i="105"/>
  <c r="V39" i="107" l="1"/>
  <c r="V40" i="107"/>
  <c r="V41" i="107"/>
  <c r="V42" i="107"/>
  <c r="V43" i="107"/>
  <c r="V44" i="107"/>
  <c r="V45" i="107"/>
  <c r="V46" i="107"/>
  <c r="V47" i="107"/>
  <c r="V48" i="107"/>
  <c r="V49" i="107"/>
  <c r="V50" i="107"/>
  <c r="V51" i="107"/>
  <c r="V52" i="107"/>
  <c r="V53" i="107"/>
  <c r="V54" i="107"/>
  <c r="V57" i="107"/>
  <c r="V58" i="107"/>
  <c r="V59" i="107"/>
  <c r="V60" i="107"/>
  <c r="V61" i="107"/>
  <c r="V62" i="107"/>
  <c r="V63" i="107"/>
  <c r="V64" i="107"/>
  <c r="V65" i="107"/>
  <c r="V66" i="107"/>
  <c r="V67" i="107"/>
  <c r="V68" i="107"/>
  <c r="V69" i="107"/>
  <c r="V70" i="107"/>
  <c r="V71" i="107"/>
  <c r="V74" i="107"/>
  <c r="V75" i="107"/>
  <c r="V76" i="107"/>
  <c r="V77" i="107"/>
  <c r="V78" i="107"/>
  <c r="V79" i="107"/>
  <c r="V80" i="107"/>
  <c r="V81" i="107"/>
  <c r="V82" i="107"/>
  <c r="V83" i="107"/>
  <c r="V84" i="107"/>
  <c r="V85" i="107"/>
  <c r="V86" i="107"/>
  <c r="V87" i="107"/>
  <c r="V88" i="107"/>
  <c r="V91" i="107"/>
  <c r="V92" i="107"/>
  <c r="V93" i="107"/>
  <c r="V94" i="107"/>
  <c r="V95" i="107"/>
  <c r="V96" i="107"/>
  <c r="V97" i="107"/>
  <c r="V98" i="107"/>
  <c r="V99" i="107"/>
  <c r="V100" i="107"/>
  <c r="V101" i="107"/>
  <c r="V102" i="107"/>
  <c r="V103" i="107"/>
  <c r="V104" i="107"/>
  <c r="V105" i="107"/>
  <c r="V57" i="106" l="1"/>
  <c r="V58" i="106"/>
  <c r="V59" i="106"/>
  <c r="V60" i="106"/>
  <c r="V61" i="106"/>
  <c r="V62" i="106"/>
  <c r="V63" i="106"/>
  <c r="V64" i="106"/>
  <c r="V65" i="106"/>
  <c r="V66" i="106"/>
  <c r="V67" i="106"/>
  <c r="V68" i="106"/>
  <c r="V69" i="106"/>
  <c r="V70" i="106"/>
  <c r="V71" i="106"/>
  <c r="V56" i="106"/>
  <c r="V39" i="106"/>
  <c r="V40" i="106"/>
  <c r="V41" i="106"/>
  <c r="V42" i="106"/>
  <c r="V43" i="106"/>
  <c r="V44" i="106"/>
  <c r="V45" i="106"/>
  <c r="V46" i="106"/>
  <c r="V47" i="106"/>
  <c r="V48" i="106"/>
  <c r="V49" i="106"/>
  <c r="V50" i="106"/>
  <c r="V51" i="106"/>
  <c r="V52" i="106"/>
  <c r="V53" i="106"/>
  <c r="V25" i="106"/>
  <c r="V26" i="106"/>
  <c r="V27" i="106"/>
  <c r="V28" i="106"/>
  <c r="V29" i="106"/>
  <c r="V30" i="106"/>
  <c r="V31" i="106"/>
  <c r="V32" i="106"/>
  <c r="V33" i="106"/>
  <c r="V34" i="106"/>
  <c r="V35" i="106"/>
  <c r="V7" i="106"/>
  <c r="V8" i="106"/>
  <c r="V9" i="106"/>
  <c r="V11" i="106"/>
  <c r="V12" i="106"/>
  <c r="V13" i="106"/>
  <c r="V14" i="106"/>
  <c r="V15" i="106"/>
  <c r="V16" i="106"/>
  <c r="V17" i="106"/>
  <c r="V18" i="106"/>
  <c r="V19" i="106"/>
  <c r="V20" i="106"/>
  <c r="V21" i="106"/>
  <c r="V22" i="106"/>
  <c r="U88" i="132" l="1"/>
  <c r="T88" i="132"/>
  <c r="S88" i="132"/>
  <c r="R88" i="132"/>
  <c r="Q88" i="132"/>
  <c r="P88" i="132"/>
  <c r="O88" i="132"/>
  <c r="N88" i="132"/>
  <c r="M88" i="132"/>
  <c r="L88" i="132"/>
  <c r="K88" i="132"/>
  <c r="J88" i="132"/>
  <c r="I88" i="132"/>
  <c r="H88" i="132"/>
  <c r="G88" i="132"/>
  <c r="F88" i="132"/>
  <c r="E88" i="132"/>
  <c r="D88" i="132"/>
  <c r="C88" i="132"/>
  <c r="P84" i="108" l="1"/>
  <c r="U88" i="108"/>
  <c r="U87" i="108"/>
  <c r="U86" i="108"/>
  <c r="U85" i="108"/>
  <c r="U84" i="108"/>
  <c r="T87" i="108"/>
  <c r="T86" i="108"/>
  <c r="T85" i="108"/>
  <c r="T84" i="108"/>
  <c r="S87" i="108"/>
  <c r="S86" i="108"/>
  <c r="S85" i="108"/>
  <c r="S84" i="108"/>
  <c r="R87" i="108"/>
  <c r="R86" i="108"/>
  <c r="R85" i="108"/>
  <c r="R84" i="108"/>
  <c r="Q87" i="108"/>
  <c r="Q86" i="108"/>
  <c r="Q85" i="108"/>
  <c r="Q84" i="108"/>
  <c r="P87" i="108"/>
  <c r="P86" i="108"/>
  <c r="P85" i="108"/>
  <c r="O84" i="108"/>
  <c r="O87" i="108"/>
  <c r="O86" i="108"/>
  <c r="O85" i="108"/>
  <c r="N85" i="108"/>
  <c r="N86" i="108"/>
  <c r="N87" i="108"/>
  <c r="N88" i="108"/>
  <c r="O88" i="108"/>
  <c r="P88" i="108"/>
  <c r="Q88" i="108"/>
  <c r="R88" i="108"/>
  <c r="S88" i="108"/>
  <c r="T88" i="108"/>
  <c r="N84" i="108"/>
  <c r="M87" i="108"/>
  <c r="M86" i="108"/>
  <c r="M85" i="108"/>
  <c r="M84" i="108"/>
  <c r="M88" i="108"/>
  <c r="AA88" i="96"/>
  <c r="AA87" i="96"/>
  <c r="AA86" i="96"/>
  <c r="AA85" i="96"/>
  <c r="AA84" i="96"/>
  <c r="AA57" i="96" l="1"/>
  <c r="AA60" i="96"/>
  <c r="AA61" i="96"/>
  <c r="AA62" i="96"/>
  <c r="AA63" i="96"/>
  <c r="AA64" i="96"/>
  <c r="AA65" i="96"/>
  <c r="AA66" i="96"/>
  <c r="AA67" i="96"/>
  <c r="AA68" i="96"/>
  <c r="AA69" i="96"/>
  <c r="AA70" i="96"/>
  <c r="AA71" i="96"/>
  <c r="V69" i="96" l="1"/>
  <c r="V74" i="96" l="1"/>
  <c r="V75" i="96"/>
  <c r="V76" i="96"/>
  <c r="V77" i="96"/>
  <c r="V78" i="96"/>
  <c r="V79" i="96"/>
  <c r="V80" i="96"/>
  <c r="V81" i="96"/>
  <c r="V82" i="96"/>
  <c r="V83" i="96"/>
  <c r="V84" i="96"/>
  <c r="V85" i="96"/>
  <c r="V86" i="96"/>
  <c r="V87" i="96"/>
  <c r="V88" i="96"/>
  <c r="V91" i="96"/>
  <c r="V92" i="96"/>
  <c r="V93" i="96"/>
  <c r="V94" i="96"/>
  <c r="V95" i="96"/>
  <c r="V96" i="96"/>
  <c r="V97" i="96"/>
  <c r="V98" i="96"/>
  <c r="V99" i="96"/>
  <c r="V100" i="96"/>
  <c r="V101" i="96"/>
  <c r="V102" i="96"/>
  <c r="V103" i="96"/>
  <c r="V104" i="96"/>
  <c r="V105" i="96"/>
  <c r="L7" i="100" l="1"/>
  <c r="L8" i="100"/>
  <c r="L9" i="100"/>
  <c r="L10" i="100"/>
  <c r="L11" i="100"/>
  <c r="L12" i="100"/>
  <c r="L13" i="100"/>
  <c r="L14" i="100"/>
  <c r="L15" i="100"/>
  <c r="L16" i="100"/>
  <c r="L17" i="100"/>
  <c r="L18" i="100"/>
  <c r="L19" i="100"/>
  <c r="L20" i="100"/>
  <c r="L21" i="100"/>
  <c r="L22" i="100"/>
  <c r="L6" i="100"/>
  <c r="N59" i="108" l="1"/>
  <c r="O59" i="108"/>
  <c r="P59" i="108"/>
  <c r="Q59" i="108"/>
  <c r="R59" i="108"/>
  <c r="S59" i="108"/>
  <c r="T59" i="108"/>
  <c r="U59" i="108"/>
  <c r="N60" i="108"/>
  <c r="O60" i="108"/>
  <c r="P60" i="108"/>
  <c r="Q60" i="108"/>
  <c r="R60" i="108"/>
  <c r="S60" i="108"/>
  <c r="T60" i="108"/>
  <c r="U60" i="108"/>
  <c r="N61" i="108"/>
  <c r="O61" i="108"/>
  <c r="P61" i="108"/>
  <c r="Q61" i="108"/>
  <c r="R61" i="108"/>
  <c r="S61" i="108"/>
  <c r="T61" i="108"/>
  <c r="U61" i="108"/>
  <c r="N62" i="108"/>
  <c r="O62" i="108"/>
  <c r="P62" i="108"/>
  <c r="Q62" i="108"/>
  <c r="R62" i="108"/>
  <c r="S62" i="108"/>
  <c r="T62" i="108"/>
  <c r="U62" i="108"/>
  <c r="N63" i="108"/>
  <c r="O63" i="108"/>
  <c r="P63" i="108"/>
  <c r="Q63" i="108"/>
  <c r="R63" i="108"/>
  <c r="S63" i="108"/>
  <c r="T63" i="108"/>
  <c r="U63" i="108"/>
  <c r="N64" i="108"/>
  <c r="O64" i="108"/>
  <c r="P64" i="108"/>
  <c r="Q64" i="108"/>
  <c r="R64" i="108"/>
  <c r="S64" i="108"/>
  <c r="T64" i="108"/>
  <c r="U64" i="108"/>
  <c r="N65" i="108"/>
  <c r="O65" i="108"/>
  <c r="P65" i="108"/>
  <c r="Q65" i="108"/>
  <c r="R65" i="108"/>
  <c r="S65" i="108"/>
  <c r="T65" i="108"/>
  <c r="U65" i="108"/>
  <c r="N66" i="108"/>
  <c r="O66" i="108"/>
  <c r="P66" i="108"/>
  <c r="Q66" i="108"/>
  <c r="R66" i="108"/>
  <c r="S66" i="108"/>
  <c r="T66" i="108"/>
  <c r="U66" i="108"/>
  <c r="N67" i="108"/>
  <c r="O67" i="108"/>
  <c r="P67" i="108"/>
  <c r="Q67" i="108"/>
  <c r="R67" i="108"/>
  <c r="S67" i="108"/>
  <c r="T67" i="108"/>
  <c r="U67" i="108"/>
  <c r="N68" i="108"/>
  <c r="O68" i="108"/>
  <c r="P68" i="108"/>
  <c r="Q68" i="108"/>
  <c r="R68" i="108"/>
  <c r="S68" i="108"/>
  <c r="T68" i="108"/>
  <c r="U68" i="108"/>
  <c r="N69" i="108"/>
  <c r="O69" i="108"/>
  <c r="P69" i="108"/>
  <c r="Q69" i="108"/>
  <c r="R69" i="108"/>
  <c r="S69" i="108"/>
  <c r="T69" i="108"/>
  <c r="U69" i="108"/>
  <c r="N71" i="108"/>
  <c r="O71" i="108"/>
  <c r="P71" i="108"/>
  <c r="Q71" i="108"/>
  <c r="R71" i="108"/>
  <c r="S71" i="108"/>
  <c r="T71" i="108"/>
  <c r="U71" i="108"/>
  <c r="N57" i="108"/>
  <c r="O57" i="108"/>
  <c r="P57" i="108"/>
  <c r="Q57" i="108"/>
  <c r="R57" i="108"/>
  <c r="S57" i="108"/>
  <c r="T57" i="108"/>
  <c r="U57" i="108"/>
  <c r="N56" i="108"/>
  <c r="O56" i="108"/>
  <c r="P56" i="108"/>
  <c r="Q56" i="108"/>
  <c r="R56" i="108"/>
  <c r="S56" i="108"/>
  <c r="T56" i="108"/>
  <c r="U56" i="108"/>
  <c r="M69" i="108" l="1"/>
  <c r="M68" i="108"/>
  <c r="AA39" i="101" l="1"/>
  <c r="AA40" i="101"/>
  <c r="AA41" i="101"/>
  <c r="AA42" i="101"/>
  <c r="AA43" i="101"/>
  <c r="AA44" i="101"/>
  <c r="AA45" i="101"/>
  <c r="AA46" i="101"/>
  <c r="AA47" i="101"/>
  <c r="AA48" i="101"/>
  <c r="AA49" i="101"/>
  <c r="AA50" i="101"/>
  <c r="AA51" i="101"/>
  <c r="AA52" i="101"/>
  <c r="AA53" i="101"/>
  <c r="AA54" i="101"/>
  <c r="AA57" i="101"/>
  <c r="AA58" i="101"/>
  <c r="AA59" i="101"/>
  <c r="AA60" i="101"/>
  <c r="AA61" i="101"/>
  <c r="AA62" i="101"/>
  <c r="AA63" i="101"/>
  <c r="AA64" i="101"/>
  <c r="AA65" i="101"/>
  <c r="AA66" i="101"/>
  <c r="AA67" i="101"/>
  <c r="AA68" i="101"/>
  <c r="AA69" i="101"/>
  <c r="AA70" i="101"/>
  <c r="AA71" i="101"/>
  <c r="Q102" i="108" l="1"/>
  <c r="T9" i="108"/>
  <c r="AA53" i="104" l="1"/>
  <c r="AA54" i="104"/>
  <c r="V90" i="104" l="1"/>
  <c r="V91" i="104"/>
  <c r="V92" i="104"/>
  <c r="V93" i="104"/>
  <c r="V94" i="104"/>
  <c r="V95" i="104"/>
  <c r="V96" i="104"/>
  <c r="V97" i="104"/>
  <c r="V98" i="104"/>
  <c r="V99" i="104"/>
  <c r="V100" i="104"/>
  <c r="V101" i="104"/>
  <c r="V48" i="105" l="1"/>
  <c r="V49" i="105"/>
  <c r="V50" i="105"/>
  <c r="V51" i="105"/>
  <c r="V52" i="105"/>
  <c r="V53" i="105"/>
  <c r="V54" i="105"/>
  <c r="V71" i="105"/>
  <c r="V25" i="105"/>
  <c r="V26" i="105"/>
  <c r="V27" i="105"/>
  <c r="V28" i="105"/>
  <c r="V29" i="105"/>
  <c r="V30" i="105"/>
  <c r="V31" i="105"/>
  <c r="V32" i="105"/>
  <c r="V33" i="105"/>
  <c r="V34" i="105"/>
  <c r="V35" i="105"/>
  <c r="V36" i="105"/>
  <c r="V24" i="105"/>
  <c r="N21" i="108" l="1"/>
  <c r="O21" i="108"/>
  <c r="P21" i="108"/>
  <c r="Q21" i="108"/>
  <c r="R21" i="108"/>
  <c r="S21" i="108"/>
  <c r="T21" i="108"/>
  <c r="U21" i="108"/>
  <c r="M21" i="108"/>
  <c r="N20" i="108"/>
  <c r="O20" i="108"/>
  <c r="P20" i="108"/>
  <c r="Q20" i="108"/>
  <c r="R20" i="108"/>
  <c r="S20" i="108"/>
  <c r="T20" i="108"/>
  <c r="U20" i="108"/>
  <c r="M20" i="108"/>
  <c r="N19" i="108"/>
  <c r="O19" i="108"/>
  <c r="P19" i="108"/>
  <c r="Q19" i="108"/>
  <c r="R19" i="108"/>
  <c r="S19" i="108"/>
  <c r="T19" i="108"/>
  <c r="U19" i="108"/>
  <c r="M19" i="108"/>
  <c r="N18" i="108"/>
  <c r="O18" i="108"/>
  <c r="P18" i="108"/>
  <c r="Q18" i="108"/>
  <c r="R18" i="108"/>
  <c r="S18" i="108"/>
  <c r="T18" i="108"/>
  <c r="U18" i="108"/>
  <c r="M18" i="108"/>
  <c r="N17" i="108"/>
  <c r="O17" i="108"/>
  <c r="P17" i="108"/>
  <c r="Q17" i="108"/>
  <c r="R17" i="108"/>
  <c r="S17" i="108"/>
  <c r="T17" i="108"/>
  <c r="U17" i="108"/>
  <c r="M17" i="108"/>
  <c r="N16" i="108"/>
  <c r="O16" i="108"/>
  <c r="P16" i="108"/>
  <c r="Q16" i="108"/>
  <c r="R16" i="108"/>
  <c r="S16" i="108"/>
  <c r="T16" i="108"/>
  <c r="U16" i="108"/>
  <c r="M16" i="108"/>
  <c r="N15" i="108"/>
  <c r="O15" i="108"/>
  <c r="P15" i="108"/>
  <c r="Q15" i="108"/>
  <c r="R15" i="108"/>
  <c r="S15" i="108"/>
  <c r="T15" i="108"/>
  <c r="U15" i="108"/>
  <c r="N14" i="108"/>
  <c r="O14" i="108"/>
  <c r="P14" i="108"/>
  <c r="Q14" i="108"/>
  <c r="R14" i="108"/>
  <c r="S14" i="108"/>
  <c r="T14" i="108"/>
  <c r="U14" i="108"/>
  <c r="M15" i="108"/>
  <c r="M14" i="108"/>
  <c r="P13" i="108" l="1"/>
  <c r="Q13" i="108"/>
  <c r="R13" i="108"/>
  <c r="S13" i="108"/>
  <c r="T13" i="108"/>
  <c r="U13" i="108"/>
  <c r="O13" i="108"/>
  <c r="N13" i="108"/>
  <c r="M13" i="108"/>
  <c r="V7" i="107" l="1"/>
  <c r="V8" i="107"/>
  <c r="V9" i="107"/>
  <c r="V10" i="107"/>
  <c r="V11" i="107"/>
  <c r="V12" i="107"/>
  <c r="V13" i="107"/>
  <c r="V14" i="107"/>
  <c r="V15" i="107"/>
  <c r="V16" i="107"/>
  <c r="V17" i="107"/>
  <c r="V18" i="107"/>
  <c r="V19" i="107"/>
  <c r="V20" i="107"/>
  <c r="V21" i="107"/>
  <c r="V22" i="107"/>
  <c r="L22" i="107"/>
  <c r="AA25" i="107"/>
  <c r="AA26" i="107"/>
  <c r="AA27" i="107"/>
  <c r="AA28" i="107"/>
  <c r="AA29" i="107"/>
  <c r="AA30" i="107"/>
  <c r="AA31" i="107"/>
  <c r="AA32" i="107"/>
  <c r="AA33" i="107"/>
  <c r="AA34" i="107"/>
  <c r="AA35" i="107"/>
  <c r="AA36" i="107"/>
  <c r="AA7" i="107"/>
  <c r="AA8" i="107"/>
  <c r="AA9" i="107"/>
  <c r="AA10" i="107"/>
  <c r="AA11" i="107"/>
  <c r="AA12" i="107"/>
  <c r="AA13" i="107"/>
  <c r="AA14" i="107"/>
  <c r="AA15" i="107"/>
  <c r="AA16" i="107"/>
  <c r="AA17" i="107"/>
  <c r="AA18" i="107"/>
  <c r="AA19" i="107"/>
  <c r="AA20" i="107"/>
  <c r="AA21" i="107"/>
  <c r="AA22" i="107"/>
  <c r="V56" i="107"/>
  <c r="X48" i="108" l="1"/>
  <c r="V54" i="106" l="1"/>
  <c r="V38" i="106"/>
  <c r="V6" i="106"/>
  <c r="V36" i="106"/>
  <c r="V24" i="106"/>
  <c r="V91" i="106"/>
  <c r="V92" i="106"/>
  <c r="V93" i="106"/>
  <c r="V94" i="106"/>
  <c r="V95" i="106"/>
  <c r="V96" i="106"/>
  <c r="V97" i="106"/>
  <c r="V98" i="106"/>
  <c r="V99" i="106"/>
  <c r="V100" i="106"/>
  <c r="V101" i="106"/>
  <c r="V102" i="106"/>
  <c r="V103" i="106"/>
  <c r="V104" i="106"/>
  <c r="V105" i="106"/>
  <c r="V90" i="106"/>
  <c r="AA56" i="97" l="1"/>
  <c r="AA57" i="97"/>
  <c r="V9" i="96"/>
  <c r="V38" i="98" l="1"/>
  <c r="V13" i="98" l="1"/>
  <c r="V14" i="98"/>
  <c r="V15" i="98"/>
  <c r="V16" i="98"/>
  <c r="V17" i="98"/>
  <c r="V18" i="98"/>
  <c r="V19" i="98"/>
  <c r="V20" i="98"/>
  <c r="V21" i="98"/>
  <c r="V22" i="98"/>
  <c r="V6" i="98"/>
  <c r="V7" i="98"/>
  <c r="V8" i="98"/>
  <c r="L85" i="98"/>
  <c r="L86" i="98"/>
  <c r="L87" i="98"/>
  <c r="L88" i="98"/>
  <c r="L34" i="98"/>
  <c r="L35" i="98"/>
  <c r="L36" i="98"/>
  <c r="V48" i="97" l="1"/>
  <c r="V49" i="97"/>
  <c r="V50" i="97"/>
  <c r="V51" i="97"/>
  <c r="V52" i="97"/>
  <c r="V71" i="96" l="1"/>
  <c r="V70" i="96"/>
  <c r="V68" i="96"/>
  <c r="V67" i="96"/>
  <c r="V66" i="96"/>
  <c r="V65" i="96"/>
  <c r="V64" i="96"/>
  <c r="V63" i="96"/>
  <c r="V62" i="96"/>
  <c r="V61" i="96"/>
  <c r="V60" i="96"/>
  <c r="V59" i="96"/>
  <c r="V58" i="96"/>
  <c r="V57" i="96"/>
  <c r="V56" i="96"/>
  <c r="M67" i="108"/>
  <c r="Y55" i="96" l="1"/>
  <c r="V6" i="96" l="1"/>
  <c r="V7" i="96"/>
  <c r="V8" i="96"/>
  <c r="M125" i="100" l="1"/>
  <c r="V13" i="100" l="1"/>
  <c r="V14" i="100"/>
  <c r="V15" i="100"/>
  <c r="V16" i="100"/>
  <c r="V17" i="100"/>
  <c r="V18" i="100"/>
  <c r="V19" i="100"/>
  <c r="V20" i="100"/>
  <c r="V21" i="100"/>
  <c r="V22" i="100"/>
  <c r="AA71" i="104" l="1"/>
  <c r="AA70" i="104"/>
  <c r="AA69" i="104"/>
  <c r="AA68" i="104"/>
  <c r="AA67" i="104"/>
  <c r="AA66" i="104"/>
  <c r="AA65" i="104"/>
  <c r="AA64" i="104"/>
  <c r="AA63" i="104"/>
  <c r="AA62" i="104"/>
  <c r="AA61" i="104"/>
  <c r="AA60" i="104"/>
  <c r="AA59" i="104"/>
  <c r="AA58" i="104"/>
  <c r="M66" i="108"/>
  <c r="M65" i="108"/>
  <c r="M64" i="108"/>
  <c r="M63" i="108"/>
  <c r="M62" i="108"/>
  <c r="M61" i="108"/>
  <c r="M60" i="108"/>
  <c r="M59" i="108"/>
  <c r="M71" i="108" l="1"/>
  <c r="C25" i="108" l="1"/>
  <c r="D25" i="108"/>
  <c r="E25" i="108"/>
  <c r="F25" i="108"/>
  <c r="G25" i="108"/>
  <c r="H25" i="108"/>
  <c r="I25" i="108"/>
  <c r="J25" i="108"/>
  <c r="K25" i="108"/>
  <c r="C26" i="108"/>
  <c r="D26" i="108"/>
  <c r="E26" i="108"/>
  <c r="F26" i="108"/>
  <c r="G26" i="108"/>
  <c r="H26" i="108"/>
  <c r="I26" i="108"/>
  <c r="J26" i="108"/>
  <c r="K26" i="108"/>
  <c r="C27" i="108"/>
  <c r="D27" i="108"/>
  <c r="E27" i="108"/>
  <c r="F27" i="108"/>
  <c r="G27" i="108"/>
  <c r="H27" i="108"/>
  <c r="I27" i="108"/>
  <c r="J27" i="108"/>
  <c r="K27" i="108"/>
  <c r="C28" i="108"/>
  <c r="D28" i="108"/>
  <c r="E28" i="108"/>
  <c r="F28" i="108"/>
  <c r="G28" i="108"/>
  <c r="H28" i="108"/>
  <c r="I28" i="108"/>
  <c r="J28" i="108"/>
  <c r="K28" i="108"/>
  <c r="C29" i="108"/>
  <c r="D29" i="108"/>
  <c r="E29" i="108"/>
  <c r="F29" i="108"/>
  <c r="G29" i="108"/>
  <c r="H29" i="108"/>
  <c r="I29" i="108"/>
  <c r="J29" i="108"/>
  <c r="K29" i="108"/>
  <c r="C30" i="108"/>
  <c r="D30" i="108"/>
  <c r="E30" i="108"/>
  <c r="F30" i="108"/>
  <c r="G30" i="108"/>
  <c r="H30" i="108"/>
  <c r="I30" i="108"/>
  <c r="J30" i="108"/>
  <c r="K30" i="108"/>
  <c r="C31" i="108"/>
  <c r="D31" i="108"/>
  <c r="E31" i="108"/>
  <c r="F31" i="108"/>
  <c r="G31" i="108"/>
  <c r="H31" i="108"/>
  <c r="I31" i="108"/>
  <c r="J31" i="108"/>
  <c r="K31" i="108"/>
  <c r="C32" i="108"/>
  <c r="D32" i="108"/>
  <c r="E32" i="108"/>
  <c r="F32" i="108"/>
  <c r="G32" i="108"/>
  <c r="H32" i="108"/>
  <c r="I32" i="108"/>
  <c r="J32" i="108"/>
  <c r="K32" i="108"/>
  <c r="C33" i="108"/>
  <c r="D33" i="108"/>
  <c r="E33" i="108"/>
  <c r="F33" i="108"/>
  <c r="G33" i="108"/>
  <c r="H33" i="108"/>
  <c r="I33" i="108"/>
  <c r="J33" i="108"/>
  <c r="K33" i="108"/>
  <c r="C34" i="108"/>
  <c r="D34" i="108"/>
  <c r="E34" i="108"/>
  <c r="F34" i="108"/>
  <c r="G34" i="108"/>
  <c r="H34" i="108"/>
  <c r="I34" i="108"/>
  <c r="J34" i="108"/>
  <c r="K34" i="108"/>
  <c r="C35" i="108"/>
  <c r="D35" i="108"/>
  <c r="E35" i="108"/>
  <c r="F35" i="108"/>
  <c r="G35" i="108"/>
  <c r="H35" i="108"/>
  <c r="I35" i="108"/>
  <c r="J35" i="108"/>
  <c r="K35" i="108"/>
  <c r="C36" i="108"/>
  <c r="D36" i="108"/>
  <c r="E36" i="108"/>
  <c r="F36" i="108"/>
  <c r="G36" i="108"/>
  <c r="H36" i="108"/>
  <c r="I36" i="108"/>
  <c r="J36" i="108"/>
  <c r="K36" i="108"/>
  <c r="D24" i="108"/>
  <c r="E24" i="108"/>
  <c r="F24" i="108"/>
  <c r="G24" i="108"/>
  <c r="H24" i="108"/>
  <c r="I24" i="108"/>
  <c r="J24" i="108"/>
  <c r="K24" i="108"/>
  <c r="C24" i="108"/>
  <c r="AA25" i="101" l="1"/>
  <c r="AA26" i="101"/>
  <c r="AA27" i="101"/>
  <c r="AA28" i="101"/>
  <c r="AA29" i="101"/>
  <c r="AA30" i="101"/>
  <c r="AA31" i="101"/>
  <c r="AA32" i="101"/>
  <c r="AA33" i="101"/>
  <c r="AA24" i="101"/>
  <c r="V12" i="101" l="1"/>
  <c r="V13" i="101"/>
  <c r="V14" i="101"/>
  <c r="V15" i="101"/>
  <c r="V16" i="101"/>
  <c r="V17" i="101"/>
  <c r="V18" i="101"/>
  <c r="V19" i="101"/>
  <c r="V20" i="101"/>
  <c r="V21" i="101"/>
  <c r="V22" i="101"/>
  <c r="V33" i="101"/>
  <c r="V34" i="101"/>
  <c r="V35" i="101"/>
  <c r="V36" i="101"/>
  <c r="V39" i="101"/>
  <c r="V40" i="101"/>
  <c r="V41" i="101"/>
  <c r="V42" i="101"/>
  <c r="V43" i="101"/>
  <c r="V44" i="101"/>
  <c r="V45" i="101"/>
  <c r="V46" i="101"/>
  <c r="V47" i="101"/>
  <c r="V48" i="101"/>
  <c r="V49" i="101"/>
  <c r="V50" i="101"/>
  <c r="V51" i="101"/>
  <c r="V52" i="101"/>
  <c r="V53" i="101"/>
  <c r="V54" i="101"/>
  <c r="V38" i="101"/>
  <c r="V7" i="101" l="1"/>
  <c r="V8" i="101"/>
  <c r="L60" i="101" l="1"/>
  <c r="Z60" i="101" s="1"/>
  <c r="L61" i="101"/>
  <c r="Z61" i="101" s="1"/>
  <c r="L62" i="101"/>
  <c r="Z62" i="101" s="1"/>
  <c r="L63" i="101"/>
  <c r="Z63" i="101" s="1"/>
  <c r="L64" i="101"/>
  <c r="Z64" i="101" s="1"/>
  <c r="L65" i="101"/>
  <c r="Z65" i="101" s="1"/>
  <c r="L66" i="101"/>
  <c r="Z66" i="101" s="1"/>
  <c r="L67" i="101"/>
  <c r="Z67" i="101" s="1"/>
  <c r="L68" i="101"/>
  <c r="Z68" i="101" s="1"/>
  <c r="L69" i="101"/>
  <c r="Z69" i="101" s="1"/>
  <c r="L70" i="101"/>
  <c r="Z70" i="101" s="1"/>
  <c r="L71" i="101"/>
  <c r="Z71" i="101" s="1"/>
  <c r="L25" i="101"/>
  <c r="L26" i="101"/>
  <c r="L27" i="101"/>
  <c r="L28" i="101"/>
  <c r="L29" i="101"/>
  <c r="L30" i="101"/>
  <c r="L31" i="101"/>
  <c r="L32" i="101"/>
  <c r="L33" i="101"/>
  <c r="L34" i="101"/>
  <c r="L35" i="101"/>
  <c r="L36" i="101"/>
  <c r="L24" i="101"/>
  <c r="T10" i="108" l="1"/>
  <c r="U10" i="108"/>
  <c r="R10" i="108"/>
  <c r="P10" i="108"/>
  <c r="Q10" i="108"/>
  <c r="O10" i="108"/>
  <c r="S10" i="108"/>
  <c r="R9" i="108"/>
  <c r="Q9" i="108"/>
  <c r="P9" i="108"/>
  <c r="O9" i="108"/>
  <c r="N9" i="108"/>
  <c r="U9" i="108"/>
  <c r="M9" i="108"/>
  <c r="M10" i="108"/>
  <c r="M11" i="108"/>
  <c r="M12" i="108"/>
  <c r="M22" i="108"/>
  <c r="M7" i="108"/>
  <c r="M8" i="108"/>
  <c r="N10" i="108" l="1"/>
  <c r="V25" i="102" l="1"/>
  <c r="V26" i="102"/>
  <c r="V27" i="102"/>
  <c r="V28" i="102"/>
  <c r="V29" i="102"/>
  <c r="V30" i="102"/>
  <c r="V31" i="102"/>
  <c r="V32" i="102"/>
  <c r="V33" i="102"/>
  <c r="V34" i="102"/>
  <c r="V35" i="102"/>
  <c r="V36" i="102"/>
  <c r="V24" i="102"/>
  <c r="V49" i="102"/>
  <c r="V50" i="102"/>
  <c r="V51" i="102"/>
  <c r="V38" i="102"/>
  <c r="V39" i="102"/>
  <c r="V40" i="102"/>
  <c r="V41" i="102"/>
  <c r="V42" i="102"/>
  <c r="V43" i="102"/>
  <c r="V44" i="102"/>
  <c r="V45" i="102"/>
  <c r="V46" i="102"/>
  <c r="V47" i="102"/>
  <c r="V9" i="102"/>
  <c r="V10" i="102"/>
  <c r="V11" i="102"/>
  <c r="V12" i="102"/>
  <c r="V13" i="102"/>
  <c r="V14" i="102"/>
  <c r="V15" i="102"/>
  <c r="V16" i="102"/>
  <c r="V17" i="102"/>
  <c r="V18" i="102"/>
  <c r="V19" i="102"/>
  <c r="V20" i="102"/>
  <c r="V21" i="102"/>
  <c r="V22" i="102"/>
  <c r="AA9" i="102"/>
  <c r="AA10" i="102"/>
  <c r="AA11" i="102"/>
  <c r="V54" i="103" l="1"/>
  <c r="V39" i="103"/>
  <c r="V40" i="103"/>
  <c r="V41" i="103"/>
  <c r="V42" i="103"/>
  <c r="V43" i="103"/>
  <c r="V44" i="103"/>
  <c r="V45" i="103"/>
  <c r="V46" i="103"/>
  <c r="V47" i="103"/>
  <c r="V48" i="103"/>
  <c r="V49" i="103"/>
  <c r="V50" i="103"/>
  <c r="V51" i="103"/>
  <c r="V52" i="103"/>
  <c r="V53" i="103"/>
  <c r="V38" i="103"/>
  <c r="V57" i="103"/>
  <c r="V58" i="103"/>
  <c r="V59" i="103"/>
  <c r="V60" i="103"/>
  <c r="V61" i="103"/>
  <c r="V62" i="103"/>
  <c r="V63" i="103"/>
  <c r="V64" i="103"/>
  <c r="V65" i="103"/>
  <c r="V66" i="103"/>
  <c r="V67" i="103"/>
  <c r="V68" i="103"/>
  <c r="V69" i="103"/>
  <c r="V70" i="103"/>
  <c r="V71" i="103"/>
  <c r="V56" i="103"/>
  <c r="V74" i="103"/>
  <c r="V75" i="103"/>
  <c r="V76" i="103"/>
  <c r="V77" i="103"/>
  <c r="V78" i="103"/>
  <c r="V79" i="103"/>
  <c r="V80" i="103"/>
  <c r="V81" i="103"/>
  <c r="V82" i="103"/>
  <c r="V83" i="103"/>
  <c r="V84" i="103"/>
  <c r="V85" i="103"/>
  <c r="V86" i="103"/>
  <c r="V87" i="103"/>
  <c r="V88" i="103"/>
  <c r="V73" i="103"/>
  <c r="V91" i="103"/>
  <c r="V92" i="103"/>
  <c r="V93" i="103"/>
  <c r="V94" i="103"/>
  <c r="V95" i="103"/>
  <c r="V96" i="103"/>
  <c r="V97" i="103"/>
  <c r="V98" i="103"/>
  <c r="V99" i="103"/>
  <c r="V100" i="103"/>
  <c r="V101" i="103"/>
  <c r="V102" i="103"/>
  <c r="V103" i="103"/>
  <c r="V104" i="103"/>
  <c r="V105" i="103"/>
  <c r="V90" i="103"/>
  <c r="V25" i="103"/>
  <c r="V26" i="103"/>
  <c r="V27" i="103"/>
  <c r="V28" i="103"/>
  <c r="V29" i="103"/>
  <c r="V30" i="103"/>
  <c r="V31" i="103"/>
  <c r="V32" i="103"/>
  <c r="V33" i="103"/>
  <c r="V34" i="103"/>
  <c r="V35" i="103"/>
  <c r="V36" i="103"/>
  <c r="V24" i="103"/>
  <c r="V7" i="103"/>
  <c r="V8" i="103"/>
  <c r="V9" i="103"/>
  <c r="V10" i="103"/>
  <c r="V11" i="103"/>
  <c r="V12" i="103"/>
  <c r="V13" i="103"/>
  <c r="V14" i="103"/>
  <c r="V15" i="103"/>
  <c r="V16" i="103"/>
  <c r="V17" i="103"/>
  <c r="V18" i="103"/>
  <c r="V19" i="103"/>
  <c r="V20" i="103"/>
  <c r="V21" i="103"/>
  <c r="V22" i="103"/>
  <c r="V6" i="103"/>
  <c r="AA22" i="106" l="1"/>
  <c r="AA21" i="106"/>
  <c r="AA20" i="106"/>
  <c r="AA19" i="106"/>
  <c r="AA18" i="106"/>
  <c r="AA17" i="106"/>
  <c r="AA16" i="106"/>
  <c r="AA15" i="106"/>
  <c r="AA14" i="106"/>
  <c r="AA13" i="106"/>
  <c r="U22" i="108"/>
  <c r="T22" i="108"/>
  <c r="S22" i="108"/>
  <c r="R22" i="108"/>
  <c r="Q22" i="108"/>
  <c r="P22" i="108"/>
  <c r="O22" i="108"/>
  <c r="N22" i="108"/>
  <c r="AA91" i="104" l="1"/>
  <c r="AA92" i="104"/>
  <c r="AA93" i="104"/>
  <c r="AA94" i="104"/>
  <c r="AA95" i="104"/>
  <c r="AA96" i="104"/>
  <c r="AA97" i="104"/>
  <c r="AA98" i="104"/>
  <c r="AA99" i="104"/>
  <c r="AA100" i="104"/>
  <c r="AA101" i="104"/>
  <c r="AA102" i="104"/>
  <c r="V74" i="104"/>
  <c r="V75" i="104"/>
  <c r="V76" i="104"/>
  <c r="V77" i="104"/>
  <c r="V78" i="104"/>
  <c r="V79" i="104"/>
  <c r="V80" i="104"/>
  <c r="V81" i="104"/>
  <c r="V82" i="104"/>
  <c r="V83" i="104"/>
  <c r="V84" i="104"/>
  <c r="V85" i="104"/>
  <c r="V86" i="104"/>
  <c r="V87" i="104"/>
  <c r="V88" i="104"/>
  <c r="V73" i="104"/>
  <c r="V102" i="104"/>
  <c r="V103" i="104"/>
  <c r="V104" i="104"/>
  <c r="V105" i="104"/>
  <c r="V24" i="104"/>
  <c r="V6" i="104"/>
  <c r="AA24" i="104"/>
  <c r="AA13" i="104"/>
  <c r="AA7" i="104"/>
  <c r="AA8" i="104"/>
  <c r="AA9" i="104"/>
  <c r="AA10" i="104"/>
  <c r="AA11" i="104"/>
  <c r="AA12" i="104"/>
  <c r="AA14" i="104"/>
  <c r="AA15" i="104"/>
  <c r="AA16" i="104"/>
  <c r="AA17" i="104"/>
  <c r="AA18" i="104"/>
  <c r="AA19" i="104"/>
  <c r="AA20" i="104"/>
  <c r="AA21" i="104"/>
  <c r="AA22" i="104"/>
  <c r="Y106" i="104" l="1"/>
  <c r="X106" i="104"/>
  <c r="W106" i="104"/>
  <c r="U106" i="104"/>
  <c r="T106" i="104"/>
  <c r="S106" i="104"/>
  <c r="R106" i="104"/>
  <c r="Q106" i="104"/>
  <c r="P106" i="104"/>
  <c r="O106" i="104"/>
  <c r="N106" i="104"/>
  <c r="M106" i="104"/>
  <c r="K106" i="104"/>
  <c r="J106" i="104"/>
  <c r="I106" i="104"/>
  <c r="H106" i="104"/>
  <c r="G106" i="104"/>
  <c r="F106" i="104"/>
  <c r="E106" i="104"/>
  <c r="D106" i="104"/>
  <c r="C106" i="104"/>
  <c r="AA105" i="104"/>
  <c r="L105" i="104"/>
  <c r="Z105" i="104" s="1"/>
  <c r="AA104" i="104"/>
  <c r="L104" i="104"/>
  <c r="AA103" i="104"/>
  <c r="L103" i="104"/>
  <c r="Z103" i="104" s="1"/>
  <c r="L102" i="104"/>
  <c r="L101" i="104"/>
  <c r="L100" i="104"/>
  <c r="Z100" i="104" s="1"/>
  <c r="L99" i="104"/>
  <c r="L98" i="104"/>
  <c r="L97" i="104"/>
  <c r="Z97" i="104" s="1"/>
  <c r="L96" i="104"/>
  <c r="L95" i="104"/>
  <c r="L94" i="104"/>
  <c r="L93" i="104"/>
  <c r="L92" i="104"/>
  <c r="Z92" i="104" s="1"/>
  <c r="L91" i="104"/>
  <c r="AA90" i="104"/>
  <c r="L90" i="104"/>
  <c r="Y89" i="104"/>
  <c r="X89" i="104"/>
  <c r="W89" i="104"/>
  <c r="U89" i="104"/>
  <c r="T89" i="104"/>
  <c r="S89" i="104"/>
  <c r="R89" i="104"/>
  <c r="Q89" i="104"/>
  <c r="P89" i="104"/>
  <c r="O89" i="104"/>
  <c r="N89" i="104"/>
  <c r="M89" i="104"/>
  <c r="K89" i="104"/>
  <c r="J89" i="104"/>
  <c r="I89" i="104"/>
  <c r="H89" i="104"/>
  <c r="G89" i="104"/>
  <c r="F89" i="104"/>
  <c r="E89" i="104"/>
  <c r="D89" i="104"/>
  <c r="C89" i="104"/>
  <c r="AA88" i="104"/>
  <c r="L88" i="104"/>
  <c r="AA87" i="104"/>
  <c r="L87" i="104"/>
  <c r="AA86" i="104"/>
  <c r="L86" i="104"/>
  <c r="AA85" i="104"/>
  <c r="L85" i="104"/>
  <c r="AA84" i="104"/>
  <c r="L84" i="104"/>
  <c r="Z84" i="104" s="1"/>
  <c r="AA83" i="104"/>
  <c r="L83" i="104"/>
  <c r="AA82" i="104"/>
  <c r="L82" i="104"/>
  <c r="Z82" i="104" s="1"/>
  <c r="AA81" i="104"/>
  <c r="L81" i="104"/>
  <c r="AA80" i="104"/>
  <c r="L80" i="104"/>
  <c r="AA79" i="104"/>
  <c r="L79" i="104"/>
  <c r="AA78" i="104"/>
  <c r="L78" i="104"/>
  <c r="AA77" i="104"/>
  <c r="L77" i="104"/>
  <c r="AA76" i="104"/>
  <c r="L76" i="104"/>
  <c r="Z76" i="104" s="1"/>
  <c r="AA75" i="104"/>
  <c r="L75" i="104"/>
  <c r="AA74" i="104"/>
  <c r="L74" i="104"/>
  <c r="Z74" i="104" s="1"/>
  <c r="AA73" i="104"/>
  <c r="L73" i="104"/>
  <c r="Y72" i="104"/>
  <c r="X72" i="104"/>
  <c r="U72" i="104"/>
  <c r="T72" i="104"/>
  <c r="S72" i="104"/>
  <c r="R72" i="104"/>
  <c r="Q72" i="104"/>
  <c r="P72" i="104"/>
  <c r="O72" i="104"/>
  <c r="N72" i="104"/>
  <c r="M72" i="104"/>
  <c r="K72" i="104"/>
  <c r="J72" i="104"/>
  <c r="I72" i="104"/>
  <c r="H72" i="104"/>
  <c r="G72" i="104"/>
  <c r="F72" i="104"/>
  <c r="E72" i="104"/>
  <c r="D72" i="104"/>
  <c r="C72" i="104"/>
  <c r="L71" i="104"/>
  <c r="Z71" i="104" s="1"/>
  <c r="L70" i="104"/>
  <c r="Z70" i="104" s="1"/>
  <c r="L69" i="104"/>
  <c r="Z69" i="104" s="1"/>
  <c r="L68" i="104"/>
  <c r="Z68" i="104" s="1"/>
  <c r="L67" i="104"/>
  <c r="Z67" i="104" s="1"/>
  <c r="L66" i="104"/>
  <c r="Z66" i="104" s="1"/>
  <c r="L65" i="104"/>
  <c r="Z65" i="104" s="1"/>
  <c r="L64" i="104"/>
  <c r="Z64" i="104" s="1"/>
  <c r="L63" i="104"/>
  <c r="Z63" i="104" s="1"/>
  <c r="L62" i="104"/>
  <c r="Z62" i="104" s="1"/>
  <c r="L61" i="104"/>
  <c r="Z61" i="104" s="1"/>
  <c r="L60" i="104"/>
  <c r="Z60" i="104" s="1"/>
  <c r="L59" i="104"/>
  <c r="Z59" i="104" s="1"/>
  <c r="L58" i="104"/>
  <c r="Z58" i="104" s="1"/>
  <c r="AA57" i="104"/>
  <c r="L57" i="104"/>
  <c r="AA56" i="104"/>
  <c r="L56" i="104"/>
  <c r="Y55" i="104"/>
  <c r="X55" i="104"/>
  <c r="W55" i="104"/>
  <c r="U55" i="104"/>
  <c r="T55" i="104"/>
  <c r="S55" i="104"/>
  <c r="R55" i="104"/>
  <c r="Q55" i="104"/>
  <c r="P55" i="104"/>
  <c r="O55" i="104"/>
  <c r="N55" i="104"/>
  <c r="M55" i="104"/>
  <c r="K55" i="104"/>
  <c r="J55" i="104"/>
  <c r="I55" i="104"/>
  <c r="H55" i="104"/>
  <c r="G55" i="104"/>
  <c r="F55" i="104"/>
  <c r="E55" i="104"/>
  <c r="D55" i="104"/>
  <c r="C55" i="104"/>
  <c r="L54" i="104"/>
  <c r="Z54" i="104" s="1"/>
  <c r="L53" i="104"/>
  <c r="Z53" i="104" s="1"/>
  <c r="AA52" i="104"/>
  <c r="L52" i="104"/>
  <c r="AA51" i="104"/>
  <c r="L51" i="104"/>
  <c r="AA50" i="104"/>
  <c r="L50" i="104"/>
  <c r="Z50" i="104" s="1"/>
  <c r="AA49" i="104"/>
  <c r="L49" i="104"/>
  <c r="AA48" i="104"/>
  <c r="L48" i="104"/>
  <c r="Z48" i="104" s="1"/>
  <c r="AA47" i="104"/>
  <c r="L47" i="104"/>
  <c r="AA46" i="104"/>
  <c r="L46" i="104"/>
  <c r="AA45" i="104"/>
  <c r="L45" i="104"/>
  <c r="AA44" i="104"/>
  <c r="L44" i="104"/>
  <c r="AA43" i="104"/>
  <c r="L43" i="104"/>
  <c r="AA42" i="104"/>
  <c r="L42" i="104"/>
  <c r="Z42" i="104" s="1"/>
  <c r="AA41" i="104"/>
  <c r="L41" i="104"/>
  <c r="AA40" i="104"/>
  <c r="L40" i="104"/>
  <c r="Z40" i="104" s="1"/>
  <c r="AA39" i="104"/>
  <c r="L39" i="104"/>
  <c r="AA38" i="104"/>
  <c r="L38" i="104"/>
  <c r="Y37" i="104"/>
  <c r="X37" i="104"/>
  <c r="W37" i="104"/>
  <c r="U37" i="104"/>
  <c r="T37" i="104"/>
  <c r="S37" i="104"/>
  <c r="R37" i="104"/>
  <c r="Q37" i="104"/>
  <c r="P37" i="104"/>
  <c r="O37" i="104"/>
  <c r="N37" i="104"/>
  <c r="M37" i="104"/>
  <c r="K37" i="104"/>
  <c r="J37" i="104"/>
  <c r="I37" i="104"/>
  <c r="H37" i="104"/>
  <c r="G37" i="104"/>
  <c r="F37" i="104"/>
  <c r="E37" i="104"/>
  <c r="D37" i="104"/>
  <c r="C37" i="104"/>
  <c r="AA36" i="104"/>
  <c r="L36" i="104"/>
  <c r="AA35" i="104"/>
  <c r="L35" i="104"/>
  <c r="Z35" i="104" s="1"/>
  <c r="AA34" i="104"/>
  <c r="L34" i="104"/>
  <c r="Z34" i="104" s="1"/>
  <c r="AA33" i="104"/>
  <c r="L33" i="104"/>
  <c r="Z33" i="104" s="1"/>
  <c r="AA32" i="104"/>
  <c r="L32" i="104"/>
  <c r="AA31" i="104"/>
  <c r="L31" i="104"/>
  <c r="AA30" i="104"/>
  <c r="L30" i="104"/>
  <c r="Z30" i="104" s="1"/>
  <c r="AA29" i="104"/>
  <c r="L29" i="104"/>
  <c r="AA28" i="104"/>
  <c r="L28" i="104"/>
  <c r="AA27" i="104"/>
  <c r="L27" i="104"/>
  <c r="AA26" i="104"/>
  <c r="L26" i="104"/>
  <c r="Z26" i="104" s="1"/>
  <c r="AA25" i="104"/>
  <c r="L25" i="104"/>
  <c r="L24" i="104"/>
  <c r="Y23" i="104"/>
  <c r="X23" i="104"/>
  <c r="W23" i="104"/>
  <c r="U23" i="104"/>
  <c r="T23" i="104"/>
  <c r="S23" i="104"/>
  <c r="R23" i="104"/>
  <c r="Q23" i="104"/>
  <c r="P23" i="104"/>
  <c r="O23" i="104"/>
  <c r="N23" i="104"/>
  <c r="M23" i="104"/>
  <c r="K23" i="104"/>
  <c r="J23" i="104"/>
  <c r="I23" i="104"/>
  <c r="H23" i="104"/>
  <c r="G23" i="104"/>
  <c r="F23" i="104"/>
  <c r="E23" i="104"/>
  <c r="D23" i="104"/>
  <c r="C23" i="104"/>
  <c r="L22" i="104"/>
  <c r="Z22" i="104" s="1"/>
  <c r="L21" i="104"/>
  <c r="Z21" i="104" s="1"/>
  <c r="L20" i="104"/>
  <c r="Z20" i="104" s="1"/>
  <c r="L19" i="104"/>
  <c r="Z19" i="104" s="1"/>
  <c r="L18" i="104"/>
  <c r="Z18" i="104" s="1"/>
  <c r="L17" i="104"/>
  <c r="Z17" i="104" s="1"/>
  <c r="L16" i="104"/>
  <c r="Z16" i="104" s="1"/>
  <c r="L15" i="104"/>
  <c r="Z15" i="104" s="1"/>
  <c r="L14" i="104"/>
  <c r="Z14" i="104" s="1"/>
  <c r="L13" i="104"/>
  <c r="Z13" i="104" s="1"/>
  <c r="L12" i="104"/>
  <c r="Z12" i="104" s="1"/>
  <c r="L11" i="104"/>
  <c r="Z11" i="104" s="1"/>
  <c r="L10" i="104"/>
  <c r="Z10" i="104" s="1"/>
  <c r="L9" i="104"/>
  <c r="Z9" i="104" s="1"/>
  <c r="L8" i="104"/>
  <c r="Z8" i="104" s="1"/>
  <c r="L7" i="104"/>
  <c r="Z7" i="104" s="1"/>
  <c r="AA6" i="104"/>
  <c r="L6" i="104"/>
  <c r="Z6" i="104" s="1"/>
  <c r="Z23" i="104" l="1"/>
  <c r="X107" i="104"/>
  <c r="X109" i="104" s="1"/>
  <c r="Z81" i="104"/>
  <c r="Z95" i="104"/>
  <c r="V72" i="104"/>
  <c r="Z80" i="104"/>
  <c r="Z88" i="104"/>
  <c r="Z90" i="104"/>
  <c r="Z98" i="104"/>
  <c r="Z79" i="104"/>
  <c r="Z49" i="104"/>
  <c r="L55" i="104"/>
  <c r="Z39" i="104"/>
  <c r="Z47" i="104"/>
  <c r="Z41" i="104"/>
  <c r="Z28" i="104"/>
  <c r="Z32" i="104"/>
  <c r="H107" i="104"/>
  <c r="H109" i="104" s="1"/>
  <c r="Y107" i="104"/>
  <c r="Y109" i="104" s="1"/>
  <c r="Z78" i="104"/>
  <c r="Z86" i="104"/>
  <c r="V89" i="104"/>
  <c r="O107" i="104"/>
  <c r="O109" i="104" s="1"/>
  <c r="P107" i="104"/>
  <c r="P109" i="104" s="1"/>
  <c r="V106" i="104"/>
  <c r="Z93" i="104"/>
  <c r="Z101" i="104"/>
  <c r="Z91" i="104"/>
  <c r="Z96" i="104"/>
  <c r="Z104" i="104"/>
  <c r="Z99" i="104"/>
  <c r="Z94" i="104"/>
  <c r="Z102" i="104"/>
  <c r="R107" i="104"/>
  <c r="R109" i="104" s="1"/>
  <c r="Z38" i="104"/>
  <c r="Z44" i="104"/>
  <c r="Z36" i="104"/>
  <c r="Z24" i="104"/>
  <c r="Z29" i="104"/>
  <c r="Z31" i="104"/>
  <c r="V37" i="104"/>
  <c r="Z27" i="104"/>
  <c r="Q107" i="104"/>
  <c r="Q109" i="104" s="1"/>
  <c r="V23" i="104"/>
  <c r="S107" i="104"/>
  <c r="S109" i="104" s="1"/>
  <c r="T107" i="104"/>
  <c r="T109" i="104" s="1"/>
  <c r="U107" i="104"/>
  <c r="U109" i="104" s="1"/>
  <c r="Z46" i="104"/>
  <c r="M107" i="104"/>
  <c r="M109" i="104" s="1"/>
  <c r="N107" i="104"/>
  <c r="N109" i="104" s="1"/>
  <c r="Z52" i="104"/>
  <c r="AA106" i="104"/>
  <c r="Z77" i="104"/>
  <c r="Z85" i="104"/>
  <c r="Z75" i="104"/>
  <c r="Z83" i="104"/>
  <c r="L89" i="104"/>
  <c r="AA89" i="104"/>
  <c r="Z87" i="104"/>
  <c r="L72" i="104"/>
  <c r="AA72" i="104"/>
  <c r="Z45" i="104"/>
  <c r="Z43" i="104"/>
  <c r="Z51" i="104"/>
  <c r="AA55" i="104"/>
  <c r="AA37" i="104"/>
  <c r="L37" i="104"/>
  <c r="F107" i="104"/>
  <c r="F109" i="104" s="1"/>
  <c r="K107" i="104"/>
  <c r="K109" i="104" s="1"/>
  <c r="C107" i="104"/>
  <c r="C109" i="104" s="1"/>
  <c r="I107" i="104"/>
  <c r="I109" i="104" s="1"/>
  <c r="D107" i="104"/>
  <c r="D109" i="104" s="1"/>
  <c r="J107" i="104"/>
  <c r="J109" i="104" s="1"/>
  <c r="E107" i="104"/>
  <c r="E109" i="104" s="1"/>
  <c r="AA23" i="104"/>
  <c r="L23" i="104"/>
  <c r="G107" i="104"/>
  <c r="G109" i="104" s="1"/>
  <c r="Z57" i="104"/>
  <c r="Z73" i="104"/>
  <c r="V55" i="104"/>
  <c r="L106" i="104"/>
  <c r="Z25" i="104"/>
  <c r="Z56" i="104"/>
  <c r="Z106" i="104" l="1"/>
  <c r="Z37" i="104"/>
  <c r="V107" i="104"/>
  <c r="V109" i="104" s="1"/>
  <c r="Z55" i="104"/>
  <c r="AA107" i="104"/>
  <c r="Z89" i="104"/>
  <c r="L107" i="104"/>
  <c r="L109" i="104" s="1"/>
  <c r="Z72" i="104"/>
  <c r="W72" i="104"/>
  <c r="W107" i="104" s="1"/>
  <c r="W109" i="104" s="1"/>
  <c r="V39" i="105"/>
  <c r="V40" i="105"/>
  <c r="V41" i="105"/>
  <c r="V42" i="105"/>
  <c r="V43" i="105"/>
  <c r="V44" i="105"/>
  <c r="V45" i="105"/>
  <c r="V46" i="105"/>
  <c r="V47" i="105"/>
  <c r="V38" i="105"/>
  <c r="V7" i="105"/>
  <c r="V8" i="105"/>
  <c r="V9" i="105"/>
  <c r="V10" i="105"/>
  <c r="V11" i="105"/>
  <c r="V12" i="105"/>
  <c r="V13" i="105"/>
  <c r="V14" i="105"/>
  <c r="V15" i="105"/>
  <c r="V16" i="105"/>
  <c r="V17" i="105"/>
  <c r="V18" i="105"/>
  <c r="V19" i="105"/>
  <c r="V20" i="105"/>
  <c r="V21" i="105"/>
  <c r="V22" i="105"/>
  <c r="V6" i="105"/>
  <c r="V91" i="105"/>
  <c r="V92" i="105"/>
  <c r="V93" i="105"/>
  <c r="V94" i="105"/>
  <c r="V95" i="105"/>
  <c r="V96" i="105"/>
  <c r="V97" i="105"/>
  <c r="V98" i="105"/>
  <c r="V99" i="105"/>
  <c r="V100" i="105"/>
  <c r="V101" i="105"/>
  <c r="V102" i="105"/>
  <c r="V103" i="105"/>
  <c r="V104" i="105"/>
  <c r="V90" i="105"/>
  <c r="V105" i="105"/>
  <c r="W72" i="105" l="1"/>
  <c r="AA109" i="104"/>
  <c r="Z107" i="104"/>
  <c r="Z109" i="104" s="1"/>
  <c r="L22" i="105"/>
  <c r="Z22" i="105" s="1"/>
  <c r="Y106" i="105" l="1"/>
  <c r="X106" i="105"/>
  <c r="W106" i="105"/>
  <c r="U106" i="105"/>
  <c r="T106" i="105"/>
  <c r="S106" i="105"/>
  <c r="R106" i="105"/>
  <c r="Q106" i="105"/>
  <c r="P106" i="105"/>
  <c r="O106" i="105"/>
  <c r="N106" i="105"/>
  <c r="M106" i="105"/>
  <c r="K106" i="105"/>
  <c r="J106" i="105"/>
  <c r="I106" i="105"/>
  <c r="H106" i="105"/>
  <c r="G106" i="105"/>
  <c r="F106" i="105"/>
  <c r="E106" i="105"/>
  <c r="D106" i="105"/>
  <c r="C106" i="105"/>
  <c r="AA105" i="105"/>
  <c r="L105" i="105"/>
  <c r="Z105" i="105" s="1"/>
  <c r="AA104" i="105"/>
  <c r="L104" i="105"/>
  <c r="AA103" i="105"/>
  <c r="L103" i="105"/>
  <c r="Z103" i="105" s="1"/>
  <c r="AA102" i="105"/>
  <c r="L102" i="105"/>
  <c r="AA101" i="105"/>
  <c r="L101" i="105"/>
  <c r="AA100" i="105"/>
  <c r="L100" i="105"/>
  <c r="AA99" i="105"/>
  <c r="L99" i="105"/>
  <c r="AA98" i="105"/>
  <c r="L98" i="105"/>
  <c r="AA97" i="105"/>
  <c r="L97" i="105"/>
  <c r="AA96" i="105"/>
  <c r="L96" i="105"/>
  <c r="Z96" i="105" s="1"/>
  <c r="AA95" i="105"/>
  <c r="L95" i="105"/>
  <c r="Z95" i="105" s="1"/>
  <c r="AA94" i="105"/>
  <c r="L94" i="105"/>
  <c r="Z94" i="105" s="1"/>
  <c r="AA93" i="105"/>
  <c r="L93" i="105"/>
  <c r="Z93" i="105" s="1"/>
  <c r="AA92" i="105"/>
  <c r="L92" i="105"/>
  <c r="AA91" i="105"/>
  <c r="L91" i="105"/>
  <c r="AB91" i="105" s="1"/>
  <c r="AA90" i="105"/>
  <c r="L90" i="105"/>
  <c r="Y89" i="105"/>
  <c r="X89" i="105"/>
  <c r="W89" i="105"/>
  <c r="U89" i="105"/>
  <c r="T89" i="105"/>
  <c r="S89" i="105"/>
  <c r="R89" i="105"/>
  <c r="Q89" i="105"/>
  <c r="P89" i="105"/>
  <c r="O89" i="105"/>
  <c r="N89" i="105"/>
  <c r="M89" i="105"/>
  <c r="K89" i="105"/>
  <c r="J89" i="105"/>
  <c r="I89" i="105"/>
  <c r="H89" i="105"/>
  <c r="G89" i="105"/>
  <c r="F89" i="105"/>
  <c r="E89" i="105"/>
  <c r="D89" i="105"/>
  <c r="C89" i="105"/>
  <c r="AA88" i="105"/>
  <c r="L88" i="105"/>
  <c r="Z88" i="105" s="1"/>
  <c r="AA87" i="105"/>
  <c r="L87" i="105"/>
  <c r="Z87" i="105" s="1"/>
  <c r="AA86" i="105"/>
  <c r="L86" i="105"/>
  <c r="Z86" i="105" s="1"/>
  <c r="AA85" i="105"/>
  <c r="L85" i="105"/>
  <c r="AA84" i="105"/>
  <c r="L84" i="105"/>
  <c r="Z84" i="105" s="1"/>
  <c r="AA83" i="105"/>
  <c r="L83" i="105"/>
  <c r="AA82" i="105"/>
  <c r="L82" i="105"/>
  <c r="AA81" i="105"/>
  <c r="L81" i="105"/>
  <c r="AA80" i="105"/>
  <c r="L80" i="105"/>
  <c r="Z80" i="105" s="1"/>
  <c r="AA79" i="105"/>
  <c r="L79" i="105"/>
  <c r="AA78" i="105"/>
  <c r="L78" i="105"/>
  <c r="Z78" i="105" s="1"/>
  <c r="AA77" i="105"/>
  <c r="L77" i="105"/>
  <c r="Z77" i="105" s="1"/>
  <c r="AA76" i="105"/>
  <c r="L76" i="105"/>
  <c r="Z76" i="105" s="1"/>
  <c r="AA75" i="105"/>
  <c r="L75" i="105"/>
  <c r="AA74" i="105"/>
  <c r="L74" i="105"/>
  <c r="AA73" i="105"/>
  <c r="Z73" i="105"/>
  <c r="Y72" i="105"/>
  <c r="X72" i="105"/>
  <c r="U72" i="105"/>
  <c r="T72" i="105"/>
  <c r="S72" i="105"/>
  <c r="R72" i="105"/>
  <c r="Q72" i="105"/>
  <c r="P72" i="105"/>
  <c r="O72" i="105"/>
  <c r="N72" i="105"/>
  <c r="M72" i="105"/>
  <c r="K72" i="105"/>
  <c r="J72" i="105"/>
  <c r="I72" i="105"/>
  <c r="H72" i="105"/>
  <c r="G72" i="105"/>
  <c r="F72" i="105"/>
  <c r="E72" i="105"/>
  <c r="D72" i="105"/>
  <c r="C72" i="105"/>
  <c r="AA71" i="105"/>
  <c r="AB71" i="105"/>
  <c r="AA70" i="105"/>
  <c r="AA69" i="105"/>
  <c r="AA68" i="105"/>
  <c r="Z68" i="105"/>
  <c r="AA67" i="105"/>
  <c r="AA66" i="105"/>
  <c r="Z66" i="105"/>
  <c r="AA65" i="105"/>
  <c r="AA64" i="105"/>
  <c r="Z64" i="105"/>
  <c r="AA63" i="105"/>
  <c r="AA62" i="105"/>
  <c r="Z62" i="105"/>
  <c r="AA61" i="105"/>
  <c r="AA60" i="105"/>
  <c r="Z60" i="105"/>
  <c r="AA59" i="105"/>
  <c r="AA58" i="105"/>
  <c r="Z58" i="105"/>
  <c r="AA57" i="105"/>
  <c r="AA56" i="105"/>
  <c r="L56" i="105"/>
  <c r="Z56" i="105" s="1"/>
  <c r="Y55" i="105"/>
  <c r="X55" i="105"/>
  <c r="W55" i="105"/>
  <c r="U55" i="105"/>
  <c r="T55" i="105"/>
  <c r="S55" i="105"/>
  <c r="R55" i="105"/>
  <c r="Q55" i="105"/>
  <c r="P55" i="105"/>
  <c r="O55" i="105"/>
  <c r="N55" i="105"/>
  <c r="M55" i="105"/>
  <c r="K55" i="105"/>
  <c r="J55" i="105"/>
  <c r="I55" i="105"/>
  <c r="H55" i="105"/>
  <c r="G55" i="105"/>
  <c r="F55" i="105"/>
  <c r="E55" i="105"/>
  <c r="D55" i="105"/>
  <c r="C55" i="105"/>
  <c r="AA54" i="105"/>
  <c r="L54" i="105"/>
  <c r="Z54" i="105" s="1"/>
  <c r="AA53" i="105"/>
  <c r="L53" i="105"/>
  <c r="Z53" i="105" s="1"/>
  <c r="AA52" i="105"/>
  <c r="L52" i="105"/>
  <c r="Z52" i="105" s="1"/>
  <c r="AA51" i="105"/>
  <c r="L51" i="105"/>
  <c r="Z51" i="105" s="1"/>
  <c r="AA50" i="105"/>
  <c r="L50" i="105"/>
  <c r="Z50" i="105" s="1"/>
  <c r="AA49" i="105"/>
  <c r="L49" i="105"/>
  <c r="Z49" i="105" s="1"/>
  <c r="AA48" i="105"/>
  <c r="L48" i="105"/>
  <c r="Z48" i="105" s="1"/>
  <c r="AA47" i="105"/>
  <c r="L47" i="105"/>
  <c r="Z47" i="105" s="1"/>
  <c r="AA46" i="105"/>
  <c r="L46" i="105"/>
  <c r="AA45" i="105"/>
  <c r="L45" i="105"/>
  <c r="Z45" i="105" s="1"/>
  <c r="AA44" i="105"/>
  <c r="L44" i="105"/>
  <c r="AA43" i="105"/>
  <c r="L43" i="105"/>
  <c r="Z43" i="105" s="1"/>
  <c r="AA42" i="105"/>
  <c r="L42" i="105"/>
  <c r="AA41" i="105"/>
  <c r="L41" i="105"/>
  <c r="Z41" i="105" s="1"/>
  <c r="AA40" i="105"/>
  <c r="L40" i="105"/>
  <c r="Z40" i="105" s="1"/>
  <c r="AA39" i="105"/>
  <c r="L39" i="105"/>
  <c r="Z39" i="105" s="1"/>
  <c r="AA38" i="105"/>
  <c r="V55" i="105"/>
  <c r="L38" i="105"/>
  <c r="Y37" i="105"/>
  <c r="X37" i="105"/>
  <c r="W37" i="105"/>
  <c r="U37" i="105"/>
  <c r="T37" i="105"/>
  <c r="S37" i="105"/>
  <c r="R37" i="105"/>
  <c r="Q37" i="105"/>
  <c r="P37" i="105"/>
  <c r="O37" i="105"/>
  <c r="N37" i="105"/>
  <c r="M37" i="105"/>
  <c r="K37" i="105"/>
  <c r="J37" i="105"/>
  <c r="I37" i="105"/>
  <c r="H37" i="105"/>
  <c r="G37" i="105"/>
  <c r="F37" i="105"/>
  <c r="E37" i="105"/>
  <c r="D37" i="105"/>
  <c r="C37" i="105"/>
  <c r="AA36" i="105"/>
  <c r="Z36" i="105"/>
  <c r="AA35" i="105"/>
  <c r="Z35" i="105"/>
  <c r="AA34" i="105"/>
  <c r="Z34" i="105"/>
  <c r="AA33" i="105"/>
  <c r="Z33" i="105"/>
  <c r="AA32" i="105"/>
  <c r="Z32" i="105"/>
  <c r="AA31" i="105"/>
  <c r="AA30" i="105"/>
  <c r="Z30" i="105"/>
  <c r="AA29" i="105"/>
  <c r="AA28" i="105"/>
  <c r="Z28" i="105"/>
  <c r="AA27" i="105"/>
  <c r="AA26" i="105"/>
  <c r="Z26" i="105"/>
  <c r="AA25" i="105"/>
  <c r="V37" i="105"/>
  <c r="AA24" i="105"/>
  <c r="L24" i="105"/>
  <c r="Y23" i="105"/>
  <c r="X23" i="105"/>
  <c r="W23" i="105"/>
  <c r="U23" i="105"/>
  <c r="T23" i="105"/>
  <c r="S23" i="105"/>
  <c r="R23" i="105"/>
  <c r="Q23" i="105"/>
  <c r="P23" i="105"/>
  <c r="O23" i="105"/>
  <c r="N23" i="105"/>
  <c r="M23" i="105"/>
  <c r="K23" i="105"/>
  <c r="J23" i="105"/>
  <c r="I23" i="105"/>
  <c r="H23" i="105"/>
  <c r="G23" i="105"/>
  <c r="F23" i="105"/>
  <c r="E23" i="105"/>
  <c r="D23" i="105"/>
  <c r="C23" i="105"/>
  <c r="AA22" i="105"/>
  <c r="AA21" i="105"/>
  <c r="L21" i="105"/>
  <c r="AA20" i="105"/>
  <c r="L20" i="105"/>
  <c r="AA19" i="105"/>
  <c r="L19" i="105"/>
  <c r="AA18" i="105"/>
  <c r="L18" i="105"/>
  <c r="AA17" i="105"/>
  <c r="L17" i="105"/>
  <c r="AA16" i="105"/>
  <c r="L16" i="105"/>
  <c r="Z16" i="105" s="1"/>
  <c r="AA15" i="105"/>
  <c r="L15" i="105"/>
  <c r="AA14" i="105"/>
  <c r="L14" i="105"/>
  <c r="AA13" i="105"/>
  <c r="L13" i="105"/>
  <c r="AA12" i="105"/>
  <c r="L12" i="105"/>
  <c r="Z12" i="105" s="1"/>
  <c r="AA11" i="105"/>
  <c r="L11" i="105"/>
  <c r="AA10" i="105"/>
  <c r="L10" i="105"/>
  <c r="Z10" i="105" s="1"/>
  <c r="AA9" i="105"/>
  <c r="L9" i="105"/>
  <c r="AA8" i="105"/>
  <c r="L8" i="105"/>
  <c r="Z8" i="105" s="1"/>
  <c r="AA7" i="105"/>
  <c r="L7" i="105"/>
  <c r="Z7" i="105" s="1"/>
  <c r="AA6" i="105"/>
  <c r="L6" i="105"/>
  <c r="Z6" i="105" s="1"/>
  <c r="X107" i="105" l="1"/>
  <c r="X109" i="105" s="1"/>
  <c r="Z70" i="105"/>
  <c r="Z65" i="105"/>
  <c r="Z57" i="105"/>
  <c r="Z81" i="105"/>
  <c r="Z83" i="105"/>
  <c r="Z101" i="105"/>
  <c r="Z99" i="105"/>
  <c r="Z13" i="105"/>
  <c r="Z11" i="105"/>
  <c r="U107" i="105"/>
  <c r="U109" i="105" s="1"/>
  <c r="W107" i="105"/>
  <c r="W109" i="105" s="1"/>
  <c r="Z100" i="105"/>
  <c r="Z104" i="105"/>
  <c r="Z74" i="105"/>
  <c r="Z82" i="105"/>
  <c r="P107" i="105"/>
  <c r="P109" i="105" s="1"/>
  <c r="R107" i="105"/>
  <c r="R109" i="105" s="1"/>
  <c r="Z75" i="105"/>
  <c r="Z85" i="105"/>
  <c r="Z79" i="105"/>
  <c r="Z98" i="105"/>
  <c r="Z97" i="105"/>
  <c r="AA106" i="105"/>
  <c r="Z102" i="105"/>
  <c r="L106" i="105"/>
  <c r="Z90" i="105"/>
  <c r="AA89" i="105"/>
  <c r="L89" i="105"/>
  <c r="AA72" i="105"/>
  <c r="AB56" i="105"/>
  <c r="Z59" i="105"/>
  <c r="Z67" i="105"/>
  <c r="Z63" i="105"/>
  <c r="L72" i="105"/>
  <c r="Z61" i="105"/>
  <c r="L55" i="105"/>
  <c r="Z42" i="105"/>
  <c r="AA55" i="105"/>
  <c r="Z44" i="105"/>
  <c r="Z46" i="105"/>
  <c r="L37" i="105"/>
  <c r="Z29" i="105"/>
  <c r="J107" i="105"/>
  <c r="J109" i="105" s="1"/>
  <c r="AA37" i="105"/>
  <c r="Z27" i="105"/>
  <c r="Z31" i="105"/>
  <c r="Z15" i="105"/>
  <c r="H107" i="105"/>
  <c r="H109" i="105" s="1"/>
  <c r="D107" i="105"/>
  <c r="D109" i="105" s="1"/>
  <c r="E107" i="105"/>
  <c r="E109" i="105" s="1"/>
  <c r="F107" i="105"/>
  <c r="F109" i="105" s="1"/>
  <c r="Z17" i="105"/>
  <c r="C107" i="105"/>
  <c r="C109" i="105" s="1"/>
  <c r="K107" i="105"/>
  <c r="K109" i="105" s="1"/>
  <c r="G107" i="105"/>
  <c r="G109" i="105" s="1"/>
  <c r="Z21" i="105"/>
  <c r="Z9" i="105"/>
  <c r="Z19" i="105"/>
  <c r="I107" i="105"/>
  <c r="I109" i="105" s="1"/>
  <c r="Y107" i="105"/>
  <c r="Y109" i="105" s="1"/>
  <c r="T107" i="105"/>
  <c r="T109" i="105" s="1"/>
  <c r="N107" i="105"/>
  <c r="N109" i="105" s="1"/>
  <c r="Z14" i="105"/>
  <c r="M107" i="105"/>
  <c r="M109" i="105" s="1"/>
  <c r="O107" i="105"/>
  <c r="O109" i="105" s="1"/>
  <c r="Q107" i="105"/>
  <c r="Q109" i="105" s="1"/>
  <c r="V23" i="105"/>
  <c r="Z20" i="105"/>
  <c r="AA23" i="105"/>
  <c r="Z18" i="105"/>
  <c r="S107" i="105"/>
  <c r="S109" i="105" s="1"/>
  <c r="V72" i="105"/>
  <c r="Z25" i="105"/>
  <c r="Z38" i="105"/>
  <c r="Z69" i="105"/>
  <c r="L23" i="105"/>
  <c r="AB67" i="105"/>
  <c r="V106" i="105"/>
  <c r="Z71" i="105"/>
  <c r="Z92" i="105"/>
  <c r="Z24" i="105"/>
  <c r="Z91" i="105"/>
  <c r="U36" i="108"/>
  <c r="T36" i="108"/>
  <c r="S36" i="108"/>
  <c r="R36" i="108"/>
  <c r="Q36" i="108"/>
  <c r="P36" i="108"/>
  <c r="O36" i="108"/>
  <c r="N36" i="108"/>
  <c r="M36" i="108"/>
  <c r="U35" i="108"/>
  <c r="T35" i="108"/>
  <c r="S35" i="108"/>
  <c r="R35" i="108"/>
  <c r="Q35" i="108"/>
  <c r="P35" i="108"/>
  <c r="O35" i="108"/>
  <c r="N35" i="108"/>
  <c r="M35" i="108"/>
  <c r="U34" i="108"/>
  <c r="T34" i="108"/>
  <c r="S34" i="108"/>
  <c r="R34" i="108"/>
  <c r="Q34" i="108"/>
  <c r="P34" i="108"/>
  <c r="O34" i="108"/>
  <c r="N34" i="108"/>
  <c r="M34" i="108"/>
  <c r="U33" i="108"/>
  <c r="T33" i="108"/>
  <c r="S33" i="108"/>
  <c r="R33" i="108"/>
  <c r="Q33" i="108"/>
  <c r="P33" i="108"/>
  <c r="O33" i="108"/>
  <c r="N33" i="108"/>
  <c r="M33" i="108"/>
  <c r="U32" i="108"/>
  <c r="T32" i="108"/>
  <c r="S32" i="108"/>
  <c r="R32" i="108"/>
  <c r="Q32" i="108"/>
  <c r="P32" i="108"/>
  <c r="O32" i="108"/>
  <c r="N32" i="108"/>
  <c r="M32" i="108"/>
  <c r="U31" i="108"/>
  <c r="T31" i="108"/>
  <c r="S31" i="108"/>
  <c r="R31" i="108"/>
  <c r="Q31" i="108"/>
  <c r="P31" i="108"/>
  <c r="O31" i="108"/>
  <c r="N31" i="108"/>
  <c r="M31" i="108"/>
  <c r="U30" i="108"/>
  <c r="T30" i="108"/>
  <c r="S30" i="108"/>
  <c r="R30" i="108"/>
  <c r="Q30" i="108"/>
  <c r="P30" i="108"/>
  <c r="O30" i="108"/>
  <c r="N30" i="108"/>
  <c r="M30" i="108"/>
  <c r="U29" i="108"/>
  <c r="T29" i="108"/>
  <c r="S29" i="108"/>
  <c r="R29" i="108"/>
  <c r="Q29" i="108"/>
  <c r="P29" i="108"/>
  <c r="O29" i="108"/>
  <c r="N29" i="108"/>
  <c r="M29" i="108"/>
  <c r="U28" i="108"/>
  <c r="T28" i="108"/>
  <c r="S28" i="108"/>
  <c r="R28" i="108"/>
  <c r="Q28" i="108"/>
  <c r="P28" i="108"/>
  <c r="O28" i="108"/>
  <c r="N28" i="108"/>
  <c r="M28" i="108"/>
  <c r="U27" i="108"/>
  <c r="T27" i="108"/>
  <c r="S27" i="108"/>
  <c r="R27" i="108"/>
  <c r="Q27" i="108"/>
  <c r="P27" i="108"/>
  <c r="O27" i="108"/>
  <c r="N27" i="108"/>
  <c r="M27" i="108"/>
  <c r="U26" i="108"/>
  <c r="T26" i="108"/>
  <c r="S26" i="108"/>
  <c r="R26" i="108"/>
  <c r="Q26" i="108"/>
  <c r="P26" i="108"/>
  <c r="O26" i="108"/>
  <c r="N26" i="108"/>
  <c r="M26" i="108"/>
  <c r="U25" i="108"/>
  <c r="T25" i="108"/>
  <c r="S25" i="108"/>
  <c r="R25" i="108"/>
  <c r="Q25" i="108"/>
  <c r="P25" i="108"/>
  <c r="O25" i="108"/>
  <c r="N25" i="108"/>
  <c r="M25" i="108"/>
  <c r="U24" i="108"/>
  <c r="T24" i="108"/>
  <c r="S24" i="108"/>
  <c r="R24" i="108"/>
  <c r="Q24" i="108"/>
  <c r="P24" i="108"/>
  <c r="O24" i="108"/>
  <c r="N24" i="108"/>
  <c r="M24" i="108"/>
  <c r="M38" i="108"/>
  <c r="N38" i="108"/>
  <c r="O38" i="108"/>
  <c r="P38" i="108"/>
  <c r="Q38" i="108"/>
  <c r="R38" i="108"/>
  <c r="S38" i="108"/>
  <c r="T38" i="108"/>
  <c r="U38" i="108"/>
  <c r="M39" i="108"/>
  <c r="N39" i="108"/>
  <c r="O39" i="108"/>
  <c r="P39" i="108"/>
  <c r="Q39" i="108"/>
  <c r="R39" i="108"/>
  <c r="S39" i="108"/>
  <c r="T39" i="108"/>
  <c r="U39" i="108"/>
  <c r="M40" i="108"/>
  <c r="N40" i="108"/>
  <c r="O40" i="108"/>
  <c r="P40" i="108"/>
  <c r="Q40" i="108"/>
  <c r="R40" i="108"/>
  <c r="S40" i="108"/>
  <c r="T40" i="108"/>
  <c r="U40" i="108"/>
  <c r="Z89" i="105" l="1"/>
  <c r="Z106" i="105"/>
  <c r="Z72" i="105"/>
  <c r="L107" i="105"/>
  <c r="L109" i="105" s="1"/>
  <c r="AA107" i="105"/>
  <c r="AA109" i="105" s="1"/>
  <c r="Z55" i="105"/>
  <c r="Z37" i="105"/>
  <c r="Z23" i="105"/>
  <c r="V107" i="105"/>
  <c r="V109" i="105" s="1"/>
  <c r="X91" i="108"/>
  <c r="Y91" i="108"/>
  <c r="X92" i="108"/>
  <c r="Y92" i="108"/>
  <c r="X93" i="108"/>
  <c r="Y93" i="108"/>
  <c r="X94" i="108"/>
  <c r="Y94" i="108"/>
  <c r="X95" i="108"/>
  <c r="Y95" i="108"/>
  <c r="X96" i="108"/>
  <c r="Y96" i="108"/>
  <c r="X97" i="108"/>
  <c r="Y97" i="108"/>
  <c r="X98" i="108"/>
  <c r="Y98" i="108"/>
  <c r="X99" i="108"/>
  <c r="Y99" i="108"/>
  <c r="X100" i="108"/>
  <c r="Y100" i="108"/>
  <c r="X101" i="108"/>
  <c r="Y101" i="108"/>
  <c r="X102" i="108"/>
  <c r="Y102" i="108"/>
  <c r="X103" i="108"/>
  <c r="Y103" i="108"/>
  <c r="X104" i="108"/>
  <c r="Y104" i="108"/>
  <c r="X105" i="108"/>
  <c r="Y105" i="108"/>
  <c r="Y90" i="108"/>
  <c r="X74" i="108"/>
  <c r="Y74" i="108"/>
  <c r="X75" i="108"/>
  <c r="Y75" i="108"/>
  <c r="X76" i="108"/>
  <c r="Y76" i="108"/>
  <c r="X77" i="108"/>
  <c r="Y77" i="108"/>
  <c r="X78" i="108"/>
  <c r="Y78" i="108"/>
  <c r="X79" i="108"/>
  <c r="Y79" i="108"/>
  <c r="X80" i="108"/>
  <c r="Y80" i="108"/>
  <c r="X81" i="108"/>
  <c r="Y81" i="108"/>
  <c r="X82" i="108"/>
  <c r="Y82" i="108"/>
  <c r="X83" i="108"/>
  <c r="Y83" i="108"/>
  <c r="X84" i="108"/>
  <c r="Y84" i="108"/>
  <c r="X85" i="108"/>
  <c r="Y85" i="108"/>
  <c r="X86" i="108"/>
  <c r="Y86" i="108"/>
  <c r="X87" i="108"/>
  <c r="Y87" i="108"/>
  <c r="X88" i="108"/>
  <c r="Y88" i="108"/>
  <c r="Y73" i="108"/>
  <c r="X57" i="108"/>
  <c r="Y57" i="108"/>
  <c r="X58" i="108"/>
  <c r="Y58" i="108"/>
  <c r="X59" i="108"/>
  <c r="Y59" i="108"/>
  <c r="X60" i="108"/>
  <c r="Y60" i="108"/>
  <c r="X61" i="108"/>
  <c r="Y61" i="108"/>
  <c r="X62" i="108"/>
  <c r="Y62" i="108"/>
  <c r="X63" i="108"/>
  <c r="Y63" i="108"/>
  <c r="X64" i="108"/>
  <c r="Y64" i="108"/>
  <c r="X65" i="108"/>
  <c r="Y65" i="108"/>
  <c r="X66" i="108"/>
  <c r="Y66" i="108"/>
  <c r="X67" i="108"/>
  <c r="Y67" i="108"/>
  <c r="X68" i="108"/>
  <c r="Y68" i="108"/>
  <c r="X69" i="108"/>
  <c r="Y69" i="108"/>
  <c r="X70" i="108"/>
  <c r="Y70" i="108"/>
  <c r="X71" i="108"/>
  <c r="Y71" i="108"/>
  <c r="Y56" i="108"/>
  <c r="X39" i="108"/>
  <c r="Y39" i="108"/>
  <c r="X40" i="108"/>
  <c r="Y40" i="108"/>
  <c r="X41" i="108"/>
  <c r="Y41" i="108"/>
  <c r="X42" i="108"/>
  <c r="Y42" i="108"/>
  <c r="X43" i="108"/>
  <c r="Y43" i="108"/>
  <c r="X44" i="108"/>
  <c r="Y44" i="108"/>
  <c r="X45" i="108"/>
  <c r="Y45" i="108"/>
  <c r="X46" i="108"/>
  <c r="Y46" i="108"/>
  <c r="X47" i="108"/>
  <c r="Y47" i="108"/>
  <c r="Y48" i="108"/>
  <c r="X49" i="108"/>
  <c r="Y49" i="108"/>
  <c r="X50" i="108"/>
  <c r="Y50" i="108"/>
  <c r="X51" i="108"/>
  <c r="Y51" i="108"/>
  <c r="X52" i="108"/>
  <c r="Y52" i="108"/>
  <c r="X53" i="108"/>
  <c r="Y53" i="108"/>
  <c r="X54" i="108"/>
  <c r="Y54" i="108"/>
  <c r="Y38" i="108"/>
  <c r="X25" i="108"/>
  <c r="Y25" i="108"/>
  <c r="X26" i="108"/>
  <c r="Y26" i="108"/>
  <c r="X27" i="108"/>
  <c r="Y27" i="108"/>
  <c r="X28" i="108"/>
  <c r="Y28" i="108"/>
  <c r="X29" i="108"/>
  <c r="Y29" i="108"/>
  <c r="X30" i="108"/>
  <c r="Y30" i="108"/>
  <c r="X31" i="108"/>
  <c r="Y31" i="108"/>
  <c r="X32" i="108"/>
  <c r="Y32" i="108"/>
  <c r="X33" i="108"/>
  <c r="Y33" i="108"/>
  <c r="X34" i="108"/>
  <c r="Y34" i="108"/>
  <c r="X35" i="108"/>
  <c r="Y35" i="108"/>
  <c r="X36" i="108"/>
  <c r="Y36" i="108"/>
  <c r="Y24" i="108"/>
  <c r="Y22" i="108"/>
  <c r="X22" i="108"/>
  <c r="Y21" i="108"/>
  <c r="X21" i="108"/>
  <c r="Y20" i="108"/>
  <c r="X20" i="108"/>
  <c r="Y19" i="108"/>
  <c r="X19" i="108"/>
  <c r="Y18" i="108"/>
  <c r="X18" i="108"/>
  <c r="Y17" i="108"/>
  <c r="X17" i="108"/>
  <c r="Y16" i="108"/>
  <c r="X16" i="108"/>
  <c r="Y15" i="108"/>
  <c r="X15" i="108"/>
  <c r="Y14" i="108"/>
  <c r="X14" i="108"/>
  <c r="Y13" i="108"/>
  <c r="X13" i="108"/>
  <c r="Y12" i="108"/>
  <c r="X12" i="108"/>
  <c r="Y11" i="108"/>
  <c r="X11" i="108"/>
  <c r="Y10" i="108"/>
  <c r="X10" i="108"/>
  <c r="Y9" i="108"/>
  <c r="X9" i="108"/>
  <c r="Y8" i="108"/>
  <c r="X8" i="108"/>
  <c r="Y7" i="108"/>
  <c r="X7" i="108"/>
  <c r="Y6" i="108"/>
  <c r="Y106" i="109"/>
  <c r="Y89" i="109"/>
  <c r="Y72" i="109"/>
  <c r="Y55" i="109"/>
  <c r="Y37" i="109"/>
  <c r="Y23" i="109"/>
  <c r="Y106" i="99"/>
  <c r="Y89" i="99"/>
  <c r="Y72" i="99"/>
  <c r="Y55" i="99"/>
  <c r="Y37" i="99"/>
  <c r="Y23" i="99"/>
  <c r="Y106" i="98"/>
  <c r="Y89" i="98"/>
  <c r="Y72" i="98"/>
  <c r="Y55" i="98"/>
  <c r="Y37" i="98"/>
  <c r="Y23" i="98"/>
  <c r="Y106" i="97"/>
  <c r="Y89" i="97"/>
  <c r="Y72" i="97"/>
  <c r="Y55" i="97"/>
  <c r="Y37" i="97"/>
  <c r="Y23" i="97"/>
  <c r="Y106" i="96"/>
  <c r="Y89" i="96"/>
  <c r="Y72" i="96"/>
  <c r="Y37" i="96"/>
  <c r="Y23" i="96"/>
  <c r="Y106" i="100"/>
  <c r="Y89" i="100"/>
  <c r="Y72" i="100"/>
  <c r="Y55" i="100"/>
  <c r="Y37" i="100"/>
  <c r="Y23" i="100"/>
  <c r="Y106" i="101"/>
  <c r="Y89" i="101"/>
  <c r="Y72" i="101"/>
  <c r="Y55" i="101"/>
  <c r="Y37" i="101"/>
  <c r="Y23" i="101"/>
  <c r="Y106" i="102"/>
  <c r="Y89" i="102"/>
  <c r="Y72" i="102"/>
  <c r="Y55" i="102"/>
  <c r="Y37" i="102"/>
  <c r="Y23" i="102"/>
  <c r="Y106" i="103"/>
  <c r="Y89" i="103"/>
  <c r="Y72" i="103"/>
  <c r="Y55" i="103"/>
  <c r="Y37" i="103"/>
  <c r="Y23" i="103"/>
  <c r="X23" i="107"/>
  <c r="Y107" i="109" l="1"/>
  <c r="Y109" i="109" s="1"/>
  <c r="Y107" i="96"/>
  <c r="Y109" i="96" s="1"/>
  <c r="Y107" i="99"/>
  <c r="Y107" i="98"/>
  <c r="Y107" i="97"/>
  <c r="Y107" i="100"/>
  <c r="Y109" i="100" s="1"/>
  <c r="Y107" i="101"/>
  <c r="Y107" i="102"/>
  <c r="Y109" i="102" s="1"/>
  <c r="Y107" i="103"/>
  <c r="Y109" i="103" s="1"/>
  <c r="Z107" i="105"/>
  <c r="Z109" i="105" s="1"/>
  <c r="Y23" i="108"/>
  <c r="Y55" i="108"/>
  <c r="Y37" i="108"/>
  <c r="V35" i="108" l="1"/>
  <c r="V34" i="108"/>
  <c r="Y106" i="108"/>
  <c r="X90" i="108"/>
  <c r="X106" i="108" s="1"/>
  <c r="Y89" i="108"/>
  <c r="X73" i="108"/>
  <c r="X89" i="108" s="1"/>
  <c r="Y72" i="108"/>
  <c r="X56" i="108"/>
  <c r="X72" i="108" s="1"/>
  <c r="X38" i="108"/>
  <c r="X55" i="108" s="1"/>
  <c r="X24" i="108"/>
  <c r="X37" i="108" s="1"/>
  <c r="X6" i="108"/>
  <c r="X23" i="108" s="1"/>
  <c r="U7" i="108"/>
  <c r="U8" i="108"/>
  <c r="U11" i="108"/>
  <c r="U12" i="108"/>
  <c r="T7" i="108"/>
  <c r="T8" i="108"/>
  <c r="T11" i="108"/>
  <c r="T12" i="108"/>
  <c r="S7" i="108"/>
  <c r="S8" i="108"/>
  <c r="S11" i="108"/>
  <c r="S12" i="108"/>
  <c r="R7" i="108"/>
  <c r="R8" i="108"/>
  <c r="R11" i="108"/>
  <c r="R12" i="108"/>
  <c r="Q7" i="108"/>
  <c r="Q8" i="108"/>
  <c r="Q11" i="108"/>
  <c r="Q12" i="108"/>
  <c r="P7" i="108"/>
  <c r="P8" i="108"/>
  <c r="P11" i="108"/>
  <c r="P12" i="108"/>
  <c r="O7" i="108"/>
  <c r="O8" i="108"/>
  <c r="O11" i="108"/>
  <c r="O12" i="108"/>
  <c r="N7" i="108"/>
  <c r="N8" i="108"/>
  <c r="N11" i="108"/>
  <c r="N12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J7" i="108"/>
  <c r="J8" i="108"/>
  <c r="J9" i="108"/>
  <c r="J10" i="108"/>
  <c r="J11" i="108"/>
  <c r="J12" i="108"/>
  <c r="J13" i="108"/>
  <c r="J14" i="108"/>
  <c r="J15" i="108"/>
  <c r="J16" i="108"/>
  <c r="J17" i="108"/>
  <c r="J18" i="108"/>
  <c r="J19" i="108"/>
  <c r="J20" i="108"/>
  <c r="J21" i="108"/>
  <c r="J22" i="108"/>
  <c r="I7" i="108"/>
  <c r="I8" i="108"/>
  <c r="I9" i="108"/>
  <c r="I10" i="108"/>
  <c r="I11" i="108"/>
  <c r="I12" i="108"/>
  <c r="I13" i="108"/>
  <c r="I14" i="108"/>
  <c r="I15" i="108"/>
  <c r="I16" i="108"/>
  <c r="I17" i="108"/>
  <c r="I18" i="108"/>
  <c r="I19" i="108"/>
  <c r="I20" i="108"/>
  <c r="I21" i="108"/>
  <c r="I22" i="108"/>
  <c r="H7" i="108"/>
  <c r="H8" i="108"/>
  <c r="H9" i="108"/>
  <c r="H10" i="108"/>
  <c r="H11" i="108"/>
  <c r="H12" i="108"/>
  <c r="H13" i="108"/>
  <c r="H14" i="108"/>
  <c r="H15" i="108"/>
  <c r="H16" i="108"/>
  <c r="H17" i="108"/>
  <c r="H18" i="108"/>
  <c r="H19" i="108"/>
  <c r="H20" i="108"/>
  <c r="H21" i="108"/>
  <c r="H22" i="108"/>
  <c r="G7" i="108"/>
  <c r="G8" i="108"/>
  <c r="G9" i="108"/>
  <c r="G10" i="108"/>
  <c r="G11" i="108"/>
  <c r="G12" i="108"/>
  <c r="G13" i="108"/>
  <c r="G14" i="108"/>
  <c r="G15" i="108"/>
  <c r="G16" i="108"/>
  <c r="G17" i="108"/>
  <c r="G18" i="108"/>
  <c r="G19" i="108"/>
  <c r="G20" i="108"/>
  <c r="G21" i="108"/>
  <c r="G22" i="108"/>
  <c r="F7" i="108"/>
  <c r="F8" i="108"/>
  <c r="F9" i="108"/>
  <c r="F10" i="108"/>
  <c r="F11" i="108"/>
  <c r="F12" i="108"/>
  <c r="F13" i="108"/>
  <c r="F14" i="108"/>
  <c r="F15" i="108"/>
  <c r="F16" i="108"/>
  <c r="F17" i="108"/>
  <c r="F18" i="108"/>
  <c r="F19" i="108"/>
  <c r="F20" i="108"/>
  <c r="F21" i="108"/>
  <c r="F22" i="108"/>
  <c r="E7" i="108"/>
  <c r="E8" i="108"/>
  <c r="E9" i="108"/>
  <c r="E10" i="108"/>
  <c r="E11" i="108"/>
  <c r="E12" i="108"/>
  <c r="E13" i="108"/>
  <c r="E14" i="108"/>
  <c r="E15" i="108"/>
  <c r="E16" i="108"/>
  <c r="E17" i="108"/>
  <c r="E18" i="108"/>
  <c r="E19" i="108"/>
  <c r="E20" i="108"/>
  <c r="E21" i="108"/>
  <c r="E22" i="108"/>
  <c r="D7" i="108"/>
  <c r="D8" i="108"/>
  <c r="D9" i="108"/>
  <c r="D10" i="108"/>
  <c r="D11" i="108"/>
  <c r="D12" i="108"/>
  <c r="D13" i="108"/>
  <c r="D14" i="108"/>
  <c r="D15" i="108"/>
  <c r="D16" i="108"/>
  <c r="D17" i="108"/>
  <c r="D18" i="108"/>
  <c r="D19" i="108"/>
  <c r="D20" i="108"/>
  <c r="D21" i="108"/>
  <c r="D22" i="108"/>
  <c r="C7" i="108"/>
  <c r="C8" i="108"/>
  <c r="C9" i="108"/>
  <c r="C10" i="108"/>
  <c r="C11" i="108"/>
  <c r="C12" i="108"/>
  <c r="C13" i="108"/>
  <c r="C14" i="108"/>
  <c r="C15" i="108"/>
  <c r="C16" i="108"/>
  <c r="C17" i="108"/>
  <c r="C18" i="108"/>
  <c r="C19" i="108"/>
  <c r="C20" i="108"/>
  <c r="D6" i="108"/>
  <c r="E6" i="108"/>
  <c r="F6" i="108"/>
  <c r="G6" i="108"/>
  <c r="H6" i="108"/>
  <c r="I6" i="108"/>
  <c r="J6" i="108"/>
  <c r="K6" i="108"/>
  <c r="C21" i="108"/>
  <c r="C22" i="108"/>
  <c r="Z22" i="107" l="1"/>
  <c r="L49" i="107" l="1"/>
  <c r="L17" i="107" l="1"/>
  <c r="L18" i="107"/>
  <c r="L7" i="107"/>
  <c r="Z7" i="107" s="1"/>
  <c r="L8" i="107"/>
  <c r="Z8" i="107" s="1"/>
  <c r="L9" i="107"/>
  <c r="Z9" i="107" s="1"/>
  <c r="L10" i="107"/>
  <c r="Z10" i="107" s="1"/>
  <c r="L11" i="107"/>
  <c r="L12" i="107"/>
  <c r="Z12" i="107" s="1"/>
  <c r="L13" i="107"/>
  <c r="Z13" i="107" s="1"/>
  <c r="L14" i="107"/>
  <c r="Z14" i="107" s="1"/>
  <c r="L15" i="107"/>
  <c r="Z15" i="107" s="1"/>
  <c r="L16" i="107"/>
  <c r="Z16" i="107" s="1"/>
  <c r="L19" i="107"/>
  <c r="L20" i="107"/>
  <c r="L21" i="107"/>
  <c r="M89" i="107"/>
  <c r="N89" i="107"/>
  <c r="O89" i="107"/>
  <c r="P89" i="107"/>
  <c r="Q89" i="107"/>
  <c r="R89" i="107"/>
  <c r="S89" i="107"/>
  <c r="T89" i="107"/>
  <c r="U89" i="107"/>
  <c r="V73" i="107"/>
  <c r="V89" i="107" l="1"/>
  <c r="Y106" i="107"/>
  <c r="X106" i="107"/>
  <c r="Y89" i="107"/>
  <c r="X89" i="107"/>
  <c r="Y72" i="107"/>
  <c r="X72" i="107"/>
  <c r="Y55" i="107"/>
  <c r="X55" i="107"/>
  <c r="Y37" i="107"/>
  <c r="X37" i="107"/>
  <c r="Y23" i="107"/>
  <c r="AA6" i="107"/>
  <c r="AA24" i="107"/>
  <c r="AA38" i="107"/>
  <c r="AA39" i="107"/>
  <c r="AA40" i="107"/>
  <c r="AA41" i="107"/>
  <c r="AA42" i="107"/>
  <c r="AA43" i="107"/>
  <c r="AA44" i="107"/>
  <c r="AA45" i="107"/>
  <c r="AA46" i="107"/>
  <c r="AA47" i="107"/>
  <c r="AA48" i="107"/>
  <c r="AA49" i="107"/>
  <c r="AA50" i="107"/>
  <c r="AA51" i="107"/>
  <c r="AA52" i="107"/>
  <c r="AA53" i="107"/>
  <c r="AA54" i="107"/>
  <c r="AA56" i="107"/>
  <c r="AA57" i="107"/>
  <c r="AA58" i="107"/>
  <c r="AA59" i="107"/>
  <c r="AA60" i="107"/>
  <c r="AA61" i="107"/>
  <c r="AA62" i="107"/>
  <c r="AA63" i="107"/>
  <c r="AA64" i="107"/>
  <c r="AA65" i="107"/>
  <c r="AA66" i="107"/>
  <c r="AA67" i="107"/>
  <c r="AA68" i="107"/>
  <c r="AA69" i="107"/>
  <c r="AA70" i="107"/>
  <c r="AA71" i="107"/>
  <c r="AA73" i="107"/>
  <c r="AA74" i="107"/>
  <c r="AA75" i="107"/>
  <c r="AA76" i="107"/>
  <c r="AA77" i="107"/>
  <c r="AA78" i="107"/>
  <c r="AA79" i="107"/>
  <c r="AA80" i="107"/>
  <c r="AA81" i="107"/>
  <c r="AA82" i="107"/>
  <c r="AA83" i="107"/>
  <c r="AA84" i="107"/>
  <c r="AA85" i="107"/>
  <c r="AA86" i="107"/>
  <c r="AA87" i="107"/>
  <c r="AA88" i="107"/>
  <c r="AA90" i="107"/>
  <c r="AA91" i="107"/>
  <c r="AA92" i="107"/>
  <c r="AA93" i="107"/>
  <c r="AA94" i="107"/>
  <c r="AA95" i="107"/>
  <c r="AA96" i="107"/>
  <c r="AA97" i="107"/>
  <c r="AA98" i="107"/>
  <c r="AA99" i="107"/>
  <c r="AA100" i="107"/>
  <c r="AA101" i="107"/>
  <c r="AA102" i="107"/>
  <c r="AA103" i="107"/>
  <c r="AA104" i="107"/>
  <c r="AA105" i="107"/>
  <c r="AA106" i="107" l="1"/>
  <c r="AA72" i="107"/>
  <c r="AA89" i="107"/>
  <c r="AA55" i="107"/>
  <c r="AA37" i="107"/>
  <c r="AA23" i="107"/>
  <c r="Y107" i="107"/>
  <c r="Y109" i="107" s="1"/>
  <c r="X107" i="107"/>
  <c r="X109" i="107" s="1"/>
  <c r="AA107" i="107" l="1"/>
  <c r="AA109" i="107" s="1"/>
  <c r="Y37" i="106" l="1"/>
  <c r="Y72" i="106"/>
  <c r="Y89" i="106"/>
  <c r="Y106" i="106"/>
  <c r="Y23" i="106"/>
  <c r="Y55" i="106"/>
  <c r="Y107" i="106" l="1"/>
  <c r="Y109" i="106" s="1"/>
  <c r="C102" i="108"/>
  <c r="D102" i="108"/>
  <c r="E102" i="108"/>
  <c r="F102" i="108"/>
  <c r="G102" i="108"/>
  <c r="H102" i="108"/>
  <c r="I102" i="108"/>
  <c r="J102" i="108"/>
  <c r="K102" i="108"/>
  <c r="M102" i="108"/>
  <c r="N102" i="108"/>
  <c r="O102" i="108"/>
  <c r="P102" i="108"/>
  <c r="R102" i="108"/>
  <c r="S102" i="108"/>
  <c r="T102" i="108"/>
  <c r="U102" i="108"/>
  <c r="W102" i="108"/>
  <c r="C103" i="108"/>
  <c r="D103" i="108"/>
  <c r="E103" i="108"/>
  <c r="F103" i="108"/>
  <c r="G103" i="108"/>
  <c r="H103" i="108"/>
  <c r="I103" i="108"/>
  <c r="J103" i="108"/>
  <c r="K103" i="108"/>
  <c r="M103" i="108"/>
  <c r="N103" i="108"/>
  <c r="O103" i="108"/>
  <c r="P103" i="108"/>
  <c r="Q103" i="108"/>
  <c r="R103" i="108"/>
  <c r="S103" i="108"/>
  <c r="T103" i="108"/>
  <c r="U103" i="108"/>
  <c r="W103" i="108"/>
  <c r="C104" i="108"/>
  <c r="D104" i="108"/>
  <c r="E104" i="108"/>
  <c r="F104" i="108"/>
  <c r="G104" i="108"/>
  <c r="H104" i="108"/>
  <c r="I104" i="108"/>
  <c r="J104" i="108"/>
  <c r="K104" i="108"/>
  <c r="M104" i="108"/>
  <c r="N104" i="108"/>
  <c r="O104" i="108"/>
  <c r="P104" i="108"/>
  <c r="Q104" i="108"/>
  <c r="R104" i="108"/>
  <c r="S104" i="108"/>
  <c r="T104" i="108"/>
  <c r="U104" i="108"/>
  <c r="W104" i="108"/>
  <c r="C105" i="108"/>
  <c r="D105" i="108"/>
  <c r="E105" i="108"/>
  <c r="F105" i="108"/>
  <c r="G105" i="108"/>
  <c r="H105" i="108"/>
  <c r="I105" i="108"/>
  <c r="J105" i="108"/>
  <c r="K105" i="108"/>
  <c r="M105" i="108"/>
  <c r="N105" i="108"/>
  <c r="O105" i="108"/>
  <c r="P105" i="108"/>
  <c r="Q105" i="108"/>
  <c r="R105" i="108"/>
  <c r="S105" i="108"/>
  <c r="T105" i="108"/>
  <c r="U105" i="108"/>
  <c r="W105" i="108"/>
  <c r="Y109" i="108" l="1"/>
  <c r="Y107" i="108"/>
  <c r="AA102" i="106"/>
  <c r="AA103" i="106"/>
  <c r="AA104" i="106"/>
  <c r="AA105" i="106"/>
  <c r="L105" i="106"/>
  <c r="Z105" i="106" s="1"/>
  <c r="L102" i="106"/>
  <c r="L103" i="106"/>
  <c r="Z103" i="106" s="1"/>
  <c r="L104" i="106"/>
  <c r="Z104" i="106" l="1"/>
  <c r="Z102" i="106"/>
  <c r="Y111" i="108"/>
  <c r="V74" i="106" l="1"/>
  <c r="V75" i="106"/>
  <c r="V76" i="106"/>
  <c r="V77" i="106"/>
  <c r="V78" i="106"/>
  <c r="V79" i="106"/>
  <c r="V80" i="106"/>
  <c r="V81" i="106"/>
  <c r="V82" i="106"/>
  <c r="V83" i="106"/>
  <c r="V84" i="106"/>
  <c r="V85" i="106"/>
  <c r="V86" i="106"/>
  <c r="V87" i="106"/>
  <c r="V88" i="106"/>
  <c r="V73" i="106"/>
  <c r="AA33" i="106"/>
  <c r="AA34" i="106"/>
  <c r="AA35" i="106"/>
  <c r="V33" i="108"/>
  <c r="X106" i="109" l="1"/>
  <c r="W106" i="109"/>
  <c r="U106" i="109"/>
  <c r="T106" i="109"/>
  <c r="S106" i="109"/>
  <c r="R106" i="109"/>
  <c r="Q106" i="109"/>
  <c r="P106" i="109"/>
  <c r="O106" i="109"/>
  <c r="N106" i="109"/>
  <c r="M106" i="109"/>
  <c r="K106" i="109"/>
  <c r="J106" i="109"/>
  <c r="I106" i="109"/>
  <c r="H106" i="109"/>
  <c r="G106" i="109"/>
  <c r="F106" i="109"/>
  <c r="E106" i="109"/>
  <c r="D106" i="109"/>
  <c r="C106" i="109"/>
  <c r="AA105" i="109"/>
  <c r="V105" i="109"/>
  <c r="L105" i="109"/>
  <c r="Z105" i="109" s="1"/>
  <c r="AA104" i="109"/>
  <c r="V104" i="109"/>
  <c r="L104" i="109"/>
  <c r="Z104" i="109" s="1"/>
  <c r="AA103" i="109"/>
  <c r="V103" i="109"/>
  <c r="L103" i="109"/>
  <c r="Z103" i="109" s="1"/>
  <c r="AA102" i="109"/>
  <c r="V102" i="109"/>
  <c r="L102" i="109"/>
  <c r="Z102" i="109" s="1"/>
  <c r="AA101" i="109"/>
  <c r="V101" i="109"/>
  <c r="L101" i="109"/>
  <c r="Z101" i="109" s="1"/>
  <c r="AA100" i="109"/>
  <c r="V100" i="109"/>
  <c r="L100" i="109"/>
  <c r="Z100" i="109" s="1"/>
  <c r="AA99" i="109"/>
  <c r="V99" i="109"/>
  <c r="L99" i="109"/>
  <c r="Z99" i="109" s="1"/>
  <c r="AA98" i="109"/>
  <c r="V98" i="109"/>
  <c r="L98" i="109"/>
  <c r="Z98" i="109" s="1"/>
  <c r="AA97" i="109"/>
  <c r="V97" i="109"/>
  <c r="L97" i="109"/>
  <c r="Z97" i="109" s="1"/>
  <c r="AA96" i="109"/>
  <c r="V96" i="109"/>
  <c r="L96" i="109"/>
  <c r="Z96" i="109" s="1"/>
  <c r="AA95" i="109"/>
  <c r="V95" i="109"/>
  <c r="L95" i="109"/>
  <c r="Z95" i="109" s="1"/>
  <c r="AA94" i="109"/>
  <c r="V94" i="109"/>
  <c r="L94" i="109"/>
  <c r="Z94" i="109" s="1"/>
  <c r="AA93" i="109"/>
  <c r="V93" i="109"/>
  <c r="L93" i="109"/>
  <c r="Z93" i="109" s="1"/>
  <c r="AA92" i="109"/>
  <c r="V92" i="109"/>
  <c r="L92" i="109"/>
  <c r="Z92" i="109" s="1"/>
  <c r="AA91" i="109"/>
  <c r="V91" i="109"/>
  <c r="L91" i="109"/>
  <c r="Z91" i="109" s="1"/>
  <c r="AA90" i="109"/>
  <c r="V90" i="109"/>
  <c r="L90" i="109"/>
  <c r="Z90" i="109" s="1"/>
  <c r="X89" i="109"/>
  <c r="W89" i="109"/>
  <c r="U89" i="109"/>
  <c r="T89" i="109"/>
  <c r="S89" i="109"/>
  <c r="R89" i="109"/>
  <c r="Q89" i="109"/>
  <c r="P89" i="109"/>
  <c r="O89" i="109"/>
  <c r="N89" i="109"/>
  <c r="M89" i="109"/>
  <c r="K89" i="109"/>
  <c r="J89" i="109"/>
  <c r="I89" i="109"/>
  <c r="H89" i="109"/>
  <c r="G89" i="109"/>
  <c r="F89" i="109"/>
  <c r="E89" i="109"/>
  <c r="D89" i="109"/>
  <c r="C89" i="109"/>
  <c r="AA88" i="109"/>
  <c r="V88" i="109"/>
  <c r="L88" i="109"/>
  <c r="AA87" i="109"/>
  <c r="V87" i="109"/>
  <c r="L87" i="109"/>
  <c r="AA86" i="109"/>
  <c r="V86" i="109"/>
  <c r="L86" i="109"/>
  <c r="AA85" i="109"/>
  <c r="V85" i="109"/>
  <c r="L85" i="109"/>
  <c r="AA84" i="109"/>
  <c r="V84" i="109"/>
  <c r="L84" i="109"/>
  <c r="AA83" i="109"/>
  <c r="V83" i="109"/>
  <c r="L83" i="109"/>
  <c r="AA82" i="109"/>
  <c r="V82" i="109"/>
  <c r="L82" i="109"/>
  <c r="AA81" i="109"/>
  <c r="V81" i="109"/>
  <c r="L81" i="109"/>
  <c r="AA80" i="109"/>
  <c r="V80" i="109"/>
  <c r="L80" i="109"/>
  <c r="AA79" i="109"/>
  <c r="V79" i="109"/>
  <c r="L79" i="109"/>
  <c r="AA78" i="109"/>
  <c r="V78" i="109"/>
  <c r="L78" i="109"/>
  <c r="AA77" i="109"/>
  <c r="V77" i="109"/>
  <c r="L77" i="109"/>
  <c r="AA76" i="109"/>
  <c r="V76" i="109"/>
  <c r="L76" i="109"/>
  <c r="AA75" i="109"/>
  <c r="V75" i="109"/>
  <c r="L75" i="109"/>
  <c r="AA74" i="109"/>
  <c r="V74" i="109"/>
  <c r="L74" i="109"/>
  <c r="AA73" i="109"/>
  <c r="V73" i="109"/>
  <c r="L73" i="109"/>
  <c r="X72" i="109"/>
  <c r="W72" i="109"/>
  <c r="U72" i="109"/>
  <c r="T72" i="109"/>
  <c r="S72" i="109"/>
  <c r="R72" i="109"/>
  <c r="Q72" i="109"/>
  <c r="P72" i="109"/>
  <c r="O72" i="109"/>
  <c r="N72" i="109"/>
  <c r="M72" i="109"/>
  <c r="K72" i="109"/>
  <c r="J72" i="109"/>
  <c r="I72" i="109"/>
  <c r="H72" i="109"/>
  <c r="G72" i="109"/>
  <c r="F72" i="109"/>
  <c r="E72" i="109"/>
  <c r="D72" i="109"/>
  <c r="C72" i="109"/>
  <c r="AA71" i="109"/>
  <c r="V71" i="109"/>
  <c r="L71" i="109"/>
  <c r="Z71" i="109" s="1"/>
  <c r="AA70" i="109"/>
  <c r="V70" i="109"/>
  <c r="L70" i="109"/>
  <c r="Z70" i="109" s="1"/>
  <c r="AA69" i="109"/>
  <c r="V69" i="109"/>
  <c r="L69" i="109"/>
  <c r="Z69" i="109" s="1"/>
  <c r="AA68" i="109"/>
  <c r="V68" i="109"/>
  <c r="L68" i="109"/>
  <c r="Z68" i="109" s="1"/>
  <c r="AA67" i="109"/>
  <c r="V67" i="109"/>
  <c r="L67" i="109"/>
  <c r="Z67" i="109" s="1"/>
  <c r="AA66" i="109"/>
  <c r="V66" i="109"/>
  <c r="L66" i="109"/>
  <c r="Z66" i="109" s="1"/>
  <c r="AA65" i="109"/>
  <c r="V65" i="109"/>
  <c r="L65" i="109"/>
  <c r="Z65" i="109" s="1"/>
  <c r="AA64" i="109"/>
  <c r="V64" i="109"/>
  <c r="L64" i="109"/>
  <c r="Z64" i="109" s="1"/>
  <c r="AA63" i="109"/>
  <c r="V63" i="109"/>
  <c r="L63" i="109"/>
  <c r="Z63" i="109" s="1"/>
  <c r="AA62" i="109"/>
  <c r="V62" i="109"/>
  <c r="L62" i="109"/>
  <c r="Z62" i="109" s="1"/>
  <c r="AA61" i="109"/>
  <c r="V61" i="109"/>
  <c r="L61" i="109"/>
  <c r="Z61" i="109" s="1"/>
  <c r="AA60" i="109"/>
  <c r="V60" i="109"/>
  <c r="L60" i="109"/>
  <c r="Z60" i="109" s="1"/>
  <c r="AA59" i="109"/>
  <c r="V59" i="109"/>
  <c r="L59" i="109"/>
  <c r="Z59" i="109" s="1"/>
  <c r="AA58" i="109"/>
  <c r="V58" i="109"/>
  <c r="L58" i="109"/>
  <c r="Z58" i="109" s="1"/>
  <c r="AA57" i="109"/>
  <c r="V57" i="109"/>
  <c r="L57" i="109"/>
  <c r="Z57" i="109" s="1"/>
  <c r="AA56" i="109"/>
  <c r="V56" i="109"/>
  <c r="L56" i="109"/>
  <c r="X55" i="109"/>
  <c r="W55" i="109"/>
  <c r="U55" i="109"/>
  <c r="T55" i="109"/>
  <c r="S55" i="109"/>
  <c r="R55" i="109"/>
  <c r="Q55" i="109"/>
  <c r="P55" i="109"/>
  <c r="O55" i="109"/>
  <c r="N55" i="109"/>
  <c r="M55" i="109"/>
  <c r="K55" i="109"/>
  <c r="J55" i="109"/>
  <c r="I55" i="109"/>
  <c r="H55" i="109"/>
  <c r="G55" i="109"/>
  <c r="F55" i="109"/>
  <c r="E55" i="109"/>
  <c r="D55" i="109"/>
  <c r="C55" i="109"/>
  <c r="AA54" i="109"/>
  <c r="V54" i="109"/>
  <c r="L54" i="109"/>
  <c r="Z54" i="109" s="1"/>
  <c r="AA53" i="109"/>
  <c r="V53" i="109"/>
  <c r="L53" i="109"/>
  <c r="Z53" i="109" s="1"/>
  <c r="AA52" i="109"/>
  <c r="V52" i="109"/>
  <c r="L52" i="109"/>
  <c r="Z52" i="109" s="1"/>
  <c r="AA51" i="109"/>
  <c r="V51" i="109"/>
  <c r="L51" i="109"/>
  <c r="Z51" i="109" s="1"/>
  <c r="AA50" i="109"/>
  <c r="V50" i="109"/>
  <c r="L50" i="109"/>
  <c r="Z50" i="109" s="1"/>
  <c r="AA49" i="109"/>
  <c r="V49" i="109"/>
  <c r="L49" i="109"/>
  <c r="Z49" i="109" s="1"/>
  <c r="AA48" i="109"/>
  <c r="L48" i="109"/>
  <c r="Z48" i="109" s="1"/>
  <c r="AA47" i="109"/>
  <c r="V47" i="109"/>
  <c r="L47" i="109"/>
  <c r="AA46" i="109"/>
  <c r="V46" i="109"/>
  <c r="L46" i="109"/>
  <c r="AA45" i="109"/>
  <c r="V45" i="109"/>
  <c r="L45" i="109"/>
  <c r="AA44" i="109"/>
  <c r="V44" i="109"/>
  <c r="L44" i="109"/>
  <c r="AA43" i="109"/>
  <c r="V43" i="109"/>
  <c r="L43" i="109"/>
  <c r="AA42" i="109"/>
  <c r="V42" i="109"/>
  <c r="L42" i="109"/>
  <c r="AA41" i="109"/>
  <c r="V41" i="109"/>
  <c r="L41" i="109"/>
  <c r="AA40" i="109"/>
  <c r="V40" i="109"/>
  <c r="L40" i="109"/>
  <c r="AA39" i="109"/>
  <c r="V39" i="109"/>
  <c r="L39" i="109"/>
  <c r="AA38" i="109"/>
  <c r="V38" i="109"/>
  <c r="L38" i="109"/>
  <c r="X37" i="109"/>
  <c r="W37" i="109"/>
  <c r="U37" i="109"/>
  <c r="T37" i="109"/>
  <c r="S37" i="109"/>
  <c r="R37" i="109"/>
  <c r="Q37" i="109"/>
  <c r="P37" i="109"/>
  <c r="O37" i="109"/>
  <c r="N37" i="109"/>
  <c r="M37" i="109"/>
  <c r="K37" i="109"/>
  <c r="J37" i="109"/>
  <c r="I37" i="109"/>
  <c r="H37" i="109"/>
  <c r="G37" i="109"/>
  <c r="F37" i="109"/>
  <c r="E37" i="109"/>
  <c r="D37" i="109"/>
  <c r="C37" i="109"/>
  <c r="AA36" i="109"/>
  <c r="V36" i="109"/>
  <c r="L36" i="109"/>
  <c r="Z36" i="109" s="1"/>
  <c r="AA35" i="109"/>
  <c r="V35" i="109"/>
  <c r="L35" i="109"/>
  <c r="Z35" i="109" s="1"/>
  <c r="AA34" i="109"/>
  <c r="V34" i="109"/>
  <c r="L34" i="109"/>
  <c r="Z34" i="109" s="1"/>
  <c r="AA33" i="109"/>
  <c r="L33" i="109"/>
  <c r="Z33" i="109" s="1"/>
  <c r="AA32" i="109"/>
  <c r="V32" i="109"/>
  <c r="L32" i="109"/>
  <c r="Z32" i="109" s="1"/>
  <c r="AA31" i="109"/>
  <c r="V31" i="109"/>
  <c r="L31" i="109"/>
  <c r="Z31" i="109" s="1"/>
  <c r="AA30" i="109"/>
  <c r="V30" i="109"/>
  <c r="L30" i="109"/>
  <c r="Z30" i="109" s="1"/>
  <c r="AA29" i="109"/>
  <c r="V29" i="109"/>
  <c r="L29" i="109"/>
  <c r="Z29" i="109" s="1"/>
  <c r="AA28" i="109"/>
  <c r="V28" i="109"/>
  <c r="L28" i="109"/>
  <c r="Z28" i="109" s="1"/>
  <c r="AA27" i="109"/>
  <c r="V27" i="109"/>
  <c r="L27" i="109"/>
  <c r="Z27" i="109" s="1"/>
  <c r="AA26" i="109"/>
  <c r="V26" i="109"/>
  <c r="L26" i="109"/>
  <c r="Z26" i="109" s="1"/>
  <c r="AA25" i="109"/>
  <c r="V25" i="109"/>
  <c r="L25" i="109"/>
  <c r="Z25" i="109" s="1"/>
  <c r="AA24" i="109"/>
  <c r="V24" i="109"/>
  <c r="L24" i="109"/>
  <c r="Z24" i="109" s="1"/>
  <c r="X23" i="109"/>
  <c r="W23" i="109"/>
  <c r="U23" i="109"/>
  <c r="T23" i="109"/>
  <c r="S23" i="109"/>
  <c r="R23" i="109"/>
  <c r="Q23" i="109"/>
  <c r="P23" i="109"/>
  <c r="O23" i="109"/>
  <c r="N23" i="109"/>
  <c r="M23" i="109"/>
  <c r="K23" i="109"/>
  <c r="J23" i="109"/>
  <c r="I23" i="109"/>
  <c r="H23" i="109"/>
  <c r="G23" i="109"/>
  <c r="F23" i="109"/>
  <c r="E23" i="109"/>
  <c r="D23" i="109"/>
  <c r="C23" i="109"/>
  <c r="AA22" i="109"/>
  <c r="V22" i="109"/>
  <c r="L22" i="109"/>
  <c r="AA21" i="109"/>
  <c r="V21" i="109"/>
  <c r="L21" i="109"/>
  <c r="AA20" i="109"/>
  <c r="V20" i="109"/>
  <c r="L20" i="109"/>
  <c r="AA19" i="109"/>
  <c r="V19" i="109"/>
  <c r="L19" i="109"/>
  <c r="AA18" i="109"/>
  <c r="V18" i="109"/>
  <c r="L18" i="109"/>
  <c r="AA17" i="109"/>
  <c r="V17" i="109"/>
  <c r="L17" i="109"/>
  <c r="AA16" i="109"/>
  <c r="V16" i="109"/>
  <c r="L16" i="109"/>
  <c r="AA15" i="109"/>
  <c r="V15" i="109"/>
  <c r="L15" i="109"/>
  <c r="AA14" i="109"/>
  <c r="V14" i="109"/>
  <c r="L14" i="109"/>
  <c r="AA13" i="109"/>
  <c r="V13" i="109"/>
  <c r="L13" i="109"/>
  <c r="AA12" i="109"/>
  <c r="V12" i="109"/>
  <c r="L12" i="109"/>
  <c r="AA11" i="109"/>
  <c r="V11" i="109"/>
  <c r="L11" i="109"/>
  <c r="AA10" i="109"/>
  <c r="V10" i="109"/>
  <c r="L10" i="109"/>
  <c r="AA9" i="109"/>
  <c r="L9" i="109"/>
  <c r="Z9" i="109" s="1"/>
  <c r="AA8" i="109"/>
  <c r="V8" i="109"/>
  <c r="L8" i="109"/>
  <c r="Z8" i="109" s="1"/>
  <c r="AA7" i="109"/>
  <c r="V7" i="109"/>
  <c r="L7" i="109"/>
  <c r="Z7" i="109" s="1"/>
  <c r="AA6" i="109"/>
  <c r="V6" i="109"/>
  <c r="L6" i="109"/>
  <c r="Z6" i="109" s="1"/>
  <c r="X106" i="103"/>
  <c r="W106" i="103"/>
  <c r="U106" i="103"/>
  <c r="T106" i="103"/>
  <c r="S106" i="103"/>
  <c r="R106" i="103"/>
  <c r="Q106" i="103"/>
  <c r="P106" i="103"/>
  <c r="O106" i="103"/>
  <c r="N106" i="103"/>
  <c r="M106" i="103"/>
  <c r="K106" i="103"/>
  <c r="J106" i="103"/>
  <c r="I106" i="103"/>
  <c r="H106" i="103"/>
  <c r="G106" i="103"/>
  <c r="F106" i="103"/>
  <c r="E106" i="103"/>
  <c r="D106" i="103"/>
  <c r="C106" i="103"/>
  <c r="AA105" i="103"/>
  <c r="L105" i="103"/>
  <c r="AA104" i="103"/>
  <c r="L104" i="103"/>
  <c r="Z104" i="103" s="1"/>
  <c r="AA103" i="103"/>
  <c r="L103" i="103"/>
  <c r="AA102" i="103"/>
  <c r="L102" i="103"/>
  <c r="Z102" i="103" s="1"/>
  <c r="AA101" i="103"/>
  <c r="L101" i="103"/>
  <c r="AA100" i="103"/>
  <c r="L100" i="103"/>
  <c r="AA99" i="103"/>
  <c r="L99" i="103"/>
  <c r="Z99" i="103" s="1"/>
  <c r="AA98" i="103"/>
  <c r="L98" i="103"/>
  <c r="AA97" i="103"/>
  <c r="L97" i="103"/>
  <c r="AA96" i="103"/>
  <c r="L96" i="103"/>
  <c r="Z96" i="103" s="1"/>
  <c r="AA95" i="103"/>
  <c r="L95" i="103"/>
  <c r="AA94" i="103"/>
  <c r="L94" i="103"/>
  <c r="Z94" i="103" s="1"/>
  <c r="AA93" i="103"/>
  <c r="L93" i="103"/>
  <c r="AA92" i="103"/>
  <c r="L92" i="103"/>
  <c r="Z92" i="103" s="1"/>
  <c r="AA91" i="103"/>
  <c r="L91" i="103"/>
  <c r="AA90" i="103"/>
  <c r="L90" i="103"/>
  <c r="X89" i="103"/>
  <c r="W89" i="103"/>
  <c r="U89" i="103"/>
  <c r="T89" i="103"/>
  <c r="S89" i="103"/>
  <c r="R89" i="103"/>
  <c r="Q89" i="103"/>
  <c r="P89" i="103"/>
  <c r="O89" i="103"/>
  <c r="N89" i="103"/>
  <c r="M89" i="103"/>
  <c r="K89" i="103"/>
  <c r="J89" i="103"/>
  <c r="I89" i="103"/>
  <c r="H89" i="103"/>
  <c r="G89" i="103"/>
  <c r="F89" i="103"/>
  <c r="E89" i="103"/>
  <c r="D89" i="103"/>
  <c r="C89" i="103"/>
  <c r="AA88" i="103"/>
  <c r="L88" i="103"/>
  <c r="AA87" i="103"/>
  <c r="L87" i="103"/>
  <c r="Z87" i="103" s="1"/>
  <c r="AA86" i="103"/>
  <c r="L86" i="103"/>
  <c r="Z86" i="103" s="1"/>
  <c r="AA85" i="103"/>
  <c r="L85" i="103"/>
  <c r="AA84" i="103"/>
  <c r="L84" i="103"/>
  <c r="AA83" i="103"/>
  <c r="L83" i="103"/>
  <c r="AA82" i="103"/>
  <c r="L82" i="103"/>
  <c r="AA81" i="103"/>
  <c r="L81" i="103"/>
  <c r="Z81" i="103" s="1"/>
  <c r="AA80" i="103"/>
  <c r="L80" i="103"/>
  <c r="AA79" i="103"/>
  <c r="L79" i="103"/>
  <c r="Z79" i="103" s="1"/>
  <c r="AA78" i="103"/>
  <c r="L78" i="103"/>
  <c r="Z78" i="103" s="1"/>
  <c r="AA77" i="103"/>
  <c r="L77" i="103"/>
  <c r="AA76" i="103"/>
  <c r="L76" i="103"/>
  <c r="AA75" i="103"/>
  <c r="L75" i="103"/>
  <c r="AA74" i="103"/>
  <c r="L74" i="103"/>
  <c r="AA73" i="103"/>
  <c r="L73" i="103"/>
  <c r="Z73" i="103" s="1"/>
  <c r="X72" i="103"/>
  <c r="W72" i="103"/>
  <c r="U72" i="103"/>
  <c r="T72" i="103"/>
  <c r="S72" i="103"/>
  <c r="R72" i="103"/>
  <c r="Q72" i="103"/>
  <c r="P72" i="103"/>
  <c r="O72" i="103"/>
  <c r="N72" i="103"/>
  <c r="M72" i="103"/>
  <c r="K72" i="103"/>
  <c r="J72" i="103"/>
  <c r="I72" i="103"/>
  <c r="H72" i="103"/>
  <c r="G72" i="103"/>
  <c r="F72" i="103"/>
  <c r="E72" i="103"/>
  <c r="D72" i="103"/>
  <c r="C72" i="103"/>
  <c r="AA71" i="103"/>
  <c r="L71" i="103"/>
  <c r="AA70" i="103"/>
  <c r="L70" i="103"/>
  <c r="Z70" i="103" s="1"/>
  <c r="AA69" i="103"/>
  <c r="L69" i="103"/>
  <c r="AA68" i="103"/>
  <c r="L68" i="103"/>
  <c r="Z68" i="103" s="1"/>
  <c r="AA67" i="103"/>
  <c r="L67" i="103"/>
  <c r="AA66" i="103"/>
  <c r="L66" i="103"/>
  <c r="AA65" i="103"/>
  <c r="L65" i="103"/>
  <c r="AA64" i="103"/>
  <c r="L64" i="103"/>
  <c r="AA63" i="103"/>
  <c r="L63" i="103"/>
  <c r="AA62" i="103"/>
  <c r="L62" i="103"/>
  <c r="AA61" i="103"/>
  <c r="L61" i="103"/>
  <c r="AA60" i="103"/>
  <c r="L60" i="103"/>
  <c r="AA59" i="103"/>
  <c r="L59" i="103"/>
  <c r="AA58" i="103"/>
  <c r="L58" i="103"/>
  <c r="AA57" i="103"/>
  <c r="L57" i="103"/>
  <c r="Z57" i="103" s="1"/>
  <c r="AA56" i="103"/>
  <c r="L56" i="103"/>
  <c r="AB56" i="103" s="1"/>
  <c r="X55" i="103"/>
  <c r="W55" i="103"/>
  <c r="U55" i="103"/>
  <c r="T55" i="103"/>
  <c r="S55" i="103"/>
  <c r="R55" i="103"/>
  <c r="Q55" i="103"/>
  <c r="P55" i="103"/>
  <c r="O55" i="103"/>
  <c r="N55" i="103"/>
  <c r="M55" i="103"/>
  <c r="K55" i="103"/>
  <c r="J55" i="103"/>
  <c r="I55" i="103"/>
  <c r="H55" i="103"/>
  <c r="G55" i="103"/>
  <c r="F55" i="103"/>
  <c r="E55" i="103"/>
  <c r="D55" i="103"/>
  <c r="C55" i="103"/>
  <c r="AA54" i="103"/>
  <c r="L54" i="103"/>
  <c r="Z54" i="103" s="1"/>
  <c r="AA53" i="103"/>
  <c r="L53" i="103"/>
  <c r="Z53" i="103" s="1"/>
  <c r="AA52" i="103"/>
  <c r="L52" i="103"/>
  <c r="Z52" i="103" s="1"/>
  <c r="AA51" i="103"/>
  <c r="L51" i="103"/>
  <c r="Z51" i="103" s="1"/>
  <c r="AA50" i="103"/>
  <c r="L50" i="103"/>
  <c r="Z50" i="103" s="1"/>
  <c r="AA49" i="103"/>
  <c r="L49" i="103"/>
  <c r="Z49" i="103" s="1"/>
  <c r="AA48" i="103"/>
  <c r="L48" i="103"/>
  <c r="Z48" i="103" s="1"/>
  <c r="AA47" i="103"/>
  <c r="L47" i="103"/>
  <c r="Z47" i="103" s="1"/>
  <c r="AA46" i="103"/>
  <c r="L46" i="103"/>
  <c r="Z46" i="103" s="1"/>
  <c r="AA45" i="103"/>
  <c r="L45" i="103"/>
  <c r="Z45" i="103" s="1"/>
  <c r="AA44" i="103"/>
  <c r="L44" i="103"/>
  <c r="Z44" i="103" s="1"/>
  <c r="AA43" i="103"/>
  <c r="L43" i="103"/>
  <c r="Z43" i="103" s="1"/>
  <c r="AA42" i="103"/>
  <c r="L42" i="103"/>
  <c r="Z42" i="103" s="1"/>
  <c r="AA41" i="103"/>
  <c r="L41" i="103"/>
  <c r="Z41" i="103" s="1"/>
  <c r="AA40" i="103"/>
  <c r="L40" i="103"/>
  <c r="Z40" i="103" s="1"/>
  <c r="AA39" i="103"/>
  <c r="L39" i="103"/>
  <c r="Z39" i="103" s="1"/>
  <c r="AA38" i="103"/>
  <c r="L38" i="103"/>
  <c r="Z38" i="103" s="1"/>
  <c r="X37" i="103"/>
  <c r="W37" i="103"/>
  <c r="U37" i="103"/>
  <c r="T37" i="103"/>
  <c r="S37" i="103"/>
  <c r="R37" i="103"/>
  <c r="Q37" i="103"/>
  <c r="P37" i="103"/>
  <c r="O37" i="103"/>
  <c r="N37" i="103"/>
  <c r="M37" i="103"/>
  <c r="K37" i="103"/>
  <c r="J37" i="103"/>
  <c r="I37" i="103"/>
  <c r="H37" i="103"/>
  <c r="G37" i="103"/>
  <c r="F37" i="103"/>
  <c r="E37" i="103"/>
  <c r="D37" i="103"/>
  <c r="C37" i="103"/>
  <c r="AA36" i="103"/>
  <c r="L36" i="103"/>
  <c r="AA35" i="103"/>
  <c r="L35" i="103"/>
  <c r="AA34" i="103"/>
  <c r="L34" i="103"/>
  <c r="AA33" i="103"/>
  <c r="L33" i="103"/>
  <c r="Z33" i="103" s="1"/>
  <c r="AA32" i="103"/>
  <c r="L32" i="103"/>
  <c r="Z32" i="103" s="1"/>
  <c r="AA31" i="103"/>
  <c r="L31" i="103"/>
  <c r="AA30" i="103"/>
  <c r="L30" i="103"/>
  <c r="AA29" i="103"/>
  <c r="L29" i="103"/>
  <c r="AA28" i="103"/>
  <c r="L28" i="103"/>
  <c r="AA27" i="103"/>
  <c r="L27" i="103"/>
  <c r="AA26" i="103"/>
  <c r="L26" i="103"/>
  <c r="AA25" i="103"/>
  <c r="L25" i="103"/>
  <c r="AA24" i="103"/>
  <c r="L24" i="103"/>
  <c r="Z24" i="103" s="1"/>
  <c r="X23" i="103"/>
  <c r="W23" i="103"/>
  <c r="U23" i="103"/>
  <c r="T23" i="103"/>
  <c r="S23" i="103"/>
  <c r="R23" i="103"/>
  <c r="Q23" i="103"/>
  <c r="P23" i="103"/>
  <c r="O23" i="103"/>
  <c r="N23" i="103"/>
  <c r="M23" i="103"/>
  <c r="K23" i="103"/>
  <c r="J23" i="103"/>
  <c r="I23" i="103"/>
  <c r="H23" i="103"/>
  <c r="G23" i="103"/>
  <c r="F23" i="103"/>
  <c r="E23" i="103"/>
  <c r="D23" i="103"/>
  <c r="C23" i="103"/>
  <c r="AA22" i="103"/>
  <c r="L22" i="103"/>
  <c r="Z22" i="103" s="1"/>
  <c r="AA21" i="103"/>
  <c r="L21" i="103"/>
  <c r="Z21" i="103" s="1"/>
  <c r="AA20" i="103"/>
  <c r="L20" i="103"/>
  <c r="Z20" i="103" s="1"/>
  <c r="AA19" i="103"/>
  <c r="L19" i="103"/>
  <c r="Z19" i="103" s="1"/>
  <c r="AA18" i="103"/>
  <c r="L18" i="103"/>
  <c r="Z18" i="103" s="1"/>
  <c r="AA17" i="103"/>
  <c r="L17" i="103"/>
  <c r="Z17" i="103" s="1"/>
  <c r="AA16" i="103"/>
  <c r="L16" i="103"/>
  <c r="Z16" i="103" s="1"/>
  <c r="AA15" i="103"/>
  <c r="L15" i="103"/>
  <c r="Z15" i="103" s="1"/>
  <c r="AA14" i="103"/>
  <c r="L14" i="103"/>
  <c r="Z14" i="103" s="1"/>
  <c r="AA13" i="103"/>
  <c r="L13" i="103"/>
  <c r="Z13" i="103" s="1"/>
  <c r="AA12" i="103"/>
  <c r="L12" i="103"/>
  <c r="Z12" i="103" s="1"/>
  <c r="AA11" i="103"/>
  <c r="L11" i="103"/>
  <c r="Z11" i="103" s="1"/>
  <c r="AA10" i="103"/>
  <c r="L10" i="103"/>
  <c r="Z10" i="103" s="1"/>
  <c r="AA9" i="103"/>
  <c r="L9" i="103"/>
  <c r="Z9" i="103" s="1"/>
  <c r="AA8" i="103"/>
  <c r="L8" i="103"/>
  <c r="Z8" i="103" s="1"/>
  <c r="AA7" i="103"/>
  <c r="L7" i="103"/>
  <c r="Z7" i="103" s="1"/>
  <c r="AA6" i="103"/>
  <c r="L6" i="103"/>
  <c r="Z6" i="103" s="1"/>
  <c r="X106" i="102"/>
  <c r="W106" i="102"/>
  <c r="U106" i="102"/>
  <c r="T106" i="102"/>
  <c r="S106" i="102"/>
  <c r="R106" i="102"/>
  <c r="Q106" i="102"/>
  <c r="P106" i="102"/>
  <c r="O106" i="102"/>
  <c r="N106" i="102"/>
  <c r="M106" i="102"/>
  <c r="K106" i="102"/>
  <c r="J106" i="102"/>
  <c r="I106" i="102"/>
  <c r="H106" i="102"/>
  <c r="G106" i="102"/>
  <c r="F106" i="102"/>
  <c r="E106" i="102"/>
  <c r="D106" i="102"/>
  <c r="C106" i="102"/>
  <c r="V105" i="102"/>
  <c r="L105" i="102"/>
  <c r="V104" i="102"/>
  <c r="L104" i="102"/>
  <c r="V103" i="102"/>
  <c r="L103" i="102"/>
  <c r="V102" i="102"/>
  <c r="L102" i="102"/>
  <c r="V101" i="102"/>
  <c r="L101" i="102"/>
  <c r="V100" i="102"/>
  <c r="L100" i="102"/>
  <c r="V99" i="102"/>
  <c r="L99" i="102"/>
  <c r="V98" i="102"/>
  <c r="L98" i="102"/>
  <c r="V97" i="102"/>
  <c r="L97" i="102"/>
  <c r="V96" i="102"/>
  <c r="L96" i="102"/>
  <c r="V95" i="102"/>
  <c r="L95" i="102"/>
  <c r="V94" i="102"/>
  <c r="L94" i="102"/>
  <c r="V93" i="102"/>
  <c r="L93" i="102"/>
  <c r="V92" i="102"/>
  <c r="L92" i="102"/>
  <c r="V91" i="102"/>
  <c r="L91" i="102"/>
  <c r="AA90" i="102"/>
  <c r="V90" i="102"/>
  <c r="L90" i="102"/>
  <c r="X89" i="102"/>
  <c r="W89" i="102"/>
  <c r="U89" i="102"/>
  <c r="T89" i="102"/>
  <c r="S89" i="102"/>
  <c r="R89" i="102"/>
  <c r="Q89" i="102"/>
  <c r="P89" i="102"/>
  <c r="O89" i="102"/>
  <c r="N89" i="102"/>
  <c r="M89" i="102"/>
  <c r="K89" i="102"/>
  <c r="J89" i="102"/>
  <c r="I89" i="102"/>
  <c r="H89" i="102"/>
  <c r="G89" i="102"/>
  <c r="F89" i="102"/>
  <c r="E89" i="102"/>
  <c r="D89" i="102"/>
  <c r="C89" i="102"/>
  <c r="AA88" i="102"/>
  <c r="V88" i="102"/>
  <c r="L88" i="102"/>
  <c r="AA87" i="102"/>
  <c r="V87" i="102"/>
  <c r="L87" i="102"/>
  <c r="AA86" i="102"/>
  <c r="V86" i="102"/>
  <c r="L86" i="102"/>
  <c r="AA85" i="102"/>
  <c r="V85" i="102"/>
  <c r="L85" i="102"/>
  <c r="AA84" i="102"/>
  <c r="V84" i="102"/>
  <c r="L84" i="102"/>
  <c r="AA83" i="102"/>
  <c r="V83" i="102"/>
  <c r="L83" i="102"/>
  <c r="AA82" i="102"/>
  <c r="V82" i="102"/>
  <c r="L82" i="102"/>
  <c r="AA81" i="102"/>
  <c r="V81" i="102"/>
  <c r="L81" i="102"/>
  <c r="AA80" i="102"/>
  <c r="V80" i="102"/>
  <c r="L80" i="102"/>
  <c r="AA79" i="102"/>
  <c r="V79" i="102"/>
  <c r="L79" i="102"/>
  <c r="AA78" i="102"/>
  <c r="V78" i="102"/>
  <c r="L78" i="102"/>
  <c r="AA77" i="102"/>
  <c r="V77" i="102"/>
  <c r="L77" i="102"/>
  <c r="AA76" i="102"/>
  <c r="V76" i="102"/>
  <c r="L76" i="102"/>
  <c r="AA75" i="102"/>
  <c r="V75" i="102"/>
  <c r="L75" i="102"/>
  <c r="AA74" i="102"/>
  <c r="V74" i="102"/>
  <c r="L74" i="102"/>
  <c r="AA73" i="102"/>
  <c r="V73" i="102"/>
  <c r="L73" i="102"/>
  <c r="X72" i="102"/>
  <c r="W72" i="102"/>
  <c r="U72" i="102"/>
  <c r="T72" i="102"/>
  <c r="S72" i="102"/>
  <c r="R72" i="102"/>
  <c r="Q72" i="102"/>
  <c r="P72" i="102"/>
  <c r="O72" i="102"/>
  <c r="N72" i="102"/>
  <c r="M72" i="102"/>
  <c r="K72" i="102"/>
  <c r="J72" i="102"/>
  <c r="I72" i="102"/>
  <c r="H72" i="102"/>
  <c r="G72" i="102"/>
  <c r="F72" i="102"/>
  <c r="E72" i="102"/>
  <c r="D72" i="102"/>
  <c r="C72" i="102"/>
  <c r="V71" i="102"/>
  <c r="V70" i="102"/>
  <c r="V69" i="102"/>
  <c r="V68" i="102"/>
  <c r="V67" i="102"/>
  <c r="V66" i="102"/>
  <c r="V65" i="102"/>
  <c r="V64" i="102"/>
  <c r="V63" i="102"/>
  <c r="V62" i="102"/>
  <c r="V61" i="102"/>
  <c r="V60" i="102"/>
  <c r="V59" i="102"/>
  <c r="V58" i="102"/>
  <c r="AA57" i="102"/>
  <c r="V57" i="102"/>
  <c r="AA56" i="102"/>
  <c r="V56" i="102"/>
  <c r="L56" i="102"/>
  <c r="L72" i="102" s="1"/>
  <c r="X55" i="102"/>
  <c r="W55" i="102"/>
  <c r="U55" i="102"/>
  <c r="T55" i="102"/>
  <c r="S55" i="102"/>
  <c r="R55" i="102"/>
  <c r="Q55" i="102"/>
  <c r="P55" i="102"/>
  <c r="O55" i="102"/>
  <c r="N55" i="102"/>
  <c r="M55" i="102"/>
  <c r="K55" i="102"/>
  <c r="J55" i="102"/>
  <c r="I55" i="102"/>
  <c r="H55" i="102"/>
  <c r="G55" i="102"/>
  <c r="F55" i="102"/>
  <c r="E55" i="102"/>
  <c r="D55" i="102"/>
  <c r="C55" i="102"/>
  <c r="AA54" i="102"/>
  <c r="V54" i="102"/>
  <c r="L54" i="102"/>
  <c r="AA53" i="102"/>
  <c r="V53" i="102"/>
  <c r="L53" i="102"/>
  <c r="AA52" i="102"/>
  <c r="V52" i="102"/>
  <c r="L52" i="102"/>
  <c r="AA51" i="102"/>
  <c r="L51" i="102"/>
  <c r="Z51" i="102" s="1"/>
  <c r="AA50" i="102"/>
  <c r="L50" i="102"/>
  <c r="Z50" i="102" s="1"/>
  <c r="AA49" i="102"/>
  <c r="L49" i="102"/>
  <c r="Z49" i="102" s="1"/>
  <c r="AA48" i="102"/>
  <c r="L48" i="102"/>
  <c r="Z48" i="102" s="1"/>
  <c r="AA47" i="102"/>
  <c r="L47" i="102"/>
  <c r="Z47" i="102" s="1"/>
  <c r="AA46" i="102"/>
  <c r="L46" i="102"/>
  <c r="Z46" i="102" s="1"/>
  <c r="AA45" i="102"/>
  <c r="L45" i="102"/>
  <c r="Z45" i="102" s="1"/>
  <c r="AA44" i="102"/>
  <c r="L44" i="102"/>
  <c r="Z44" i="102" s="1"/>
  <c r="AA43" i="102"/>
  <c r="L43" i="102"/>
  <c r="Z43" i="102" s="1"/>
  <c r="AA42" i="102"/>
  <c r="L42" i="102"/>
  <c r="Z42" i="102" s="1"/>
  <c r="AA41" i="102"/>
  <c r="L41" i="102"/>
  <c r="Z41" i="102" s="1"/>
  <c r="AA40" i="102"/>
  <c r="L40" i="102"/>
  <c r="Z40" i="102" s="1"/>
  <c r="AA39" i="102"/>
  <c r="L39" i="102"/>
  <c r="Z39" i="102" s="1"/>
  <c r="AA38" i="102"/>
  <c r="L38" i="102"/>
  <c r="Z38" i="102" s="1"/>
  <c r="X37" i="102"/>
  <c r="W37" i="102"/>
  <c r="K37" i="102"/>
  <c r="J37" i="102"/>
  <c r="I37" i="102"/>
  <c r="H37" i="102"/>
  <c r="G37" i="102"/>
  <c r="F37" i="102"/>
  <c r="E37" i="102"/>
  <c r="D37" i="102"/>
  <c r="C37" i="102"/>
  <c r="AA36" i="102"/>
  <c r="L36" i="102"/>
  <c r="Z36" i="102" s="1"/>
  <c r="AA35" i="102"/>
  <c r="L35" i="102"/>
  <c r="Z35" i="102" s="1"/>
  <c r="AA34" i="102"/>
  <c r="L34" i="102"/>
  <c r="Z34" i="102" s="1"/>
  <c r="AA33" i="102"/>
  <c r="L33" i="102"/>
  <c r="Z33" i="102" s="1"/>
  <c r="AA32" i="102"/>
  <c r="L32" i="102"/>
  <c r="Z32" i="102" s="1"/>
  <c r="AA31" i="102"/>
  <c r="L31" i="102"/>
  <c r="Z31" i="102" s="1"/>
  <c r="AA30" i="102"/>
  <c r="L30" i="102"/>
  <c r="Z30" i="102" s="1"/>
  <c r="AA29" i="102"/>
  <c r="L29" i="102"/>
  <c r="Z29" i="102" s="1"/>
  <c r="AA28" i="102"/>
  <c r="L28" i="102"/>
  <c r="Z28" i="102" s="1"/>
  <c r="AA27" i="102"/>
  <c r="L27" i="102"/>
  <c r="Z27" i="102" s="1"/>
  <c r="AA26" i="102"/>
  <c r="L26" i="102"/>
  <c r="Z26" i="102" s="1"/>
  <c r="AA25" i="102"/>
  <c r="L25" i="102"/>
  <c r="Z25" i="102" s="1"/>
  <c r="AA24" i="102"/>
  <c r="L24" i="102"/>
  <c r="Z24" i="102" s="1"/>
  <c r="X23" i="102"/>
  <c r="W23" i="102"/>
  <c r="U23" i="102"/>
  <c r="S23" i="102"/>
  <c r="R23" i="102"/>
  <c r="Q23" i="102"/>
  <c r="P23" i="102"/>
  <c r="O23" i="102"/>
  <c r="N23" i="102"/>
  <c r="M23" i="102"/>
  <c r="K23" i="102"/>
  <c r="J23" i="102"/>
  <c r="I23" i="102"/>
  <c r="H23" i="102"/>
  <c r="G23" i="102"/>
  <c r="F23" i="102"/>
  <c r="E23" i="102"/>
  <c r="D23" i="102"/>
  <c r="C23" i="102"/>
  <c r="AA22" i="102"/>
  <c r="T23" i="102"/>
  <c r="L22" i="102"/>
  <c r="Z22" i="102" s="1"/>
  <c r="AA21" i="102"/>
  <c r="L21" i="102"/>
  <c r="Z21" i="102" s="1"/>
  <c r="AA20" i="102"/>
  <c r="L20" i="102"/>
  <c r="Z20" i="102" s="1"/>
  <c r="AA19" i="102"/>
  <c r="L19" i="102"/>
  <c r="Z19" i="102" s="1"/>
  <c r="AA18" i="102"/>
  <c r="L18" i="102"/>
  <c r="Z18" i="102" s="1"/>
  <c r="AA17" i="102"/>
  <c r="L17" i="102"/>
  <c r="Z17" i="102" s="1"/>
  <c r="AA16" i="102"/>
  <c r="L16" i="102"/>
  <c r="Z16" i="102" s="1"/>
  <c r="AA15" i="102"/>
  <c r="L15" i="102"/>
  <c r="Z15" i="102" s="1"/>
  <c r="AA14" i="102"/>
  <c r="L14" i="102"/>
  <c r="Z14" i="102" s="1"/>
  <c r="AA13" i="102"/>
  <c r="L13" i="102"/>
  <c r="Z13" i="102" s="1"/>
  <c r="AA12" i="102"/>
  <c r="L12" i="102"/>
  <c r="Z12" i="102" s="1"/>
  <c r="L11" i="102"/>
  <c r="Z11" i="102" s="1"/>
  <c r="L10" i="102"/>
  <c r="Z10" i="102" s="1"/>
  <c r="L9" i="102"/>
  <c r="Z9" i="102" s="1"/>
  <c r="AA8" i="102"/>
  <c r="L8" i="102"/>
  <c r="Z8" i="102" s="1"/>
  <c r="AA7" i="102"/>
  <c r="L7" i="102"/>
  <c r="Z7" i="102" s="1"/>
  <c r="AA6" i="102"/>
  <c r="L6" i="102"/>
  <c r="Z6" i="102" s="1"/>
  <c r="X106" i="101"/>
  <c r="W106" i="101"/>
  <c r="U106" i="101"/>
  <c r="T106" i="101"/>
  <c r="S106" i="101"/>
  <c r="R106" i="101"/>
  <c r="Q106" i="101"/>
  <c r="P106" i="101"/>
  <c r="O106" i="101"/>
  <c r="N106" i="101"/>
  <c r="M106" i="101"/>
  <c r="K106" i="101"/>
  <c r="J106" i="101"/>
  <c r="I106" i="101"/>
  <c r="H106" i="101"/>
  <c r="G106" i="101"/>
  <c r="F106" i="101"/>
  <c r="E106" i="101"/>
  <c r="D106" i="101"/>
  <c r="C106" i="101"/>
  <c r="AA105" i="101"/>
  <c r="V105" i="101"/>
  <c r="L105" i="101"/>
  <c r="AA104" i="101"/>
  <c r="V104" i="101"/>
  <c r="L104" i="101"/>
  <c r="AA103" i="101"/>
  <c r="V103" i="101"/>
  <c r="L103" i="101"/>
  <c r="AA102" i="101"/>
  <c r="V102" i="101"/>
  <c r="L102" i="101"/>
  <c r="AA101" i="101"/>
  <c r="V101" i="101"/>
  <c r="L101" i="101"/>
  <c r="AA100" i="101"/>
  <c r="V100" i="101"/>
  <c r="L100" i="101"/>
  <c r="AA99" i="101"/>
  <c r="V99" i="101"/>
  <c r="L99" i="101"/>
  <c r="AA98" i="101"/>
  <c r="V98" i="101"/>
  <c r="L98" i="101"/>
  <c r="AA97" i="101"/>
  <c r="V97" i="101"/>
  <c r="L97" i="101"/>
  <c r="AA96" i="101"/>
  <c r="V96" i="101"/>
  <c r="L96" i="101"/>
  <c r="AA95" i="101"/>
  <c r="V95" i="101"/>
  <c r="L95" i="101"/>
  <c r="AA94" i="101"/>
  <c r="V94" i="101"/>
  <c r="L94" i="101"/>
  <c r="AA93" i="101"/>
  <c r="V93" i="101"/>
  <c r="L93" i="101"/>
  <c r="AA92" i="101"/>
  <c r="V92" i="101"/>
  <c r="L92" i="101"/>
  <c r="AA91" i="101"/>
  <c r="V91" i="101"/>
  <c r="L91" i="101"/>
  <c r="AA90" i="101"/>
  <c r="V90" i="101"/>
  <c r="L90" i="101"/>
  <c r="X89" i="101"/>
  <c r="W89" i="101"/>
  <c r="U89" i="101"/>
  <c r="T89" i="101"/>
  <c r="S89" i="101"/>
  <c r="R89" i="101"/>
  <c r="Q89" i="101"/>
  <c r="P89" i="101"/>
  <c r="O89" i="101"/>
  <c r="N89" i="101"/>
  <c r="M89" i="101"/>
  <c r="K89" i="101"/>
  <c r="J89" i="101"/>
  <c r="I89" i="101"/>
  <c r="H89" i="101"/>
  <c r="G89" i="101"/>
  <c r="F89" i="101"/>
  <c r="E89" i="101"/>
  <c r="D89" i="101"/>
  <c r="C89" i="101"/>
  <c r="AA88" i="101"/>
  <c r="V88" i="101"/>
  <c r="L88" i="101"/>
  <c r="AA87" i="101"/>
  <c r="V87" i="101"/>
  <c r="L87" i="101"/>
  <c r="AA86" i="101"/>
  <c r="V86" i="101"/>
  <c r="L86" i="101"/>
  <c r="AA85" i="101"/>
  <c r="V85" i="101"/>
  <c r="L85" i="101"/>
  <c r="AA84" i="101"/>
  <c r="V84" i="101"/>
  <c r="L84" i="101"/>
  <c r="AA83" i="101"/>
  <c r="V83" i="101"/>
  <c r="L83" i="101"/>
  <c r="AA82" i="101"/>
  <c r="V82" i="101"/>
  <c r="L82" i="101"/>
  <c r="AA81" i="101"/>
  <c r="V81" i="101"/>
  <c r="L81" i="101"/>
  <c r="AA80" i="101"/>
  <c r="V80" i="101"/>
  <c r="L80" i="101"/>
  <c r="AA79" i="101"/>
  <c r="V79" i="101"/>
  <c r="L79" i="101"/>
  <c r="AA78" i="101"/>
  <c r="V78" i="101"/>
  <c r="L78" i="101"/>
  <c r="AA77" i="101"/>
  <c r="V77" i="101"/>
  <c r="L77" i="101"/>
  <c r="AA76" i="101"/>
  <c r="V76" i="101"/>
  <c r="L76" i="101"/>
  <c r="AA75" i="101"/>
  <c r="V75" i="101"/>
  <c r="L75" i="101"/>
  <c r="AA74" i="101"/>
  <c r="V74" i="101"/>
  <c r="L74" i="101"/>
  <c r="AA73" i="101"/>
  <c r="V73" i="101"/>
  <c r="L73" i="101"/>
  <c r="X72" i="101"/>
  <c r="W72" i="101"/>
  <c r="U72" i="101"/>
  <c r="T72" i="101"/>
  <c r="S72" i="101"/>
  <c r="R72" i="101"/>
  <c r="Q72" i="101"/>
  <c r="P72" i="101"/>
  <c r="O72" i="101"/>
  <c r="N72" i="101"/>
  <c r="M72" i="101"/>
  <c r="K72" i="101"/>
  <c r="J72" i="101"/>
  <c r="I72" i="101"/>
  <c r="H72" i="101"/>
  <c r="G72" i="101"/>
  <c r="F72" i="101"/>
  <c r="E72" i="101"/>
  <c r="D72" i="101"/>
  <c r="C72" i="101"/>
  <c r="L59" i="101"/>
  <c r="Z59" i="101" s="1"/>
  <c r="L58" i="101"/>
  <c r="Z58" i="101" s="1"/>
  <c r="L57" i="101"/>
  <c r="Z57" i="101" s="1"/>
  <c r="AA56" i="101"/>
  <c r="L56" i="101"/>
  <c r="AB56" i="101" s="1"/>
  <c r="X55" i="101"/>
  <c r="W55" i="101"/>
  <c r="U55" i="101"/>
  <c r="T55" i="101"/>
  <c r="S55" i="101"/>
  <c r="R55" i="101"/>
  <c r="Q55" i="101"/>
  <c r="P55" i="101"/>
  <c r="O55" i="101"/>
  <c r="N55" i="101"/>
  <c r="M55" i="101"/>
  <c r="K55" i="101"/>
  <c r="J55" i="101"/>
  <c r="I55" i="101"/>
  <c r="H55" i="101"/>
  <c r="G55" i="101"/>
  <c r="F55" i="101"/>
  <c r="E55" i="101"/>
  <c r="D55" i="101"/>
  <c r="C55" i="101"/>
  <c r="L54" i="101"/>
  <c r="Z54" i="101" s="1"/>
  <c r="L53" i="101"/>
  <c r="Z53" i="101" s="1"/>
  <c r="L52" i="101"/>
  <c r="Z52" i="101" s="1"/>
  <c r="L51" i="101"/>
  <c r="Z51" i="101" s="1"/>
  <c r="L50" i="101"/>
  <c r="Z50" i="101" s="1"/>
  <c r="L49" i="101"/>
  <c r="Z49" i="101" s="1"/>
  <c r="L48" i="101"/>
  <c r="Z48" i="101" s="1"/>
  <c r="L47" i="101"/>
  <c r="Z47" i="101" s="1"/>
  <c r="L46" i="101"/>
  <c r="Z46" i="101" s="1"/>
  <c r="L45" i="101"/>
  <c r="Z45" i="101" s="1"/>
  <c r="L44" i="101"/>
  <c r="Z44" i="101" s="1"/>
  <c r="L43" i="101"/>
  <c r="Z43" i="101" s="1"/>
  <c r="L42" i="101"/>
  <c r="Z42" i="101" s="1"/>
  <c r="L41" i="101"/>
  <c r="Z41" i="101" s="1"/>
  <c r="L40" i="101"/>
  <c r="Z40" i="101" s="1"/>
  <c r="L39" i="101"/>
  <c r="Z39" i="101" s="1"/>
  <c r="AA38" i="101"/>
  <c r="L38" i="101"/>
  <c r="Z38" i="101" s="1"/>
  <c r="X37" i="101"/>
  <c r="W37" i="101"/>
  <c r="U37" i="101"/>
  <c r="T37" i="101"/>
  <c r="S37" i="101"/>
  <c r="R37" i="101"/>
  <c r="Q37" i="101"/>
  <c r="P37" i="101"/>
  <c r="O37" i="101"/>
  <c r="N37" i="101"/>
  <c r="M37" i="101"/>
  <c r="K37" i="101"/>
  <c r="J37" i="101"/>
  <c r="I37" i="101"/>
  <c r="H37" i="101"/>
  <c r="G37" i="101"/>
  <c r="F37" i="101"/>
  <c r="E37" i="101"/>
  <c r="D37" i="101"/>
  <c r="C37" i="101"/>
  <c r="AA36" i="101"/>
  <c r="Z36" i="101"/>
  <c r="AA35" i="101"/>
  <c r="Z35" i="101"/>
  <c r="AA34" i="101"/>
  <c r="Z34" i="101"/>
  <c r="Z33" i="101"/>
  <c r="V32" i="101"/>
  <c r="V31" i="101"/>
  <c r="Z31" i="101" s="1"/>
  <c r="V30" i="101"/>
  <c r="V29" i="101"/>
  <c r="Z29" i="101" s="1"/>
  <c r="V28" i="101"/>
  <c r="V27" i="101"/>
  <c r="Z27" i="101" s="1"/>
  <c r="V26" i="101"/>
  <c r="V25" i="101"/>
  <c r="Z25" i="101" s="1"/>
  <c r="V24" i="101"/>
  <c r="X23" i="101"/>
  <c r="W23" i="101"/>
  <c r="U23" i="101"/>
  <c r="T23" i="101"/>
  <c r="S23" i="101"/>
  <c r="R23" i="101"/>
  <c r="Q23" i="101"/>
  <c r="P23" i="101"/>
  <c r="O23" i="101"/>
  <c r="N23" i="101"/>
  <c r="M23" i="101"/>
  <c r="K23" i="101"/>
  <c r="J23" i="101"/>
  <c r="I23" i="101"/>
  <c r="H23" i="101"/>
  <c r="G23" i="101"/>
  <c r="F23" i="101"/>
  <c r="E23" i="101"/>
  <c r="D23" i="101"/>
  <c r="C23" i="101"/>
  <c r="AA22" i="101"/>
  <c r="L22" i="101"/>
  <c r="Z22" i="101" s="1"/>
  <c r="AA21" i="101"/>
  <c r="L21" i="101"/>
  <c r="AA20" i="101"/>
  <c r="L20" i="101"/>
  <c r="AA19" i="101"/>
  <c r="L19" i="101"/>
  <c r="AA18" i="101"/>
  <c r="L18" i="101"/>
  <c r="Z18" i="101" s="1"/>
  <c r="AA17" i="101"/>
  <c r="L17" i="101"/>
  <c r="Z17" i="101" s="1"/>
  <c r="AA16" i="101"/>
  <c r="L16" i="101"/>
  <c r="AA15" i="101"/>
  <c r="L15" i="101"/>
  <c r="Z15" i="101" s="1"/>
  <c r="AA14" i="101"/>
  <c r="L14" i="101"/>
  <c r="AA13" i="101"/>
  <c r="L13" i="101"/>
  <c r="AA12" i="101"/>
  <c r="L12" i="101"/>
  <c r="Z12" i="101" s="1"/>
  <c r="AA11" i="101"/>
  <c r="V11" i="101"/>
  <c r="L11" i="101"/>
  <c r="AA10" i="101"/>
  <c r="V10" i="101"/>
  <c r="L10" i="101"/>
  <c r="AA9" i="101"/>
  <c r="V9" i="101"/>
  <c r="L9" i="101"/>
  <c r="AA8" i="101"/>
  <c r="L8" i="101"/>
  <c r="Z8" i="101" s="1"/>
  <c r="AA7" i="101"/>
  <c r="L7" i="101"/>
  <c r="Z7" i="101" s="1"/>
  <c r="AA6" i="101"/>
  <c r="V6" i="101"/>
  <c r="L6" i="101"/>
  <c r="X106" i="100"/>
  <c r="W106" i="100"/>
  <c r="U106" i="100"/>
  <c r="T106" i="100"/>
  <c r="S106" i="100"/>
  <c r="R106" i="100"/>
  <c r="Q106" i="100"/>
  <c r="P106" i="100"/>
  <c r="O106" i="100"/>
  <c r="N106" i="100"/>
  <c r="M106" i="100"/>
  <c r="K106" i="100"/>
  <c r="J106" i="100"/>
  <c r="I106" i="100"/>
  <c r="H106" i="100"/>
  <c r="G106" i="100"/>
  <c r="F106" i="100"/>
  <c r="E106" i="100"/>
  <c r="D106" i="100"/>
  <c r="C106" i="100"/>
  <c r="AA105" i="100"/>
  <c r="V105" i="100"/>
  <c r="L105" i="100"/>
  <c r="AA104" i="100"/>
  <c r="V104" i="100"/>
  <c r="L104" i="100"/>
  <c r="AA103" i="100"/>
  <c r="V103" i="100"/>
  <c r="L103" i="100"/>
  <c r="AA102" i="100"/>
  <c r="V102" i="100"/>
  <c r="L102" i="100"/>
  <c r="AA101" i="100"/>
  <c r="V101" i="100"/>
  <c r="L101" i="100"/>
  <c r="AA100" i="100"/>
  <c r="V100" i="100"/>
  <c r="L100" i="100"/>
  <c r="AA99" i="100"/>
  <c r="V99" i="100"/>
  <c r="L99" i="100"/>
  <c r="AA98" i="100"/>
  <c r="V98" i="100"/>
  <c r="L98" i="100"/>
  <c r="AA97" i="100"/>
  <c r="V97" i="100"/>
  <c r="L97" i="100"/>
  <c r="AA96" i="100"/>
  <c r="V96" i="100"/>
  <c r="L96" i="100"/>
  <c r="AA95" i="100"/>
  <c r="V95" i="100"/>
  <c r="L95" i="100"/>
  <c r="AA94" i="100"/>
  <c r="V94" i="100"/>
  <c r="L94" i="100"/>
  <c r="AA93" i="100"/>
  <c r="V93" i="100"/>
  <c r="L93" i="100"/>
  <c r="AA92" i="100"/>
  <c r="V92" i="100"/>
  <c r="L92" i="100"/>
  <c r="AA91" i="100"/>
  <c r="V91" i="100"/>
  <c r="L91" i="100"/>
  <c r="AA90" i="100"/>
  <c r="V90" i="100"/>
  <c r="L90" i="100"/>
  <c r="X89" i="100"/>
  <c r="W89" i="100"/>
  <c r="U89" i="100"/>
  <c r="T89" i="100"/>
  <c r="S89" i="100"/>
  <c r="R89" i="100"/>
  <c r="Q89" i="100"/>
  <c r="P89" i="100"/>
  <c r="O89" i="100"/>
  <c r="N89" i="100"/>
  <c r="M89" i="100"/>
  <c r="K89" i="100"/>
  <c r="J89" i="100"/>
  <c r="I89" i="100"/>
  <c r="H89" i="100"/>
  <c r="G89" i="100"/>
  <c r="F89" i="100"/>
  <c r="E89" i="100"/>
  <c r="D89" i="100"/>
  <c r="C89" i="100"/>
  <c r="AA88" i="100"/>
  <c r="V88" i="100"/>
  <c r="L88" i="100"/>
  <c r="AA87" i="100"/>
  <c r="V87" i="100"/>
  <c r="L87" i="100"/>
  <c r="AA86" i="100"/>
  <c r="V86" i="100"/>
  <c r="L86" i="100"/>
  <c r="AA85" i="100"/>
  <c r="V85" i="100"/>
  <c r="L85" i="100"/>
  <c r="AA84" i="100"/>
  <c r="V84" i="100"/>
  <c r="L84" i="100"/>
  <c r="AA83" i="100"/>
  <c r="V83" i="100"/>
  <c r="L83" i="100"/>
  <c r="AA82" i="100"/>
  <c r="V82" i="100"/>
  <c r="L82" i="100"/>
  <c r="AA81" i="100"/>
  <c r="V81" i="100"/>
  <c r="L81" i="100"/>
  <c r="AA80" i="100"/>
  <c r="V80" i="100"/>
  <c r="L80" i="100"/>
  <c r="AA79" i="100"/>
  <c r="V79" i="100"/>
  <c r="L79" i="100"/>
  <c r="AA78" i="100"/>
  <c r="V78" i="100"/>
  <c r="L78" i="100"/>
  <c r="AA77" i="100"/>
  <c r="V77" i="100"/>
  <c r="L77" i="100"/>
  <c r="AA76" i="100"/>
  <c r="V76" i="100"/>
  <c r="L76" i="100"/>
  <c r="AA75" i="100"/>
  <c r="V75" i="100"/>
  <c r="L75" i="100"/>
  <c r="AA74" i="100"/>
  <c r="V74" i="100"/>
  <c r="L74" i="100"/>
  <c r="AA73" i="100"/>
  <c r="V73" i="100"/>
  <c r="L73" i="100"/>
  <c r="X72" i="100"/>
  <c r="W72" i="100"/>
  <c r="U72" i="100"/>
  <c r="T72" i="100"/>
  <c r="S72" i="100"/>
  <c r="R72" i="100"/>
  <c r="Q72" i="100"/>
  <c r="P72" i="100"/>
  <c r="O72" i="100"/>
  <c r="N72" i="100"/>
  <c r="M72" i="100"/>
  <c r="K72" i="100"/>
  <c r="J72" i="100"/>
  <c r="I72" i="100"/>
  <c r="H72" i="100"/>
  <c r="G72" i="100"/>
  <c r="F72" i="100"/>
  <c r="E72" i="100"/>
  <c r="D72" i="100"/>
  <c r="C72" i="100"/>
  <c r="AA71" i="100"/>
  <c r="V71" i="100"/>
  <c r="L71" i="100"/>
  <c r="AA70" i="100"/>
  <c r="V70" i="100"/>
  <c r="L70" i="100"/>
  <c r="AA69" i="100"/>
  <c r="V69" i="100"/>
  <c r="L69" i="100"/>
  <c r="AA68" i="100"/>
  <c r="V68" i="100"/>
  <c r="L68" i="100"/>
  <c r="AA67" i="100"/>
  <c r="V67" i="100"/>
  <c r="L67" i="100"/>
  <c r="AA66" i="100"/>
  <c r="V66" i="100"/>
  <c r="L66" i="100"/>
  <c r="AA65" i="100"/>
  <c r="V65" i="100"/>
  <c r="L65" i="100"/>
  <c r="AA64" i="100"/>
  <c r="V64" i="100"/>
  <c r="L64" i="100"/>
  <c r="AA63" i="100"/>
  <c r="V63" i="100"/>
  <c r="L63" i="100"/>
  <c r="AA62" i="100"/>
  <c r="V62" i="100"/>
  <c r="L62" i="100"/>
  <c r="AA61" i="100"/>
  <c r="V61" i="100"/>
  <c r="L61" i="100"/>
  <c r="AA60" i="100"/>
  <c r="V60" i="100"/>
  <c r="L60" i="100"/>
  <c r="AA59" i="100"/>
  <c r="V59" i="100"/>
  <c r="L59" i="100"/>
  <c r="AA58" i="100"/>
  <c r="V58" i="100"/>
  <c r="L58" i="100"/>
  <c r="AA57" i="100"/>
  <c r="V57" i="100"/>
  <c r="L57" i="100"/>
  <c r="AA56" i="100"/>
  <c r="V56" i="100"/>
  <c r="L56" i="100"/>
  <c r="X55" i="100"/>
  <c r="W55" i="100"/>
  <c r="U55" i="100"/>
  <c r="T55" i="100"/>
  <c r="S55" i="100"/>
  <c r="R55" i="100"/>
  <c r="Q55" i="100"/>
  <c r="P55" i="100"/>
  <c r="O55" i="100"/>
  <c r="N55" i="100"/>
  <c r="M55" i="100"/>
  <c r="K55" i="100"/>
  <c r="J55" i="100"/>
  <c r="I55" i="100"/>
  <c r="H55" i="100"/>
  <c r="G55" i="100"/>
  <c r="F55" i="100"/>
  <c r="E55" i="100"/>
  <c r="D55" i="100"/>
  <c r="C55" i="100"/>
  <c r="AA54" i="100"/>
  <c r="V54" i="100"/>
  <c r="L54" i="100"/>
  <c r="AA53" i="100"/>
  <c r="V53" i="100"/>
  <c r="L53" i="100"/>
  <c r="AA52" i="100"/>
  <c r="V52" i="100"/>
  <c r="L52" i="100"/>
  <c r="AA51" i="100"/>
  <c r="V51" i="100"/>
  <c r="L51" i="100"/>
  <c r="AA50" i="100"/>
  <c r="V50" i="100"/>
  <c r="L50" i="100"/>
  <c r="AA49" i="100"/>
  <c r="V49" i="100"/>
  <c r="L49" i="100"/>
  <c r="AA48" i="100"/>
  <c r="L48" i="100"/>
  <c r="Z48" i="100" s="1"/>
  <c r="AA47" i="100"/>
  <c r="V47" i="100"/>
  <c r="L47" i="100"/>
  <c r="AA46" i="100"/>
  <c r="V46" i="100"/>
  <c r="L46" i="100"/>
  <c r="AA45" i="100"/>
  <c r="V45" i="100"/>
  <c r="L45" i="100"/>
  <c r="AA44" i="100"/>
  <c r="V44" i="100"/>
  <c r="L44" i="100"/>
  <c r="AA43" i="100"/>
  <c r="V43" i="100"/>
  <c r="L43" i="100"/>
  <c r="AA42" i="100"/>
  <c r="V42" i="100"/>
  <c r="L42" i="100"/>
  <c r="AA41" i="100"/>
  <c r="V41" i="100"/>
  <c r="L41" i="100"/>
  <c r="AA40" i="100"/>
  <c r="V40" i="100"/>
  <c r="L40" i="100"/>
  <c r="AA39" i="100"/>
  <c r="V39" i="100"/>
  <c r="L39" i="100"/>
  <c r="AA38" i="100"/>
  <c r="V38" i="100"/>
  <c r="L38" i="100"/>
  <c r="X37" i="100"/>
  <c r="W37" i="100"/>
  <c r="U37" i="100"/>
  <c r="K37" i="100"/>
  <c r="J37" i="100"/>
  <c r="I37" i="100"/>
  <c r="H37" i="100"/>
  <c r="G37" i="100"/>
  <c r="F37" i="100"/>
  <c r="E37" i="100"/>
  <c r="D37" i="100"/>
  <c r="C37" i="100"/>
  <c r="AA36" i="100"/>
  <c r="V36" i="100"/>
  <c r="AA35" i="100"/>
  <c r="V35" i="100"/>
  <c r="AA34" i="100"/>
  <c r="V34" i="100"/>
  <c r="AA33" i="100"/>
  <c r="Z33" i="100"/>
  <c r="AA32" i="100"/>
  <c r="V32" i="100"/>
  <c r="L32" i="100"/>
  <c r="AA31" i="100"/>
  <c r="V31" i="100"/>
  <c r="L31" i="100"/>
  <c r="AA30" i="100"/>
  <c r="V30" i="100"/>
  <c r="L30" i="100"/>
  <c r="AA29" i="100"/>
  <c r="V29" i="100"/>
  <c r="L29" i="100"/>
  <c r="AA28" i="100"/>
  <c r="V28" i="100"/>
  <c r="L28" i="100"/>
  <c r="AA27" i="100"/>
  <c r="V27" i="100"/>
  <c r="L27" i="100"/>
  <c r="AA26" i="100"/>
  <c r="V26" i="100"/>
  <c r="L26" i="100"/>
  <c r="AA25" i="100"/>
  <c r="V25" i="100"/>
  <c r="L25" i="100"/>
  <c r="AA24" i="100"/>
  <c r="V24" i="100"/>
  <c r="L24" i="100"/>
  <c r="X23" i="100"/>
  <c r="W23" i="100"/>
  <c r="U23" i="100"/>
  <c r="T23" i="100"/>
  <c r="S23" i="100"/>
  <c r="R23" i="100"/>
  <c r="Q23" i="100"/>
  <c r="P23" i="100"/>
  <c r="O23" i="100"/>
  <c r="N23" i="100"/>
  <c r="M23" i="100"/>
  <c r="K23" i="100"/>
  <c r="J23" i="100"/>
  <c r="I23" i="100"/>
  <c r="H23" i="100"/>
  <c r="G23" i="100"/>
  <c r="F23" i="100"/>
  <c r="E23" i="100"/>
  <c r="D23" i="100"/>
  <c r="C23" i="100"/>
  <c r="AA22" i="100"/>
  <c r="Z22" i="100"/>
  <c r="AA21" i="100"/>
  <c r="Z21" i="100"/>
  <c r="AA20" i="100"/>
  <c r="Z20" i="100"/>
  <c r="AA19" i="100"/>
  <c r="Z19" i="100"/>
  <c r="AA18" i="100"/>
  <c r="Z18" i="100"/>
  <c r="AA17" i="100"/>
  <c r="Z17" i="100"/>
  <c r="AA16" i="100"/>
  <c r="Z16" i="100"/>
  <c r="AA15" i="100"/>
  <c r="Z15" i="100"/>
  <c r="AA14" i="100"/>
  <c r="Z14" i="100"/>
  <c r="AA13" i="100"/>
  <c r="Z13" i="100"/>
  <c r="AA12" i="100"/>
  <c r="V12" i="100"/>
  <c r="Z12" i="100" s="1"/>
  <c r="AA11" i="100"/>
  <c r="V11" i="100"/>
  <c r="Z11" i="100" s="1"/>
  <c r="AA10" i="100"/>
  <c r="V10" i="100"/>
  <c r="Z10" i="100" s="1"/>
  <c r="AA9" i="100"/>
  <c r="V9" i="100"/>
  <c r="Z9" i="100" s="1"/>
  <c r="AA8" i="100"/>
  <c r="V8" i="100"/>
  <c r="Z8" i="100" s="1"/>
  <c r="AA7" i="100"/>
  <c r="V7" i="100"/>
  <c r="Z7" i="100" s="1"/>
  <c r="AA6" i="100"/>
  <c r="V6" i="100"/>
  <c r="Z6" i="100" s="1"/>
  <c r="X106" i="96"/>
  <c r="W106" i="96"/>
  <c r="U106" i="96"/>
  <c r="T106" i="96"/>
  <c r="S106" i="96"/>
  <c r="R106" i="96"/>
  <c r="Q106" i="96"/>
  <c r="P106" i="96"/>
  <c r="O106" i="96"/>
  <c r="N106" i="96"/>
  <c r="M106" i="96"/>
  <c r="K106" i="96"/>
  <c r="J106" i="96"/>
  <c r="I106" i="96"/>
  <c r="H106" i="96"/>
  <c r="G106" i="96"/>
  <c r="F106" i="96"/>
  <c r="E106" i="96"/>
  <c r="D106" i="96"/>
  <c r="C106" i="96"/>
  <c r="AA105" i="96"/>
  <c r="L105" i="96"/>
  <c r="AA104" i="96"/>
  <c r="L104" i="96"/>
  <c r="AA103" i="96"/>
  <c r="L103" i="96"/>
  <c r="AA102" i="96"/>
  <c r="L102" i="96"/>
  <c r="AA101" i="96"/>
  <c r="L101" i="96"/>
  <c r="AA100" i="96"/>
  <c r="L100" i="96"/>
  <c r="AA99" i="96"/>
  <c r="L99" i="96"/>
  <c r="AA98" i="96"/>
  <c r="L98" i="96"/>
  <c r="AA97" i="96"/>
  <c r="L97" i="96"/>
  <c r="AA96" i="96"/>
  <c r="L96" i="96"/>
  <c r="AA95" i="96"/>
  <c r="L95" i="96"/>
  <c r="AA94" i="96"/>
  <c r="L94" i="96"/>
  <c r="AA93" i="96"/>
  <c r="L93" i="96"/>
  <c r="AA92" i="96"/>
  <c r="L92" i="96"/>
  <c r="AA91" i="96"/>
  <c r="L91" i="96"/>
  <c r="AA90" i="96"/>
  <c r="V90" i="96"/>
  <c r="L90" i="96"/>
  <c r="X89" i="96"/>
  <c r="W89" i="96"/>
  <c r="U89" i="96"/>
  <c r="T89" i="96"/>
  <c r="S89" i="96"/>
  <c r="R89" i="96"/>
  <c r="Q89" i="96"/>
  <c r="P89" i="96"/>
  <c r="O89" i="96"/>
  <c r="N89" i="96"/>
  <c r="M89" i="96"/>
  <c r="K89" i="96"/>
  <c r="J89" i="96"/>
  <c r="I89" i="96"/>
  <c r="H89" i="96"/>
  <c r="G89" i="96"/>
  <c r="F89" i="96"/>
  <c r="E89" i="96"/>
  <c r="D89" i="96"/>
  <c r="C89" i="96"/>
  <c r="L88" i="96"/>
  <c r="L87" i="96"/>
  <c r="L86" i="96"/>
  <c r="L85" i="96"/>
  <c r="L84" i="96"/>
  <c r="AA83" i="96"/>
  <c r="L83" i="96"/>
  <c r="AA82" i="96"/>
  <c r="L82" i="96"/>
  <c r="AA81" i="96"/>
  <c r="L81" i="96"/>
  <c r="AA80" i="96"/>
  <c r="L80" i="96"/>
  <c r="AA79" i="96"/>
  <c r="L79" i="96"/>
  <c r="AA78" i="96"/>
  <c r="L78" i="96"/>
  <c r="AA77" i="96"/>
  <c r="L77" i="96"/>
  <c r="AA76" i="96"/>
  <c r="L76" i="96"/>
  <c r="AA75" i="96"/>
  <c r="L75" i="96"/>
  <c r="AA74" i="96"/>
  <c r="L74" i="96"/>
  <c r="AA73" i="96"/>
  <c r="V73" i="96"/>
  <c r="L73" i="96"/>
  <c r="X72" i="96"/>
  <c r="W72" i="96"/>
  <c r="U72" i="96"/>
  <c r="T72" i="96"/>
  <c r="S72" i="96"/>
  <c r="R72" i="96"/>
  <c r="Q72" i="96"/>
  <c r="P72" i="96"/>
  <c r="O72" i="96"/>
  <c r="N72" i="96"/>
  <c r="M72" i="96"/>
  <c r="K72" i="96"/>
  <c r="J72" i="96"/>
  <c r="I72" i="96"/>
  <c r="H72" i="96"/>
  <c r="G72" i="96"/>
  <c r="F72" i="96"/>
  <c r="E72" i="96"/>
  <c r="D72" i="96"/>
  <c r="C72" i="96"/>
  <c r="L71" i="96"/>
  <c r="L70" i="96"/>
  <c r="L69" i="96"/>
  <c r="L68" i="96"/>
  <c r="L67" i="96"/>
  <c r="L66" i="96"/>
  <c r="L65" i="96"/>
  <c r="Z65" i="96" s="1"/>
  <c r="L64" i="96"/>
  <c r="L63" i="96"/>
  <c r="L62" i="96"/>
  <c r="L61" i="96"/>
  <c r="L60" i="96"/>
  <c r="L59" i="96"/>
  <c r="L58" i="96"/>
  <c r="L57" i="96"/>
  <c r="Z57" i="96" s="1"/>
  <c r="AA56" i="96"/>
  <c r="L56" i="96"/>
  <c r="X55" i="96"/>
  <c r="W55" i="96"/>
  <c r="U55" i="96"/>
  <c r="T55" i="96"/>
  <c r="S55" i="96"/>
  <c r="R55" i="96"/>
  <c r="Q55" i="96"/>
  <c r="P55" i="96"/>
  <c r="O55" i="96"/>
  <c r="N55" i="96"/>
  <c r="M55" i="96"/>
  <c r="K55" i="96"/>
  <c r="J55" i="96"/>
  <c r="I55" i="96"/>
  <c r="H55" i="96"/>
  <c r="G55" i="96"/>
  <c r="F55" i="96"/>
  <c r="E55" i="96"/>
  <c r="D55" i="96"/>
  <c r="C55" i="96"/>
  <c r="AA54" i="96"/>
  <c r="V54" i="96"/>
  <c r="L54" i="96"/>
  <c r="AA53" i="96"/>
  <c r="V53" i="96"/>
  <c r="L53" i="96"/>
  <c r="AA52" i="96"/>
  <c r="V52" i="96"/>
  <c r="L52" i="96"/>
  <c r="AA51" i="96"/>
  <c r="V51" i="96"/>
  <c r="L51" i="96"/>
  <c r="AA50" i="96"/>
  <c r="V50" i="96"/>
  <c r="L50" i="96"/>
  <c r="AA49" i="96"/>
  <c r="V49" i="96"/>
  <c r="L49" i="96"/>
  <c r="AA48" i="96"/>
  <c r="L48" i="96"/>
  <c r="Z48" i="96" s="1"/>
  <c r="AA47" i="96"/>
  <c r="V47" i="96"/>
  <c r="L47" i="96"/>
  <c r="AA46" i="96"/>
  <c r="V46" i="96"/>
  <c r="L46" i="96"/>
  <c r="AA45" i="96"/>
  <c r="V45" i="96"/>
  <c r="L45" i="96"/>
  <c r="AA44" i="96"/>
  <c r="V44" i="96"/>
  <c r="L44" i="96"/>
  <c r="AA43" i="96"/>
  <c r="V43" i="96"/>
  <c r="L43" i="96"/>
  <c r="AA42" i="96"/>
  <c r="V42" i="96"/>
  <c r="L42" i="96"/>
  <c r="AA41" i="96"/>
  <c r="V41" i="96"/>
  <c r="L41" i="96"/>
  <c r="AA40" i="96"/>
  <c r="V40" i="96"/>
  <c r="L40" i="96"/>
  <c r="AA39" i="96"/>
  <c r="V39" i="96"/>
  <c r="L39" i="96"/>
  <c r="AA38" i="96"/>
  <c r="V38" i="96"/>
  <c r="L38" i="96"/>
  <c r="X37" i="96"/>
  <c r="W37" i="96"/>
  <c r="U37" i="96"/>
  <c r="T37" i="96"/>
  <c r="S37" i="96"/>
  <c r="R37" i="96"/>
  <c r="Q37" i="96"/>
  <c r="P37" i="96"/>
  <c r="O37" i="96"/>
  <c r="N37" i="96"/>
  <c r="M37" i="96"/>
  <c r="K37" i="96"/>
  <c r="J37" i="96"/>
  <c r="I37" i="96"/>
  <c r="H37" i="96"/>
  <c r="G37" i="96"/>
  <c r="F37" i="96"/>
  <c r="E37" i="96"/>
  <c r="D37" i="96"/>
  <c r="C37" i="96"/>
  <c r="AA36" i="96"/>
  <c r="V36" i="96"/>
  <c r="L36" i="96"/>
  <c r="AA35" i="96"/>
  <c r="V35" i="96"/>
  <c r="L35" i="96"/>
  <c r="AA34" i="96"/>
  <c r="V34" i="96"/>
  <c r="L34" i="96"/>
  <c r="AA33" i="96"/>
  <c r="L33" i="96"/>
  <c r="Z33" i="96" s="1"/>
  <c r="AA32" i="96"/>
  <c r="V32" i="96"/>
  <c r="L32" i="96"/>
  <c r="AA31" i="96"/>
  <c r="V31" i="96"/>
  <c r="L31" i="96"/>
  <c r="AA30" i="96"/>
  <c r="V30" i="96"/>
  <c r="L30" i="96"/>
  <c r="AA29" i="96"/>
  <c r="V29" i="96"/>
  <c r="L29" i="96"/>
  <c r="AA28" i="96"/>
  <c r="V28" i="96"/>
  <c r="L28" i="96"/>
  <c r="AA27" i="96"/>
  <c r="V27" i="96"/>
  <c r="L27" i="96"/>
  <c r="AA26" i="96"/>
  <c r="V26" i="96"/>
  <c r="L26" i="96"/>
  <c r="AA25" i="96"/>
  <c r="V25" i="96"/>
  <c r="L25" i="96"/>
  <c r="AA24" i="96"/>
  <c r="V24" i="96"/>
  <c r="L24" i="96"/>
  <c r="X23" i="96"/>
  <c r="W23" i="96"/>
  <c r="U23" i="96"/>
  <c r="K23" i="96"/>
  <c r="J23" i="96"/>
  <c r="I23" i="96"/>
  <c r="H23" i="96"/>
  <c r="G23" i="96"/>
  <c r="F23" i="96"/>
  <c r="E23" i="96"/>
  <c r="D23" i="96"/>
  <c r="C23" i="96"/>
  <c r="AA22" i="96"/>
  <c r="V22" i="96"/>
  <c r="L22" i="96"/>
  <c r="AA21" i="96"/>
  <c r="V21" i="96"/>
  <c r="L21" i="96"/>
  <c r="AA20" i="96"/>
  <c r="V20" i="96"/>
  <c r="L20" i="96"/>
  <c r="AA19" i="96"/>
  <c r="V19" i="96"/>
  <c r="L19" i="96"/>
  <c r="AA18" i="96"/>
  <c r="V18" i="96"/>
  <c r="L18" i="96"/>
  <c r="AA17" i="96"/>
  <c r="V17" i="96"/>
  <c r="L17" i="96"/>
  <c r="AA16" i="96"/>
  <c r="V16" i="96"/>
  <c r="L16" i="96"/>
  <c r="AA15" i="96"/>
  <c r="V15" i="96"/>
  <c r="L15" i="96"/>
  <c r="AA14" i="96"/>
  <c r="V14" i="96"/>
  <c r="L14" i="96"/>
  <c r="AA13" i="96"/>
  <c r="V13" i="96"/>
  <c r="L13" i="96"/>
  <c r="AA12" i="96"/>
  <c r="V12" i="96"/>
  <c r="L12" i="96"/>
  <c r="AA11" i="96"/>
  <c r="V11" i="96"/>
  <c r="L11" i="96"/>
  <c r="AA10" i="96"/>
  <c r="V10" i="96"/>
  <c r="L10" i="96"/>
  <c r="AA9" i="96"/>
  <c r="L9" i="96"/>
  <c r="Z9" i="96" s="1"/>
  <c r="AA8" i="96"/>
  <c r="L8" i="96"/>
  <c r="Z8" i="96" s="1"/>
  <c r="AA7" i="96"/>
  <c r="L7" i="96"/>
  <c r="Z7" i="96" s="1"/>
  <c r="AA6" i="96"/>
  <c r="L6" i="96"/>
  <c r="Z6" i="96" s="1"/>
  <c r="X106" i="97"/>
  <c r="W106" i="97"/>
  <c r="U106" i="97"/>
  <c r="T106" i="97"/>
  <c r="S106" i="97"/>
  <c r="R106" i="97"/>
  <c r="Q106" i="97"/>
  <c r="P106" i="97"/>
  <c r="O106" i="97"/>
  <c r="N106" i="97"/>
  <c r="M106" i="97"/>
  <c r="K106" i="97"/>
  <c r="J106" i="97"/>
  <c r="I106" i="97"/>
  <c r="H106" i="97"/>
  <c r="G106" i="97"/>
  <c r="F106" i="97"/>
  <c r="E106" i="97"/>
  <c r="D106" i="97"/>
  <c r="C106" i="97"/>
  <c r="AA105" i="97"/>
  <c r="V105" i="97"/>
  <c r="L105" i="97"/>
  <c r="AA104" i="97"/>
  <c r="V104" i="97"/>
  <c r="L104" i="97"/>
  <c r="AA103" i="97"/>
  <c r="V103" i="97"/>
  <c r="L103" i="97"/>
  <c r="AA102" i="97"/>
  <c r="V102" i="97"/>
  <c r="L102" i="97"/>
  <c r="AA101" i="97"/>
  <c r="V101" i="97"/>
  <c r="L101" i="97"/>
  <c r="AA100" i="97"/>
  <c r="V100" i="97"/>
  <c r="L100" i="97"/>
  <c r="AA99" i="97"/>
  <c r="V99" i="97"/>
  <c r="L99" i="97"/>
  <c r="AA98" i="97"/>
  <c r="V98" i="97"/>
  <c r="L98" i="97"/>
  <c r="AA97" i="97"/>
  <c r="V97" i="97"/>
  <c r="L97" i="97"/>
  <c r="AA96" i="97"/>
  <c r="V96" i="97"/>
  <c r="L96" i="97"/>
  <c r="AA95" i="97"/>
  <c r="V95" i="97"/>
  <c r="L95" i="97"/>
  <c r="AA94" i="97"/>
  <c r="V94" i="97"/>
  <c r="L94" i="97"/>
  <c r="AA93" i="97"/>
  <c r="V93" i="97"/>
  <c r="L93" i="97"/>
  <c r="AA92" i="97"/>
  <c r="V92" i="97"/>
  <c r="L92" i="97"/>
  <c r="AA91" i="97"/>
  <c r="V91" i="97"/>
  <c r="L91" i="97"/>
  <c r="AA90" i="97"/>
  <c r="V90" i="97"/>
  <c r="L90" i="97"/>
  <c r="X89" i="97"/>
  <c r="W89" i="97"/>
  <c r="U89" i="97"/>
  <c r="T89" i="97"/>
  <c r="S89" i="97"/>
  <c r="R89" i="97"/>
  <c r="Q89" i="97"/>
  <c r="P89" i="97"/>
  <c r="O89" i="97"/>
  <c r="N89" i="97"/>
  <c r="M89" i="97"/>
  <c r="K89" i="97"/>
  <c r="J89" i="97"/>
  <c r="I89" i="97"/>
  <c r="H89" i="97"/>
  <c r="G89" i="97"/>
  <c r="F89" i="97"/>
  <c r="E89" i="97"/>
  <c r="D89" i="97"/>
  <c r="C89" i="97"/>
  <c r="AA88" i="97"/>
  <c r="V88" i="97"/>
  <c r="L88" i="97"/>
  <c r="AA87" i="97"/>
  <c r="V87" i="97"/>
  <c r="L87" i="97"/>
  <c r="AA86" i="97"/>
  <c r="V86" i="97"/>
  <c r="L86" i="97"/>
  <c r="AA85" i="97"/>
  <c r="V85" i="97"/>
  <c r="L85" i="97"/>
  <c r="AA84" i="97"/>
  <c r="V84" i="97"/>
  <c r="L84" i="97"/>
  <c r="AA83" i="97"/>
  <c r="V83" i="97"/>
  <c r="L83" i="97"/>
  <c r="AA82" i="97"/>
  <c r="V82" i="97"/>
  <c r="L82" i="97"/>
  <c r="AA81" i="97"/>
  <c r="V81" i="97"/>
  <c r="L81" i="97"/>
  <c r="AA80" i="97"/>
  <c r="V80" i="97"/>
  <c r="L80" i="97"/>
  <c r="AA79" i="97"/>
  <c r="V79" i="97"/>
  <c r="L79" i="97"/>
  <c r="AA78" i="97"/>
  <c r="V78" i="97"/>
  <c r="L78" i="97"/>
  <c r="AA77" i="97"/>
  <c r="V77" i="97"/>
  <c r="L77" i="97"/>
  <c r="AA76" i="97"/>
  <c r="V76" i="97"/>
  <c r="L76" i="97"/>
  <c r="AA75" i="97"/>
  <c r="V75" i="97"/>
  <c r="L75" i="97"/>
  <c r="AA74" i="97"/>
  <c r="V74" i="97"/>
  <c r="L74" i="97"/>
  <c r="AA73" i="97"/>
  <c r="V73" i="97"/>
  <c r="L73" i="97"/>
  <c r="X72" i="97"/>
  <c r="W72" i="97"/>
  <c r="U72" i="97"/>
  <c r="T72" i="97"/>
  <c r="S72" i="97"/>
  <c r="R72" i="97"/>
  <c r="Q72" i="97"/>
  <c r="P72" i="97"/>
  <c r="O72" i="97"/>
  <c r="N72" i="97"/>
  <c r="M72" i="97"/>
  <c r="K72" i="97"/>
  <c r="J72" i="97"/>
  <c r="I72" i="97"/>
  <c r="H72" i="97"/>
  <c r="G72" i="97"/>
  <c r="F72" i="97"/>
  <c r="E72" i="97"/>
  <c r="D72" i="97"/>
  <c r="C72" i="97"/>
  <c r="L71" i="97"/>
  <c r="Z71" i="97" s="1"/>
  <c r="L70" i="97"/>
  <c r="L69" i="97"/>
  <c r="L68" i="97"/>
  <c r="L67" i="97"/>
  <c r="L66" i="97"/>
  <c r="L65" i="97"/>
  <c r="L64" i="97"/>
  <c r="L63" i="97"/>
  <c r="L62" i="97"/>
  <c r="L61" i="97"/>
  <c r="L60" i="97"/>
  <c r="L59" i="97"/>
  <c r="L58" i="97"/>
  <c r="L57" i="97"/>
  <c r="V56" i="97"/>
  <c r="L56" i="97"/>
  <c r="X55" i="97"/>
  <c r="W55" i="97"/>
  <c r="U55" i="97"/>
  <c r="T55" i="97"/>
  <c r="S55" i="97"/>
  <c r="R55" i="97"/>
  <c r="Q55" i="97"/>
  <c r="P55" i="97"/>
  <c r="O55" i="97"/>
  <c r="N55" i="97"/>
  <c r="M55" i="97"/>
  <c r="K55" i="97"/>
  <c r="J55" i="97"/>
  <c r="I55" i="97"/>
  <c r="H55" i="97"/>
  <c r="G55" i="97"/>
  <c r="F55" i="97"/>
  <c r="E55" i="97"/>
  <c r="D55" i="97"/>
  <c r="C55" i="97"/>
  <c r="AA54" i="97"/>
  <c r="V54" i="97"/>
  <c r="L54" i="97"/>
  <c r="AA53" i="97"/>
  <c r="V53" i="97"/>
  <c r="L53" i="97"/>
  <c r="AA52" i="97"/>
  <c r="L52" i="97"/>
  <c r="Z52" i="97" s="1"/>
  <c r="AA51" i="97"/>
  <c r="L51" i="97"/>
  <c r="Z51" i="97" s="1"/>
  <c r="AA50" i="97"/>
  <c r="L50" i="97"/>
  <c r="Z50" i="97" s="1"/>
  <c r="AA49" i="97"/>
  <c r="L49" i="97"/>
  <c r="Z49" i="97" s="1"/>
  <c r="AA48" i="97"/>
  <c r="L48" i="97"/>
  <c r="Z48" i="97" s="1"/>
  <c r="AA47" i="97"/>
  <c r="V47" i="97"/>
  <c r="L47" i="97"/>
  <c r="AA46" i="97"/>
  <c r="V46" i="97"/>
  <c r="L46" i="97"/>
  <c r="Z46" i="97" s="1"/>
  <c r="AA45" i="97"/>
  <c r="V45" i="97"/>
  <c r="L45" i="97"/>
  <c r="Z45" i="97" s="1"/>
  <c r="AA44" i="97"/>
  <c r="V44" i="97"/>
  <c r="L44" i="97"/>
  <c r="Z44" i="97" s="1"/>
  <c r="AA43" i="97"/>
  <c r="V43" i="97"/>
  <c r="L43" i="97"/>
  <c r="Z43" i="97" s="1"/>
  <c r="AA42" i="97"/>
  <c r="V42" i="97"/>
  <c r="L42" i="97"/>
  <c r="Z42" i="97" s="1"/>
  <c r="AA41" i="97"/>
  <c r="V41" i="97"/>
  <c r="L41" i="97"/>
  <c r="Z41" i="97" s="1"/>
  <c r="AA40" i="97"/>
  <c r="V40" i="97"/>
  <c r="L40" i="97"/>
  <c r="Z40" i="97" s="1"/>
  <c r="AA39" i="97"/>
  <c r="V39" i="97"/>
  <c r="L39" i="97"/>
  <c r="Z39" i="97" s="1"/>
  <c r="AA38" i="97"/>
  <c r="V38" i="97"/>
  <c r="L38" i="97"/>
  <c r="Z38" i="97" s="1"/>
  <c r="X37" i="97"/>
  <c r="W37" i="97"/>
  <c r="U37" i="97"/>
  <c r="T37" i="97"/>
  <c r="S37" i="97"/>
  <c r="R37" i="97"/>
  <c r="Q37" i="97"/>
  <c r="P37" i="97"/>
  <c r="O37" i="97"/>
  <c r="N37" i="97"/>
  <c r="M37" i="97"/>
  <c r="K37" i="97"/>
  <c r="J37" i="97"/>
  <c r="I37" i="97"/>
  <c r="H37" i="97"/>
  <c r="G37" i="97"/>
  <c r="F37" i="97"/>
  <c r="E37" i="97"/>
  <c r="D37" i="97"/>
  <c r="C37" i="97"/>
  <c r="AA36" i="97"/>
  <c r="V36" i="97"/>
  <c r="L36" i="97"/>
  <c r="AA35" i="97"/>
  <c r="V35" i="97"/>
  <c r="L35" i="97"/>
  <c r="AA34" i="97"/>
  <c r="V34" i="97"/>
  <c r="L34" i="97"/>
  <c r="AA33" i="97"/>
  <c r="L33" i="97"/>
  <c r="Z33" i="97" s="1"/>
  <c r="AA32" i="97"/>
  <c r="V32" i="97"/>
  <c r="L32" i="97"/>
  <c r="AA31" i="97"/>
  <c r="V31" i="97"/>
  <c r="L31" i="97"/>
  <c r="AA30" i="97"/>
  <c r="V30" i="97"/>
  <c r="L30" i="97"/>
  <c r="AA29" i="97"/>
  <c r="V29" i="97"/>
  <c r="L29" i="97"/>
  <c r="AA28" i="97"/>
  <c r="V28" i="97"/>
  <c r="L28" i="97"/>
  <c r="AA27" i="97"/>
  <c r="V27" i="97"/>
  <c r="L27" i="97"/>
  <c r="AA26" i="97"/>
  <c r="V26" i="97"/>
  <c r="L26" i="97"/>
  <c r="AA25" i="97"/>
  <c r="V25" i="97"/>
  <c r="L25" i="97"/>
  <c r="AA24" i="97"/>
  <c r="V24" i="97"/>
  <c r="L24" i="97"/>
  <c r="X23" i="97"/>
  <c r="W23" i="97"/>
  <c r="U23" i="97"/>
  <c r="T23" i="97"/>
  <c r="S23" i="97"/>
  <c r="R23" i="97"/>
  <c r="Q23" i="97"/>
  <c r="P23" i="97"/>
  <c r="O23" i="97"/>
  <c r="N23" i="97"/>
  <c r="M23" i="97"/>
  <c r="K23" i="97"/>
  <c r="J23" i="97"/>
  <c r="I23" i="97"/>
  <c r="H23" i="97"/>
  <c r="G23" i="97"/>
  <c r="F23" i="97"/>
  <c r="E23" i="97"/>
  <c r="D23" i="97"/>
  <c r="C23" i="97"/>
  <c r="AA22" i="97"/>
  <c r="V22" i="97"/>
  <c r="L22" i="97"/>
  <c r="Z22" i="97" s="1"/>
  <c r="AA21" i="97"/>
  <c r="V21" i="97"/>
  <c r="L21" i="97"/>
  <c r="Z21" i="97" s="1"/>
  <c r="AA20" i="97"/>
  <c r="V20" i="97"/>
  <c r="L20" i="97"/>
  <c r="Z20" i="97" s="1"/>
  <c r="AA19" i="97"/>
  <c r="V19" i="97"/>
  <c r="L19" i="97"/>
  <c r="Z19" i="97" s="1"/>
  <c r="AA18" i="97"/>
  <c r="V18" i="97"/>
  <c r="L18" i="97"/>
  <c r="Z18" i="97" s="1"/>
  <c r="AA17" i="97"/>
  <c r="V17" i="97"/>
  <c r="L17" i="97"/>
  <c r="Z17" i="97" s="1"/>
  <c r="AA16" i="97"/>
  <c r="V16" i="97"/>
  <c r="L16" i="97"/>
  <c r="Z16" i="97" s="1"/>
  <c r="AA15" i="97"/>
  <c r="V15" i="97"/>
  <c r="L15" i="97"/>
  <c r="Z15" i="97" s="1"/>
  <c r="AA14" i="97"/>
  <c r="V14" i="97"/>
  <c r="L14" i="97"/>
  <c r="Z14" i="97" s="1"/>
  <c r="AA13" i="97"/>
  <c r="V13" i="97"/>
  <c r="L13" i="97"/>
  <c r="Z13" i="97" s="1"/>
  <c r="AA12" i="97"/>
  <c r="V12" i="97"/>
  <c r="L12" i="97"/>
  <c r="Z12" i="97" s="1"/>
  <c r="AA11" i="97"/>
  <c r="V11" i="97"/>
  <c r="L11" i="97"/>
  <c r="Z11" i="97" s="1"/>
  <c r="AA10" i="97"/>
  <c r="V10" i="97"/>
  <c r="L10" i="97"/>
  <c r="Z10" i="97" s="1"/>
  <c r="AA9" i="97"/>
  <c r="V9" i="97"/>
  <c r="L9" i="97"/>
  <c r="Z9" i="97" s="1"/>
  <c r="AA8" i="97"/>
  <c r="V8" i="97"/>
  <c r="L8" i="97"/>
  <c r="Z8" i="97" s="1"/>
  <c r="AA7" i="97"/>
  <c r="V7" i="97"/>
  <c r="L7" i="97"/>
  <c r="Z7" i="97" s="1"/>
  <c r="AA6" i="97"/>
  <c r="V6" i="97"/>
  <c r="L6" i="97"/>
  <c r="Z6" i="97" s="1"/>
  <c r="X106" i="98"/>
  <c r="W106" i="98"/>
  <c r="U106" i="98"/>
  <c r="T106" i="98"/>
  <c r="S106" i="98"/>
  <c r="R106" i="98"/>
  <c r="Q106" i="98"/>
  <c r="P106" i="98"/>
  <c r="O106" i="98"/>
  <c r="N106" i="98"/>
  <c r="M106" i="98"/>
  <c r="K106" i="98"/>
  <c r="J106" i="98"/>
  <c r="I106" i="98"/>
  <c r="H106" i="98"/>
  <c r="G106" i="98"/>
  <c r="F106" i="98"/>
  <c r="E106" i="98"/>
  <c r="D106" i="98"/>
  <c r="C106" i="98"/>
  <c r="AA105" i="98"/>
  <c r="V105" i="98"/>
  <c r="L105" i="98"/>
  <c r="AA104" i="98"/>
  <c r="V104" i="98"/>
  <c r="L104" i="98"/>
  <c r="AA103" i="98"/>
  <c r="V103" i="98"/>
  <c r="L103" i="98"/>
  <c r="AA102" i="98"/>
  <c r="L102" i="98"/>
  <c r="AA101" i="98"/>
  <c r="L101" i="98"/>
  <c r="AA100" i="98"/>
  <c r="L100" i="98"/>
  <c r="AA99" i="98"/>
  <c r="L99" i="98"/>
  <c r="AA98" i="98"/>
  <c r="L98" i="98"/>
  <c r="AA97" i="98"/>
  <c r="L97" i="98"/>
  <c r="AA96" i="98"/>
  <c r="L96" i="98"/>
  <c r="AA95" i="98"/>
  <c r="L95" i="98"/>
  <c r="AA94" i="98"/>
  <c r="L94" i="98"/>
  <c r="AA93" i="98"/>
  <c r="L93" i="98"/>
  <c r="AA92" i="98"/>
  <c r="L92" i="98"/>
  <c r="AA91" i="98"/>
  <c r="L91" i="98"/>
  <c r="AA90" i="98"/>
  <c r="L90" i="98"/>
  <c r="X89" i="98"/>
  <c r="W89" i="98"/>
  <c r="U89" i="98"/>
  <c r="T89" i="98"/>
  <c r="S89" i="98"/>
  <c r="R89" i="98"/>
  <c r="Q89" i="98"/>
  <c r="P89" i="98"/>
  <c r="O89" i="98"/>
  <c r="N89" i="98"/>
  <c r="M89" i="98"/>
  <c r="K89" i="98"/>
  <c r="J89" i="98"/>
  <c r="I89" i="98"/>
  <c r="H89" i="98"/>
  <c r="G89" i="98"/>
  <c r="F89" i="98"/>
  <c r="E89" i="98"/>
  <c r="D89" i="98"/>
  <c r="C89" i="98"/>
  <c r="AA88" i="98"/>
  <c r="V88" i="98"/>
  <c r="AA87" i="98"/>
  <c r="V87" i="98"/>
  <c r="AA86" i="98"/>
  <c r="V86" i="98"/>
  <c r="Z86" i="98" s="1"/>
  <c r="AA85" i="98"/>
  <c r="V85" i="98"/>
  <c r="AA84" i="98"/>
  <c r="L84" i="98"/>
  <c r="AA83" i="98"/>
  <c r="V83" i="98"/>
  <c r="L83" i="98"/>
  <c r="AA82" i="98"/>
  <c r="V82" i="98"/>
  <c r="L82" i="98"/>
  <c r="AA81" i="98"/>
  <c r="V81" i="98"/>
  <c r="L81" i="98"/>
  <c r="AA80" i="98"/>
  <c r="V80" i="98"/>
  <c r="L80" i="98"/>
  <c r="AA79" i="98"/>
  <c r="V79" i="98"/>
  <c r="L79" i="98"/>
  <c r="AA78" i="98"/>
  <c r="V78" i="98"/>
  <c r="L78" i="98"/>
  <c r="AA77" i="98"/>
  <c r="V77" i="98"/>
  <c r="L77" i="98"/>
  <c r="AA76" i="98"/>
  <c r="V76" i="98"/>
  <c r="L76" i="98"/>
  <c r="AA75" i="98"/>
  <c r="V75" i="98"/>
  <c r="L75" i="98"/>
  <c r="AA74" i="98"/>
  <c r="V74" i="98"/>
  <c r="L74" i="98"/>
  <c r="AA73" i="98"/>
  <c r="V73" i="98"/>
  <c r="L73" i="98"/>
  <c r="X72" i="98"/>
  <c r="W72" i="98"/>
  <c r="U72" i="98"/>
  <c r="T72" i="98"/>
  <c r="S72" i="98"/>
  <c r="R72" i="98"/>
  <c r="Q72" i="98"/>
  <c r="P72" i="98"/>
  <c r="O72" i="98"/>
  <c r="N72" i="98"/>
  <c r="M72" i="98"/>
  <c r="K72" i="98"/>
  <c r="J72" i="98"/>
  <c r="I72" i="98"/>
  <c r="H72" i="98"/>
  <c r="G72" i="98"/>
  <c r="F72" i="98"/>
  <c r="E72" i="98"/>
  <c r="D72" i="98"/>
  <c r="C72" i="98"/>
  <c r="AA71" i="98"/>
  <c r="V71" i="98"/>
  <c r="L71" i="98"/>
  <c r="AA70" i="98"/>
  <c r="V70" i="98"/>
  <c r="L70" i="98"/>
  <c r="AA69" i="98"/>
  <c r="V69" i="98"/>
  <c r="L69" i="98"/>
  <c r="AA68" i="98"/>
  <c r="V68" i="98"/>
  <c r="L68" i="98"/>
  <c r="AA67" i="98"/>
  <c r="V67" i="98"/>
  <c r="L67" i="98"/>
  <c r="AA66" i="98"/>
  <c r="V66" i="98"/>
  <c r="L66" i="98"/>
  <c r="AA65" i="98"/>
  <c r="V65" i="98"/>
  <c r="L65" i="98"/>
  <c r="AA64" i="98"/>
  <c r="V64" i="98"/>
  <c r="L64" i="98"/>
  <c r="AA63" i="98"/>
  <c r="V63" i="98"/>
  <c r="L63" i="98"/>
  <c r="AA62" i="98"/>
  <c r="V62" i="98"/>
  <c r="L62" i="98"/>
  <c r="AA61" i="98"/>
  <c r="V61" i="98"/>
  <c r="L61" i="98"/>
  <c r="AA60" i="98"/>
  <c r="V60" i="98"/>
  <c r="L60" i="98"/>
  <c r="AA59" i="98"/>
  <c r="V59" i="98"/>
  <c r="L59" i="98"/>
  <c r="AA58" i="98"/>
  <c r="V58" i="98"/>
  <c r="L58" i="98"/>
  <c r="AA57" i="98"/>
  <c r="V57" i="98"/>
  <c r="L57" i="98"/>
  <c r="AA56" i="98"/>
  <c r="V56" i="98"/>
  <c r="L56" i="98"/>
  <c r="X55" i="98"/>
  <c r="W55" i="98"/>
  <c r="U55" i="98"/>
  <c r="T55" i="98"/>
  <c r="S55" i="98"/>
  <c r="R55" i="98"/>
  <c r="Q55" i="98"/>
  <c r="P55" i="98"/>
  <c r="O55" i="98"/>
  <c r="N55" i="98"/>
  <c r="M55" i="98"/>
  <c r="K55" i="98"/>
  <c r="J55" i="98"/>
  <c r="I55" i="98"/>
  <c r="H55" i="98"/>
  <c r="G55" i="98"/>
  <c r="F55" i="98"/>
  <c r="E55" i="98"/>
  <c r="D55" i="98"/>
  <c r="C55" i="98"/>
  <c r="AA54" i="98"/>
  <c r="V54" i="98"/>
  <c r="L54" i="98"/>
  <c r="AA53" i="98"/>
  <c r="V53" i="98"/>
  <c r="L53" i="98"/>
  <c r="AA52" i="98"/>
  <c r="V52" i="98"/>
  <c r="L52" i="98"/>
  <c r="AA51" i="98"/>
  <c r="V51" i="98"/>
  <c r="L51" i="98"/>
  <c r="AA50" i="98"/>
  <c r="V50" i="98"/>
  <c r="L50" i="98"/>
  <c r="AA49" i="98"/>
  <c r="V49" i="98"/>
  <c r="L49" i="98"/>
  <c r="AA48" i="98"/>
  <c r="L48" i="98"/>
  <c r="Z48" i="98" s="1"/>
  <c r="AA47" i="98"/>
  <c r="V47" i="98"/>
  <c r="L47" i="98"/>
  <c r="AA46" i="98"/>
  <c r="V46" i="98"/>
  <c r="L46" i="98"/>
  <c r="AA45" i="98"/>
  <c r="V45" i="98"/>
  <c r="L45" i="98"/>
  <c r="AA44" i="98"/>
  <c r="V44" i="98"/>
  <c r="L44" i="98"/>
  <c r="AA43" i="98"/>
  <c r="V43" i="98"/>
  <c r="L43" i="98"/>
  <c r="AA42" i="98"/>
  <c r="V42" i="98"/>
  <c r="L42" i="98"/>
  <c r="AA41" i="98"/>
  <c r="V41" i="98"/>
  <c r="L41" i="98"/>
  <c r="AA40" i="98"/>
  <c r="V40" i="98"/>
  <c r="L40" i="98"/>
  <c r="AA39" i="98"/>
  <c r="V39" i="98"/>
  <c r="L39" i="98"/>
  <c r="AA38" i="98"/>
  <c r="L38" i="98"/>
  <c r="Z38" i="98" s="1"/>
  <c r="X37" i="98"/>
  <c r="W37" i="98"/>
  <c r="U37" i="98"/>
  <c r="T37" i="98"/>
  <c r="S37" i="98"/>
  <c r="R37" i="98"/>
  <c r="Q37" i="98"/>
  <c r="P37" i="98"/>
  <c r="O37" i="98"/>
  <c r="N37" i="98"/>
  <c r="M37" i="98"/>
  <c r="K37" i="98"/>
  <c r="J37" i="98"/>
  <c r="I37" i="98"/>
  <c r="H37" i="98"/>
  <c r="G37" i="98"/>
  <c r="F37" i="98"/>
  <c r="E37" i="98"/>
  <c r="D37" i="98"/>
  <c r="C37" i="98"/>
  <c r="AA36" i="98"/>
  <c r="V36" i="98"/>
  <c r="Z36" i="98" s="1"/>
  <c r="AA35" i="98"/>
  <c r="V35" i="98"/>
  <c r="AA34" i="98"/>
  <c r="V34" i="98"/>
  <c r="AA33" i="98"/>
  <c r="L33" i="98"/>
  <c r="Z33" i="98" s="1"/>
  <c r="AA32" i="98"/>
  <c r="V32" i="98"/>
  <c r="L32" i="98"/>
  <c r="AA31" i="98"/>
  <c r="V31" i="98"/>
  <c r="L31" i="98"/>
  <c r="AA30" i="98"/>
  <c r="V30" i="98"/>
  <c r="L30" i="98"/>
  <c r="AA29" i="98"/>
  <c r="V29" i="98"/>
  <c r="L29" i="98"/>
  <c r="AA28" i="98"/>
  <c r="V28" i="98"/>
  <c r="L28" i="98"/>
  <c r="AA27" i="98"/>
  <c r="V27" i="98"/>
  <c r="L27" i="98"/>
  <c r="AA26" i="98"/>
  <c r="V26" i="98"/>
  <c r="L26" i="98"/>
  <c r="AA25" i="98"/>
  <c r="V25" i="98"/>
  <c r="L25" i="98"/>
  <c r="AA24" i="98"/>
  <c r="V24" i="98"/>
  <c r="L24" i="98"/>
  <c r="X23" i="98"/>
  <c r="W23" i="98"/>
  <c r="U23" i="98"/>
  <c r="T23" i="98"/>
  <c r="S23" i="98"/>
  <c r="R23" i="98"/>
  <c r="Q23" i="98"/>
  <c r="P23" i="98"/>
  <c r="O23" i="98"/>
  <c r="N23" i="98"/>
  <c r="M23" i="98"/>
  <c r="K23" i="98"/>
  <c r="J23" i="98"/>
  <c r="I23" i="98"/>
  <c r="H23" i="98"/>
  <c r="G23" i="98"/>
  <c r="F23" i="98"/>
  <c r="E23" i="98"/>
  <c r="D23" i="98"/>
  <c r="C23" i="98"/>
  <c r="AA22" i="98"/>
  <c r="L22" i="98"/>
  <c r="Z22" i="98" s="1"/>
  <c r="AA21" i="98"/>
  <c r="L21" i="98"/>
  <c r="Z21" i="98" s="1"/>
  <c r="AA20" i="98"/>
  <c r="L20" i="98"/>
  <c r="Z20" i="98" s="1"/>
  <c r="AA19" i="98"/>
  <c r="L19" i="98"/>
  <c r="Z19" i="98" s="1"/>
  <c r="AA18" i="98"/>
  <c r="L18" i="98"/>
  <c r="Z18" i="98" s="1"/>
  <c r="AA17" i="98"/>
  <c r="L17" i="98"/>
  <c r="Z17" i="98" s="1"/>
  <c r="AA16" i="98"/>
  <c r="L16" i="98"/>
  <c r="Z16" i="98" s="1"/>
  <c r="AA15" i="98"/>
  <c r="L15" i="98"/>
  <c r="Z15" i="98" s="1"/>
  <c r="AA14" i="98"/>
  <c r="L14" i="98"/>
  <c r="Z14" i="98" s="1"/>
  <c r="AA13" i="98"/>
  <c r="L13" i="98"/>
  <c r="Z13" i="98" s="1"/>
  <c r="AA12" i="98"/>
  <c r="V12" i="98"/>
  <c r="L12" i="98"/>
  <c r="AA11" i="98"/>
  <c r="V11" i="98"/>
  <c r="L11" i="98"/>
  <c r="AA10" i="98"/>
  <c r="V10" i="98"/>
  <c r="L10" i="98"/>
  <c r="AA9" i="98"/>
  <c r="V9" i="98"/>
  <c r="L9" i="98"/>
  <c r="AA8" i="98"/>
  <c r="L8" i="98"/>
  <c r="Z8" i="98" s="1"/>
  <c r="AA7" i="98"/>
  <c r="L7" i="98"/>
  <c r="Z7" i="98" s="1"/>
  <c r="AA6" i="98"/>
  <c r="L6" i="98"/>
  <c r="Z6" i="98" s="1"/>
  <c r="X106" i="99"/>
  <c r="W106" i="99"/>
  <c r="U106" i="99"/>
  <c r="T106" i="99"/>
  <c r="S106" i="99"/>
  <c r="R106" i="99"/>
  <c r="Q106" i="99"/>
  <c r="P106" i="99"/>
  <c r="O106" i="99"/>
  <c r="N106" i="99"/>
  <c r="M106" i="99"/>
  <c r="K106" i="99"/>
  <c r="J106" i="99"/>
  <c r="I106" i="99"/>
  <c r="H106" i="99"/>
  <c r="G106" i="99"/>
  <c r="F106" i="99"/>
  <c r="E106" i="99"/>
  <c r="D106" i="99"/>
  <c r="C106" i="99"/>
  <c r="AA105" i="99"/>
  <c r="V105" i="99"/>
  <c r="L105" i="99"/>
  <c r="Z105" i="99" s="1"/>
  <c r="AA104" i="99"/>
  <c r="V104" i="99"/>
  <c r="L104" i="99"/>
  <c r="Z104" i="99" s="1"/>
  <c r="AA103" i="99"/>
  <c r="V103" i="99"/>
  <c r="L103" i="99"/>
  <c r="Z103" i="99" s="1"/>
  <c r="AA102" i="99"/>
  <c r="V102" i="99"/>
  <c r="L102" i="99"/>
  <c r="Z102" i="99" s="1"/>
  <c r="AA101" i="99"/>
  <c r="V101" i="99"/>
  <c r="L101" i="99"/>
  <c r="Z101" i="99" s="1"/>
  <c r="AA100" i="99"/>
  <c r="V100" i="99"/>
  <c r="L100" i="99"/>
  <c r="Z100" i="99" s="1"/>
  <c r="AA99" i="99"/>
  <c r="V99" i="99"/>
  <c r="L99" i="99"/>
  <c r="Z99" i="99" s="1"/>
  <c r="AA98" i="99"/>
  <c r="V98" i="99"/>
  <c r="L98" i="99"/>
  <c r="Z98" i="99" s="1"/>
  <c r="AA97" i="99"/>
  <c r="V97" i="99"/>
  <c r="L97" i="99"/>
  <c r="Z97" i="99" s="1"/>
  <c r="AA96" i="99"/>
  <c r="V96" i="99"/>
  <c r="L96" i="99"/>
  <c r="Z96" i="99" s="1"/>
  <c r="AA95" i="99"/>
  <c r="V95" i="99"/>
  <c r="L95" i="99"/>
  <c r="Z95" i="99" s="1"/>
  <c r="AA94" i="99"/>
  <c r="V94" i="99"/>
  <c r="L94" i="99"/>
  <c r="Z94" i="99" s="1"/>
  <c r="AA93" i="99"/>
  <c r="V93" i="99"/>
  <c r="L93" i="99"/>
  <c r="Z93" i="99" s="1"/>
  <c r="AA92" i="99"/>
  <c r="V92" i="99"/>
  <c r="L92" i="99"/>
  <c r="Z92" i="99" s="1"/>
  <c r="AA91" i="99"/>
  <c r="V91" i="99"/>
  <c r="L91" i="99"/>
  <c r="Z91" i="99" s="1"/>
  <c r="AA90" i="99"/>
  <c r="V90" i="99"/>
  <c r="L90" i="99"/>
  <c r="Z90" i="99" s="1"/>
  <c r="Z106" i="99" s="1"/>
  <c r="X89" i="99"/>
  <c r="W89" i="99"/>
  <c r="U89" i="99"/>
  <c r="T89" i="99"/>
  <c r="S89" i="99"/>
  <c r="R89" i="99"/>
  <c r="Q89" i="99"/>
  <c r="P89" i="99"/>
  <c r="O89" i="99"/>
  <c r="N89" i="99"/>
  <c r="M89" i="99"/>
  <c r="K89" i="99"/>
  <c r="J89" i="99"/>
  <c r="I89" i="99"/>
  <c r="H89" i="99"/>
  <c r="G89" i="99"/>
  <c r="F89" i="99"/>
  <c r="E89" i="99"/>
  <c r="D89" i="99"/>
  <c r="C89" i="99"/>
  <c r="AA88" i="99"/>
  <c r="V88" i="99"/>
  <c r="L88" i="99"/>
  <c r="AA87" i="99"/>
  <c r="V87" i="99"/>
  <c r="L87" i="99"/>
  <c r="AA86" i="99"/>
  <c r="V86" i="99"/>
  <c r="L86" i="99"/>
  <c r="AA85" i="99"/>
  <c r="V85" i="99"/>
  <c r="L85" i="99"/>
  <c r="AA84" i="99"/>
  <c r="V84" i="99"/>
  <c r="L84" i="99"/>
  <c r="AA83" i="99"/>
  <c r="V83" i="99"/>
  <c r="L83" i="99"/>
  <c r="AA82" i="99"/>
  <c r="V82" i="99"/>
  <c r="L82" i="99"/>
  <c r="AA81" i="99"/>
  <c r="V81" i="99"/>
  <c r="L81" i="99"/>
  <c r="AA80" i="99"/>
  <c r="V80" i="99"/>
  <c r="L80" i="99"/>
  <c r="AA79" i="99"/>
  <c r="V79" i="99"/>
  <c r="L79" i="99"/>
  <c r="AA78" i="99"/>
  <c r="V78" i="99"/>
  <c r="L78" i="99"/>
  <c r="AA77" i="99"/>
  <c r="V77" i="99"/>
  <c r="L77" i="99"/>
  <c r="AA76" i="99"/>
  <c r="V76" i="99"/>
  <c r="L76" i="99"/>
  <c r="AA75" i="99"/>
  <c r="V75" i="99"/>
  <c r="L75" i="99"/>
  <c r="AA74" i="99"/>
  <c r="V74" i="99"/>
  <c r="L74" i="99"/>
  <c r="AA73" i="99"/>
  <c r="V73" i="99"/>
  <c r="L73" i="99"/>
  <c r="X72" i="99"/>
  <c r="W72" i="99"/>
  <c r="U72" i="99"/>
  <c r="T72" i="99"/>
  <c r="S72" i="99"/>
  <c r="R72" i="99"/>
  <c r="Q72" i="99"/>
  <c r="P72" i="99"/>
  <c r="O72" i="99"/>
  <c r="N72" i="99"/>
  <c r="M72" i="99"/>
  <c r="K72" i="99"/>
  <c r="J72" i="99"/>
  <c r="I72" i="99"/>
  <c r="H72" i="99"/>
  <c r="G72" i="99"/>
  <c r="F72" i="99"/>
  <c r="E72" i="99"/>
  <c r="D72" i="99"/>
  <c r="C72" i="99"/>
  <c r="AA71" i="99"/>
  <c r="V71" i="99"/>
  <c r="L71" i="99"/>
  <c r="AA70" i="99"/>
  <c r="V70" i="99"/>
  <c r="L70" i="99"/>
  <c r="AA69" i="99"/>
  <c r="V69" i="99"/>
  <c r="L69" i="99"/>
  <c r="AA68" i="99"/>
  <c r="V68" i="99"/>
  <c r="L68" i="99"/>
  <c r="AA67" i="99"/>
  <c r="V67" i="99"/>
  <c r="L67" i="99"/>
  <c r="AA66" i="99"/>
  <c r="V66" i="99"/>
  <c r="L66" i="99"/>
  <c r="AA65" i="99"/>
  <c r="V65" i="99"/>
  <c r="L65" i="99"/>
  <c r="AA64" i="99"/>
  <c r="V64" i="99"/>
  <c r="L64" i="99"/>
  <c r="AA63" i="99"/>
  <c r="V63" i="99"/>
  <c r="L63" i="99"/>
  <c r="AA62" i="99"/>
  <c r="V62" i="99"/>
  <c r="L62" i="99"/>
  <c r="AA61" i="99"/>
  <c r="V61" i="99"/>
  <c r="L61" i="99"/>
  <c r="AA60" i="99"/>
  <c r="V60" i="99"/>
  <c r="L60" i="99"/>
  <c r="AA59" i="99"/>
  <c r="V59" i="99"/>
  <c r="L59" i="99"/>
  <c r="AA58" i="99"/>
  <c r="V58" i="99"/>
  <c r="L58" i="99"/>
  <c r="AA57" i="99"/>
  <c r="V57" i="99"/>
  <c r="L57" i="99"/>
  <c r="AA56" i="99"/>
  <c r="V56" i="99"/>
  <c r="L56" i="99"/>
  <c r="X55" i="99"/>
  <c r="W55" i="99"/>
  <c r="U55" i="99"/>
  <c r="T55" i="99"/>
  <c r="S55" i="99"/>
  <c r="R55" i="99"/>
  <c r="Q55" i="99"/>
  <c r="P55" i="99"/>
  <c r="O55" i="99"/>
  <c r="N55" i="99"/>
  <c r="M55" i="99"/>
  <c r="K55" i="99"/>
  <c r="J55" i="99"/>
  <c r="I55" i="99"/>
  <c r="H55" i="99"/>
  <c r="G55" i="99"/>
  <c r="F55" i="99"/>
  <c r="E55" i="99"/>
  <c r="D55" i="99"/>
  <c r="C55" i="99"/>
  <c r="AA54" i="99"/>
  <c r="V54" i="99"/>
  <c r="L54" i="99"/>
  <c r="Z54" i="99" s="1"/>
  <c r="AA53" i="99"/>
  <c r="V53" i="99"/>
  <c r="L53" i="99"/>
  <c r="Z53" i="99" s="1"/>
  <c r="AA52" i="99"/>
  <c r="V52" i="99"/>
  <c r="L52" i="99"/>
  <c r="Z52" i="99" s="1"/>
  <c r="AA51" i="99"/>
  <c r="V51" i="99"/>
  <c r="L51" i="99"/>
  <c r="Z51" i="99" s="1"/>
  <c r="AA50" i="99"/>
  <c r="V50" i="99"/>
  <c r="L50" i="99"/>
  <c r="Z50" i="99" s="1"/>
  <c r="AA49" i="99"/>
  <c r="V49" i="99"/>
  <c r="L49" i="99"/>
  <c r="Z49" i="99" s="1"/>
  <c r="AA48" i="99"/>
  <c r="L48" i="99"/>
  <c r="Z48" i="99" s="1"/>
  <c r="AA47" i="99"/>
  <c r="V47" i="99"/>
  <c r="L47" i="99"/>
  <c r="AA46" i="99"/>
  <c r="V46" i="99"/>
  <c r="L46" i="99"/>
  <c r="AA45" i="99"/>
  <c r="V45" i="99"/>
  <c r="L45" i="99"/>
  <c r="AA44" i="99"/>
  <c r="V44" i="99"/>
  <c r="L44" i="99"/>
  <c r="AA43" i="99"/>
  <c r="V43" i="99"/>
  <c r="L43" i="99"/>
  <c r="AA42" i="99"/>
  <c r="V42" i="99"/>
  <c r="L42" i="99"/>
  <c r="AA41" i="99"/>
  <c r="V41" i="99"/>
  <c r="L41" i="99"/>
  <c r="AA40" i="99"/>
  <c r="V40" i="99"/>
  <c r="L40" i="99"/>
  <c r="AA39" i="99"/>
  <c r="V39" i="99"/>
  <c r="L39" i="99"/>
  <c r="AA38" i="99"/>
  <c r="V38" i="99"/>
  <c r="L38" i="99"/>
  <c r="X37" i="99"/>
  <c r="W37" i="99"/>
  <c r="U37" i="99"/>
  <c r="T37" i="99"/>
  <c r="S37" i="99"/>
  <c r="R37" i="99"/>
  <c r="Q37" i="99"/>
  <c r="P37" i="99"/>
  <c r="O37" i="99"/>
  <c r="N37" i="99"/>
  <c r="M37" i="99"/>
  <c r="K37" i="99"/>
  <c r="J37" i="99"/>
  <c r="I37" i="99"/>
  <c r="H37" i="99"/>
  <c r="G37" i="99"/>
  <c r="F37" i="99"/>
  <c r="E37" i="99"/>
  <c r="D37" i="99"/>
  <c r="C37" i="99"/>
  <c r="AA36" i="99"/>
  <c r="V36" i="99"/>
  <c r="L36" i="99"/>
  <c r="AA35" i="99"/>
  <c r="V35" i="99"/>
  <c r="L35" i="99"/>
  <c r="AA34" i="99"/>
  <c r="V34" i="99"/>
  <c r="L34" i="99"/>
  <c r="AA33" i="99"/>
  <c r="L33" i="99"/>
  <c r="Z33" i="99" s="1"/>
  <c r="AA32" i="99"/>
  <c r="V32" i="99"/>
  <c r="L32" i="99"/>
  <c r="Z32" i="99" s="1"/>
  <c r="AA31" i="99"/>
  <c r="V31" i="99"/>
  <c r="L31" i="99"/>
  <c r="Z31" i="99" s="1"/>
  <c r="AA30" i="99"/>
  <c r="V30" i="99"/>
  <c r="L30" i="99"/>
  <c r="Z30" i="99" s="1"/>
  <c r="AA29" i="99"/>
  <c r="V29" i="99"/>
  <c r="L29" i="99"/>
  <c r="Z29" i="99" s="1"/>
  <c r="AA28" i="99"/>
  <c r="V28" i="99"/>
  <c r="L28" i="99"/>
  <c r="Z28" i="99" s="1"/>
  <c r="AA27" i="99"/>
  <c r="V27" i="99"/>
  <c r="L27" i="99"/>
  <c r="Z27" i="99" s="1"/>
  <c r="AA26" i="99"/>
  <c r="V26" i="99"/>
  <c r="L26" i="99"/>
  <c r="Z26" i="99" s="1"/>
  <c r="AA25" i="99"/>
  <c r="V25" i="99"/>
  <c r="L25" i="99"/>
  <c r="Z25" i="99" s="1"/>
  <c r="AA24" i="99"/>
  <c r="V24" i="99"/>
  <c r="L24" i="99"/>
  <c r="Z24" i="99" s="1"/>
  <c r="X23" i="99"/>
  <c r="W23" i="99"/>
  <c r="U23" i="99"/>
  <c r="T23" i="99"/>
  <c r="S23" i="99"/>
  <c r="R23" i="99"/>
  <c r="Q23" i="99"/>
  <c r="P23" i="99"/>
  <c r="O23" i="99"/>
  <c r="N23" i="99"/>
  <c r="M23" i="99"/>
  <c r="K23" i="99"/>
  <c r="J23" i="99"/>
  <c r="I23" i="99"/>
  <c r="H23" i="99"/>
  <c r="G23" i="99"/>
  <c r="F23" i="99"/>
  <c r="E23" i="99"/>
  <c r="D23" i="99"/>
  <c r="C23" i="99"/>
  <c r="AA22" i="99"/>
  <c r="V22" i="99"/>
  <c r="L22" i="99"/>
  <c r="AA21" i="99"/>
  <c r="V21" i="99"/>
  <c r="L21" i="99"/>
  <c r="AA20" i="99"/>
  <c r="V20" i="99"/>
  <c r="L20" i="99"/>
  <c r="AA19" i="99"/>
  <c r="V19" i="99"/>
  <c r="L19" i="99"/>
  <c r="AA18" i="99"/>
  <c r="V18" i="99"/>
  <c r="L18" i="99"/>
  <c r="AA17" i="99"/>
  <c r="V17" i="99"/>
  <c r="L17" i="99"/>
  <c r="AA16" i="99"/>
  <c r="V16" i="99"/>
  <c r="L16" i="99"/>
  <c r="AA15" i="99"/>
  <c r="V15" i="99"/>
  <c r="L15" i="99"/>
  <c r="AA14" i="99"/>
  <c r="V14" i="99"/>
  <c r="L14" i="99"/>
  <c r="AA13" i="99"/>
  <c r="V13" i="99"/>
  <c r="L13" i="99"/>
  <c r="AA12" i="99"/>
  <c r="V12" i="99"/>
  <c r="L12" i="99"/>
  <c r="AA11" i="99"/>
  <c r="V11" i="99"/>
  <c r="L11" i="99"/>
  <c r="AA10" i="99"/>
  <c r="V10" i="99"/>
  <c r="L10" i="99"/>
  <c r="AA9" i="99"/>
  <c r="V9" i="99"/>
  <c r="L9" i="99"/>
  <c r="AA8" i="99"/>
  <c r="V8" i="99"/>
  <c r="L8" i="99"/>
  <c r="AA7" i="99"/>
  <c r="V7" i="99"/>
  <c r="L7" i="99"/>
  <c r="AA6" i="99"/>
  <c r="V6" i="99"/>
  <c r="L6" i="99"/>
  <c r="W106" i="107"/>
  <c r="U106" i="107"/>
  <c r="T106" i="107"/>
  <c r="S106" i="107"/>
  <c r="R106" i="107"/>
  <c r="Q106" i="107"/>
  <c r="P106" i="107"/>
  <c r="O106" i="107"/>
  <c r="N106" i="107"/>
  <c r="M106" i="107"/>
  <c r="K106" i="107"/>
  <c r="J106" i="107"/>
  <c r="I106" i="107"/>
  <c r="H106" i="107"/>
  <c r="G106" i="107"/>
  <c r="F106" i="107"/>
  <c r="E106" i="107"/>
  <c r="D106" i="107"/>
  <c r="C106" i="107"/>
  <c r="L103" i="107"/>
  <c r="L102" i="107"/>
  <c r="L101" i="107"/>
  <c r="L100" i="107"/>
  <c r="L99" i="107"/>
  <c r="L98" i="107"/>
  <c r="L97" i="107"/>
  <c r="L96" i="107"/>
  <c r="L95" i="107"/>
  <c r="L94" i="107"/>
  <c r="L93" i="107"/>
  <c r="L92" i="107"/>
  <c r="L91" i="107"/>
  <c r="V90" i="107"/>
  <c r="L90" i="107"/>
  <c r="W89" i="107"/>
  <c r="K89" i="107"/>
  <c r="J89" i="107"/>
  <c r="I89" i="107"/>
  <c r="H89" i="107"/>
  <c r="G89" i="107"/>
  <c r="F89" i="107"/>
  <c r="E89" i="107"/>
  <c r="D89" i="107"/>
  <c r="C89" i="107"/>
  <c r="L88" i="107"/>
  <c r="Z88" i="107" s="1"/>
  <c r="L87" i="107"/>
  <c r="Z87" i="107" s="1"/>
  <c r="L86" i="107"/>
  <c r="Z86" i="107" s="1"/>
  <c r="L85" i="107"/>
  <c r="Z85" i="107" s="1"/>
  <c r="L84" i="107"/>
  <c r="Z84" i="107" s="1"/>
  <c r="L83" i="107"/>
  <c r="Z83" i="107" s="1"/>
  <c r="L82" i="107"/>
  <c r="Z82" i="107" s="1"/>
  <c r="L81" i="107"/>
  <c r="Z81" i="107" s="1"/>
  <c r="L80" i="107"/>
  <c r="Z80" i="107" s="1"/>
  <c r="L79" i="107"/>
  <c r="Z79" i="107" s="1"/>
  <c r="L78" i="107"/>
  <c r="Z78" i="107" s="1"/>
  <c r="L77" i="107"/>
  <c r="Z77" i="107" s="1"/>
  <c r="L76" i="107"/>
  <c r="Z76" i="107" s="1"/>
  <c r="L75" i="107"/>
  <c r="Z75" i="107" s="1"/>
  <c r="L74" i="107"/>
  <c r="Z74" i="107" s="1"/>
  <c r="L73" i="107"/>
  <c r="Z73" i="107" s="1"/>
  <c r="W72" i="107"/>
  <c r="U72" i="107"/>
  <c r="T72" i="107"/>
  <c r="S72" i="107"/>
  <c r="R72" i="107"/>
  <c r="Q72" i="107"/>
  <c r="P72" i="107"/>
  <c r="O72" i="107"/>
  <c r="N72" i="107"/>
  <c r="M72" i="107"/>
  <c r="K72" i="107"/>
  <c r="J72" i="107"/>
  <c r="I72" i="107"/>
  <c r="H72" i="107"/>
  <c r="G72" i="107"/>
  <c r="F72" i="107"/>
  <c r="E72" i="107"/>
  <c r="D72" i="107"/>
  <c r="C72" i="107"/>
  <c r="L71" i="107"/>
  <c r="Z71" i="107" s="1"/>
  <c r="L70" i="107"/>
  <c r="Z70" i="107" s="1"/>
  <c r="L69" i="107"/>
  <c r="Z69" i="107" s="1"/>
  <c r="L68" i="107"/>
  <c r="Z68" i="107" s="1"/>
  <c r="L67" i="107"/>
  <c r="Z67" i="107" s="1"/>
  <c r="L66" i="107"/>
  <c r="Z66" i="107" s="1"/>
  <c r="L65" i="107"/>
  <c r="Z65" i="107" s="1"/>
  <c r="L64" i="107"/>
  <c r="Z64" i="107" s="1"/>
  <c r="L63" i="107"/>
  <c r="Z63" i="107" s="1"/>
  <c r="Z62" i="107"/>
  <c r="Z61" i="107"/>
  <c r="Z60" i="107"/>
  <c r="Z59" i="107"/>
  <c r="Z58" i="107"/>
  <c r="L57" i="107"/>
  <c r="Z57" i="107" s="1"/>
  <c r="L56" i="107"/>
  <c r="Z56" i="107" s="1"/>
  <c r="W55" i="107"/>
  <c r="U55" i="107"/>
  <c r="T55" i="107"/>
  <c r="S55" i="107"/>
  <c r="R55" i="107"/>
  <c r="Q55" i="107"/>
  <c r="P55" i="107"/>
  <c r="O55" i="107"/>
  <c r="N55" i="107"/>
  <c r="M55" i="107"/>
  <c r="K55" i="107"/>
  <c r="J55" i="107"/>
  <c r="I55" i="107"/>
  <c r="H55" i="107"/>
  <c r="G55" i="107"/>
  <c r="F55" i="107"/>
  <c r="E55" i="107"/>
  <c r="D55" i="107"/>
  <c r="C55" i="107"/>
  <c r="L54" i="107"/>
  <c r="L53" i="107"/>
  <c r="L52" i="107"/>
  <c r="L51" i="107"/>
  <c r="L50" i="107"/>
  <c r="Z49" i="107"/>
  <c r="L48" i="107"/>
  <c r="Z48" i="107" s="1"/>
  <c r="L47" i="107"/>
  <c r="L46" i="107"/>
  <c r="L45" i="107"/>
  <c r="Z45" i="107" s="1"/>
  <c r="L44" i="107"/>
  <c r="Z44" i="107" s="1"/>
  <c r="L43" i="107"/>
  <c r="L42" i="107"/>
  <c r="L41" i="107"/>
  <c r="L40" i="107"/>
  <c r="L39" i="107"/>
  <c r="V38" i="107"/>
  <c r="L38" i="107"/>
  <c r="W37" i="107"/>
  <c r="U37" i="107"/>
  <c r="T37" i="107"/>
  <c r="S37" i="107"/>
  <c r="R37" i="107"/>
  <c r="Q37" i="107"/>
  <c r="K37" i="107"/>
  <c r="J37" i="107"/>
  <c r="I37" i="107"/>
  <c r="H37" i="107"/>
  <c r="G37" i="107"/>
  <c r="F37" i="107"/>
  <c r="E37" i="107"/>
  <c r="D37" i="107"/>
  <c r="C37" i="107"/>
  <c r="V36" i="107"/>
  <c r="L36" i="107"/>
  <c r="V35" i="107"/>
  <c r="L35" i="107"/>
  <c r="V34" i="107"/>
  <c r="L34" i="107"/>
  <c r="L33" i="107"/>
  <c r="Z33" i="107" s="1"/>
  <c r="V32" i="107"/>
  <c r="L32" i="107"/>
  <c r="V31" i="107"/>
  <c r="L31" i="107"/>
  <c r="V30" i="107"/>
  <c r="L30" i="107"/>
  <c r="V29" i="107"/>
  <c r="L29" i="107"/>
  <c r="V28" i="107"/>
  <c r="L28" i="107"/>
  <c r="V27" i="107"/>
  <c r="L27" i="107"/>
  <c r="V26" i="107"/>
  <c r="L26" i="107"/>
  <c r="V25" i="107"/>
  <c r="L25" i="107"/>
  <c r="V24" i="107"/>
  <c r="L24" i="107"/>
  <c r="W23" i="107"/>
  <c r="U23" i="107"/>
  <c r="T23" i="107"/>
  <c r="S23" i="107"/>
  <c r="R23" i="107"/>
  <c r="Q23" i="107"/>
  <c r="P23" i="107"/>
  <c r="O23" i="107"/>
  <c r="N23" i="107"/>
  <c r="M23" i="107"/>
  <c r="K23" i="107"/>
  <c r="J23" i="107"/>
  <c r="I23" i="107"/>
  <c r="H23" i="107"/>
  <c r="G23" i="107"/>
  <c r="F23" i="107"/>
  <c r="E23" i="107"/>
  <c r="D23" i="107"/>
  <c r="C23" i="107"/>
  <c r="Z21" i="107"/>
  <c r="Z20" i="107"/>
  <c r="Z19" i="107"/>
  <c r="Z18" i="107"/>
  <c r="Z17" i="107"/>
  <c r="Z11" i="107"/>
  <c r="V6" i="107"/>
  <c r="L6" i="107"/>
  <c r="X89" i="106"/>
  <c r="X106" i="106"/>
  <c r="X72" i="106"/>
  <c r="X55" i="106"/>
  <c r="X37" i="106"/>
  <c r="X23" i="106"/>
  <c r="W7" i="108"/>
  <c r="W8" i="108"/>
  <c r="W9" i="108"/>
  <c r="W10" i="108"/>
  <c r="W11" i="108"/>
  <c r="W12" i="108"/>
  <c r="W13" i="108"/>
  <c r="W14" i="108"/>
  <c r="W15" i="108"/>
  <c r="W16" i="108"/>
  <c r="W17" i="108"/>
  <c r="W18" i="108"/>
  <c r="W19" i="108"/>
  <c r="W20" i="108"/>
  <c r="W21" i="108"/>
  <c r="W22" i="108"/>
  <c r="W24" i="108"/>
  <c r="W25" i="108"/>
  <c r="W26" i="108"/>
  <c r="W27" i="108"/>
  <c r="W28" i="108"/>
  <c r="W29" i="108"/>
  <c r="W30" i="108"/>
  <c r="W31" i="108"/>
  <c r="W32" i="108"/>
  <c r="W33" i="108"/>
  <c r="W34" i="108"/>
  <c r="W35" i="108"/>
  <c r="W36" i="108"/>
  <c r="C38" i="108"/>
  <c r="D38" i="108"/>
  <c r="E38" i="108"/>
  <c r="F38" i="108"/>
  <c r="G38" i="108"/>
  <c r="H38" i="108"/>
  <c r="I38" i="108"/>
  <c r="J38" i="108"/>
  <c r="K38" i="108"/>
  <c r="W38" i="108"/>
  <c r="C39" i="108"/>
  <c r="D39" i="108"/>
  <c r="E39" i="108"/>
  <c r="F39" i="108"/>
  <c r="G39" i="108"/>
  <c r="H39" i="108"/>
  <c r="I39" i="108"/>
  <c r="J39" i="108"/>
  <c r="K39" i="108"/>
  <c r="W39" i="108"/>
  <c r="C40" i="108"/>
  <c r="D40" i="108"/>
  <c r="E40" i="108"/>
  <c r="F40" i="108"/>
  <c r="G40" i="108"/>
  <c r="H40" i="108"/>
  <c r="I40" i="108"/>
  <c r="J40" i="108"/>
  <c r="K40" i="108"/>
  <c r="W40" i="108"/>
  <c r="C41" i="108"/>
  <c r="D41" i="108"/>
  <c r="E41" i="108"/>
  <c r="F41" i="108"/>
  <c r="G41" i="108"/>
  <c r="H41" i="108"/>
  <c r="I41" i="108"/>
  <c r="J41" i="108"/>
  <c r="K41" i="108"/>
  <c r="M41" i="108"/>
  <c r="N41" i="108"/>
  <c r="O41" i="108"/>
  <c r="P41" i="108"/>
  <c r="Q41" i="108"/>
  <c r="R41" i="108"/>
  <c r="S41" i="108"/>
  <c r="T41" i="108"/>
  <c r="U41" i="108"/>
  <c r="W41" i="108"/>
  <c r="C42" i="108"/>
  <c r="D42" i="108"/>
  <c r="E42" i="108"/>
  <c r="F42" i="108"/>
  <c r="G42" i="108"/>
  <c r="H42" i="108"/>
  <c r="I42" i="108"/>
  <c r="J42" i="108"/>
  <c r="K42" i="108"/>
  <c r="M42" i="108"/>
  <c r="N42" i="108"/>
  <c r="O42" i="108"/>
  <c r="P42" i="108"/>
  <c r="Q42" i="108"/>
  <c r="R42" i="108"/>
  <c r="S42" i="108"/>
  <c r="T42" i="108"/>
  <c r="U42" i="108"/>
  <c r="W42" i="108"/>
  <c r="C43" i="108"/>
  <c r="D43" i="108"/>
  <c r="E43" i="108"/>
  <c r="F43" i="108"/>
  <c r="G43" i="108"/>
  <c r="H43" i="108"/>
  <c r="I43" i="108"/>
  <c r="J43" i="108"/>
  <c r="K43" i="108"/>
  <c r="M43" i="108"/>
  <c r="N43" i="108"/>
  <c r="O43" i="108"/>
  <c r="P43" i="108"/>
  <c r="Q43" i="108"/>
  <c r="R43" i="108"/>
  <c r="S43" i="108"/>
  <c r="T43" i="108"/>
  <c r="U43" i="108"/>
  <c r="W43" i="108"/>
  <c r="C44" i="108"/>
  <c r="D44" i="108"/>
  <c r="E44" i="108"/>
  <c r="F44" i="108"/>
  <c r="G44" i="108"/>
  <c r="H44" i="108"/>
  <c r="I44" i="108"/>
  <c r="J44" i="108"/>
  <c r="K44" i="108"/>
  <c r="M44" i="108"/>
  <c r="N44" i="108"/>
  <c r="O44" i="108"/>
  <c r="P44" i="108"/>
  <c r="Q44" i="108"/>
  <c r="R44" i="108"/>
  <c r="S44" i="108"/>
  <c r="T44" i="108"/>
  <c r="U44" i="108"/>
  <c r="W44" i="108"/>
  <c r="C45" i="108"/>
  <c r="D45" i="108"/>
  <c r="E45" i="108"/>
  <c r="F45" i="108"/>
  <c r="G45" i="108"/>
  <c r="H45" i="108"/>
  <c r="I45" i="108"/>
  <c r="J45" i="108"/>
  <c r="K45" i="108"/>
  <c r="M45" i="108"/>
  <c r="N45" i="108"/>
  <c r="O45" i="108"/>
  <c r="P45" i="108"/>
  <c r="Q45" i="108"/>
  <c r="R45" i="108"/>
  <c r="S45" i="108"/>
  <c r="T45" i="108"/>
  <c r="U45" i="108"/>
  <c r="W45" i="108"/>
  <c r="C46" i="108"/>
  <c r="D46" i="108"/>
  <c r="E46" i="108"/>
  <c r="F46" i="108"/>
  <c r="G46" i="108"/>
  <c r="H46" i="108"/>
  <c r="I46" i="108"/>
  <c r="J46" i="108"/>
  <c r="K46" i="108"/>
  <c r="M46" i="108"/>
  <c r="N46" i="108"/>
  <c r="O46" i="108"/>
  <c r="P46" i="108"/>
  <c r="Q46" i="108"/>
  <c r="R46" i="108"/>
  <c r="S46" i="108"/>
  <c r="T46" i="108"/>
  <c r="U46" i="108"/>
  <c r="W46" i="108"/>
  <c r="C47" i="108"/>
  <c r="D47" i="108"/>
  <c r="E47" i="108"/>
  <c r="F47" i="108"/>
  <c r="G47" i="108"/>
  <c r="H47" i="108"/>
  <c r="I47" i="108"/>
  <c r="J47" i="108"/>
  <c r="K47" i="108"/>
  <c r="M47" i="108"/>
  <c r="N47" i="108"/>
  <c r="O47" i="108"/>
  <c r="P47" i="108"/>
  <c r="Q47" i="108"/>
  <c r="R47" i="108"/>
  <c r="S47" i="108"/>
  <c r="T47" i="108"/>
  <c r="U47" i="108"/>
  <c r="W47" i="108"/>
  <c r="C48" i="108"/>
  <c r="D48" i="108"/>
  <c r="E48" i="108"/>
  <c r="F48" i="108"/>
  <c r="G48" i="108"/>
  <c r="H48" i="108"/>
  <c r="I48" i="108"/>
  <c r="J48" i="108"/>
  <c r="K48" i="108"/>
  <c r="M48" i="108"/>
  <c r="N48" i="108"/>
  <c r="O48" i="108"/>
  <c r="P48" i="108"/>
  <c r="Q48" i="108"/>
  <c r="R48" i="108"/>
  <c r="S48" i="108"/>
  <c r="T48" i="108"/>
  <c r="U48" i="108"/>
  <c r="V48" i="108"/>
  <c r="W48" i="108"/>
  <c r="C49" i="108"/>
  <c r="D49" i="108"/>
  <c r="E49" i="108"/>
  <c r="F49" i="108"/>
  <c r="G49" i="108"/>
  <c r="H49" i="108"/>
  <c r="I49" i="108"/>
  <c r="J49" i="108"/>
  <c r="K49" i="108"/>
  <c r="M49" i="108"/>
  <c r="N49" i="108"/>
  <c r="O49" i="108"/>
  <c r="P49" i="108"/>
  <c r="Q49" i="108"/>
  <c r="R49" i="108"/>
  <c r="S49" i="108"/>
  <c r="T49" i="108"/>
  <c r="U49" i="108"/>
  <c r="W49" i="108"/>
  <c r="C50" i="108"/>
  <c r="D50" i="108"/>
  <c r="E50" i="108"/>
  <c r="F50" i="108"/>
  <c r="G50" i="108"/>
  <c r="H50" i="108"/>
  <c r="I50" i="108"/>
  <c r="J50" i="108"/>
  <c r="K50" i="108"/>
  <c r="M50" i="108"/>
  <c r="N50" i="108"/>
  <c r="O50" i="108"/>
  <c r="P50" i="108"/>
  <c r="Q50" i="108"/>
  <c r="R50" i="108"/>
  <c r="S50" i="108"/>
  <c r="T50" i="108"/>
  <c r="U50" i="108"/>
  <c r="W50" i="108"/>
  <c r="C51" i="108"/>
  <c r="D51" i="108"/>
  <c r="E51" i="108"/>
  <c r="F51" i="108"/>
  <c r="G51" i="108"/>
  <c r="H51" i="108"/>
  <c r="I51" i="108"/>
  <c r="J51" i="108"/>
  <c r="K51" i="108"/>
  <c r="M51" i="108"/>
  <c r="N51" i="108"/>
  <c r="O51" i="108"/>
  <c r="P51" i="108"/>
  <c r="Q51" i="108"/>
  <c r="R51" i="108"/>
  <c r="S51" i="108"/>
  <c r="T51" i="108"/>
  <c r="U51" i="108"/>
  <c r="W51" i="108"/>
  <c r="C52" i="108"/>
  <c r="D52" i="108"/>
  <c r="E52" i="108"/>
  <c r="F52" i="108"/>
  <c r="G52" i="108"/>
  <c r="H52" i="108"/>
  <c r="I52" i="108"/>
  <c r="J52" i="108"/>
  <c r="K52" i="108"/>
  <c r="M52" i="108"/>
  <c r="N52" i="108"/>
  <c r="O52" i="108"/>
  <c r="P52" i="108"/>
  <c r="Q52" i="108"/>
  <c r="R52" i="108"/>
  <c r="S52" i="108"/>
  <c r="T52" i="108"/>
  <c r="U52" i="108"/>
  <c r="W52" i="108"/>
  <c r="C53" i="108"/>
  <c r="D53" i="108"/>
  <c r="E53" i="108"/>
  <c r="F53" i="108"/>
  <c r="G53" i="108"/>
  <c r="H53" i="108"/>
  <c r="I53" i="108"/>
  <c r="J53" i="108"/>
  <c r="K53" i="108"/>
  <c r="M53" i="108"/>
  <c r="N53" i="108"/>
  <c r="O53" i="108"/>
  <c r="P53" i="108"/>
  <c r="Q53" i="108"/>
  <c r="R53" i="108"/>
  <c r="S53" i="108"/>
  <c r="T53" i="108"/>
  <c r="U53" i="108"/>
  <c r="W53" i="108"/>
  <c r="C54" i="108"/>
  <c r="D54" i="108"/>
  <c r="E54" i="108"/>
  <c r="F54" i="108"/>
  <c r="G54" i="108"/>
  <c r="H54" i="108"/>
  <c r="I54" i="108"/>
  <c r="J54" i="108"/>
  <c r="K54" i="108"/>
  <c r="M54" i="108"/>
  <c r="N54" i="108"/>
  <c r="O54" i="108"/>
  <c r="P54" i="108"/>
  <c r="Q54" i="108"/>
  <c r="R54" i="108"/>
  <c r="S54" i="108"/>
  <c r="T54" i="108"/>
  <c r="U54" i="108"/>
  <c r="W54" i="108"/>
  <c r="C56" i="108"/>
  <c r="D56" i="108"/>
  <c r="E56" i="108"/>
  <c r="F56" i="108"/>
  <c r="G56" i="108"/>
  <c r="H56" i="108"/>
  <c r="I56" i="108"/>
  <c r="J56" i="108"/>
  <c r="K56" i="108"/>
  <c r="M56" i="108"/>
  <c r="W56" i="108"/>
  <c r="M57" i="108"/>
  <c r="W57" i="108"/>
  <c r="W58" i="108"/>
  <c r="W59" i="108"/>
  <c r="W60" i="108"/>
  <c r="W61" i="108"/>
  <c r="W62" i="108"/>
  <c r="W63" i="108"/>
  <c r="W64" i="108"/>
  <c r="W65" i="108"/>
  <c r="W66" i="108"/>
  <c r="W67" i="108"/>
  <c r="W68" i="108"/>
  <c r="W69" i="108"/>
  <c r="W70" i="108"/>
  <c r="W71" i="108"/>
  <c r="C73" i="108"/>
  <c r="D73" i="108"/>
  <c r="E73" i="108"/>
  <c r="F73" i="108"/>
  <c r="G73" i="108"/>
  <c r="H73" i="108"/>
  <c r="I73" i="108"/>
  <c r="J73" i="108"/>
  <c r="K73" i="108"/>
  <c r="M73" i="108"/>
  <c r="N73" i="108"/>
  <c r="O73" i="108"/>
  <c r="P73" i="108"/>
  <c r="Q73" i="108"/>
  <c r="R73" i="108"/>
  <c r="S73" i="108"/>
  <c r="T73" i="108"/>
  <c r="U73" i="108"/>
  <c r="W73" i="108"/>
  <c r="C74" i="108"/>
  <c r="D74" i="108"/>
  <c r="E74" i="108"/>
  <c r="F74" i="108"/>
  <c r="G74" i="108"/>
  <c r="H74" i="108"/>
  <c r="I74" i="108"/>
  <c r="J74" i="108"/>
  <c r="K74" i="108"/>
  <c r="M74" i="108"/>
  <c r="N74" i="108"/>
  <c r="O74" i="108"/>
  <c r="P74" i="108"/>
  <c r="Q74" i="108"/>
  <c r="R74" i="108"/>
  <c r="S74" i="108"/>
  <c r="T74" i="108"/>
  <c r="U74" i="108"/>
  <c r="W74" i="108"/>
  <c r="C75" i="108"/>
  <c r="D75" i="108"/>
  <c r="E75" i="108"/>
  <c r="F75" i="108"/>
  <c r="G75" i="108"/>
  <c r="H75" i="108"/>
  <c r="I75" i="108"/>
  <c r="J75" i="108"/>
  <c r="K75" i="108"/>
  <c r="M75" i="108"/>
  <c r="N75" i="108"/>
  <c r="O75" i="108"/>
  <c r="P75" i="108"/>
  <c r="Q75" i="108"/>
  <c r="R75" i="108"/>
  <c r="S75" i="108"/>
  <c r="T75" i="108"/>
  <c r="U75" i="108"/>
  <c r="W75" i="108"/>
  <c r="C76" i="108"/>
  <c r="D76" i="108"/>
  <c r="E76" i="108"/>
  <c r="F76" i="108"/>
  <c r="G76" i="108"/>
  <c r="H76" i="108"/>
  <c r="I76" i="108"/>
  <c r="J76" i="108"/>
  <c r="K76" i="108"/>
  <c r="M76" i="108"/>
  <c r="N76" i="108"/>
  <c r="O76" i="108"/>
  <c r="P76" i="108"/>
  <c r="Q76" i="108"/>
  <c r="R76" i="108"/>
  <c r="S76" i="108"/>
  <c r="T76" i="108"/>
  <c r="U76" i="108"/>
  <c r="W76" i="108"/>
  <c r="C77" i="108"/>
  <c r="D77" i="108"/>
  <c r="E77" i="108"/>
  <c r="F77" i="108"/>
  <c r="G77" i="108"/>
  <c r="H77" i="108"/>
  <c r="I77" i="108"/>
  <c r="J77" i="108"/>
  <c r="K77" i="108"/>
  <c r="M77" i="108"/>
  <c r="N77" i="108"/>
  <c r="O77" i="108"/>
  <c r="P77" i="108"/>
  <c r="Q77" i="108"/>
  <c r="R77" i="108"/>
  <c r="S77" i="108"/>
  <c r="T77" i="108"/>
  <c r="U77" i="108"/>
  <c r="W77" i="108"/>
  <c r="C78" i="108"/>
  <c r="D78" i="108"/>
  <c r="E78" i="108"/>
  <c r="F78" i="108"/>
  <c r="G78" i="108"/>
  <c r="H78" i="108"/>
  <c r="I78" i="108"/>
  <c r="J78" i="108"/>
  <c r="K78" i="108"/>
  <c r="M78" i="108"/>
  <c r="N78" i="108"/>
  <c r="O78" i="108"/>
  <c r="P78" i="108"/>
  <c r="Q78" i="108"/>
  <c r="R78" i="108"/>
  <c r="S78" i="108"/>
  <c r="T78" i="108"/>
  <c r="U78" i="108"/>
  <c r="W78" i="108"/>
  <c r="C79" i="108"/>
  <c r="D79" i="108"/>
  <c r="E79" i="108"/>
  <c r="F79" i="108"/>
  <c r="G79" i="108"/>
  <c r="H79" i="108"/>
  <c r="I79" i="108"/>
  <c r="J79" i="108"/>
  <c r="K79" i="108"/>
  <c r="M79" i="108"/>
  <c r="N79" i="108"/>
  <c r="O79" i="108"/>
  <c r="P79" i="108"/>
  <c r="Q79" i="108"/>
  <c r="R79" i="108"/>
  <c r="S79" i="108"/>
  <c r="T79" i="108"/>
  <c r="U79" i="108"/>
  <c r="W79" i="108"/>
  <c r="C80" i="108"/>
  <c r="D80" i="108"/>
  <c r="E80" i="108"/>
  <c r="F80" i="108"/>
  <c r="G80" i="108"/>
  <c r="H80" i="108"/>
  <c r="I80" i="108"/>
  <c r="J80" i="108"/>
  <c r="K80" i="108"/>
  <c r="M80" i="108"/>
  <c r="N80" i="108"/>
  <c r="O80" i="108"/>
  <c r="P80" i="108"/>
  <c r="Q80" i="108"/>
  <c r="R80" i="108"/>
  <c r="S80" i="108"/>
  <c r="T80" i="108"/>
  <c r="U80" i="108"/>
  <c r="W80" i="108"/>
  <c r="C81" i="108"/>
  <c r="D81" i="108"/>
  <c r="E81" i="108"/>
  <c r="F81" i="108"/>
  <c r="G81" i="108"/>
  <c r="H81" i="108"/>
  <c r="I81" i="108"/>
  <c r="J81" i="108"/>
  <c r="K81" i="108"/>
  <c r="M81" i="108"/>
  <c r="N81" i="108"/>
  <c r="O81" i="108"/>
  <c r="P81" i="108"/>
  <c r="Q81" i="108"/>
  <c r="R81" i="108"/>
  <c r="S81" i="108"/>
  <c r="T81" i="108"/>
  <c r="U81" i="108"/>
  <c r="W81" i="108"/>
  <c r="C82" i="108"/>
  <c r="D82" i="108"/>
  <c r="E82" i="108"/>
  <c r="F82" i="108"/>
  <c r="G82" i="108"/>
  <c r="H82" i="108"/>
  <c r="I82" i="108"/>
  <c r="J82" i="108"/>
  <c r="K82" i="108"/>
  <c r="M82" i="108"/>
  <c r="N82" i="108"/>
  <c r="O82" i="108"/>
  <c r="P82" i="108"/>
  <c r="Q82" i="108"/>
  <c r="R82" i="108"/>
  <c r="S82" i="108"/>
  <c r="T82" i="108"/>
  <c r="U82" i="108"/>
  <c r="W82" i="108"/>
  <c r="C83" i="108"/>
  <c r="D83" i="108"/>
  <c r="E83" i="108"/>
  <c r="F83" i="108"/>
  <c r="G83" i="108"/>
  <c r="H83" i="108"/>
  <c r="I83" i="108"/>
  <c r="J83" i="108"/>
  <c r="K83" i="108"/>
  <c r="M83" i="108"/>
  <c r="N83" i="108"/>
  <c r="O83" i="108"/>
  <c r="P83" i="108"/>
  <c r="Q83" i="108"/>
  <c r="R83" i="108"/>
  <c r="S83" i="108"/>
  <c r="T83" i="108"/>
  <c r="U83" i="108"/>
  <c r="W83" i="108"/>
  <c r="C84" i="108"/>
  <c r="D84" i="108"/>
  <c r="E84" i="108"/>
  <c r="F84" i="108"/>
  <c r="G84" i="108"/>
  <c r="H84" i="108"/>
  <c r="I84" i="108"/>
  <c r="J84" i="108"/>
  <c r="K84" i="108"/>
  <c r="W84" i="108"/>
  <c r="C85" i="108"/>
  <c r="D85" i="108"/>
  <c r="E85" i="108"/>
  <c r="F85" i="108"/>
  <c r="G85" i="108"/>
  <c r="H85" i="108"/>
  <c r="I85" i="108"/>
  <c r="J85" i="108"/>
  <c r="K85" i="108"/>
  <c r="W85" i="108"/>
  <c r="C86" i="108"/>
  <c r="D86" i="108"/>
  <c r="E86" i="108"/>
  <c r="F86" i="108"/>
  <c r="G86" i="108"/>
  <c r="H86" i="108"/>
  <c r="I86" i="108"/>
  <c r="J86" i="108"/>
  <c r="K86" i="108"/>
  <c r="W86" i="108"/>
  <c r="C87" i="108"/>
  <c r="D87" i="108"/>
  <c r="E87" i="108"/>
  <c r="F87" i="108"/>
  <c r="G87" i="108"/>
  <c r="H87" i="108"/>
  <c r="I87" i="108"/>
  <c r="J87" i="108"/>
  <c r="K87" i="108"/>
  <c r="W87" i="108"/>
  <c r="C88" i="108"/>
  <c r="D88" i="108"/>
  <c r="E88" i="108"/>
  <c r="F88" i="108"/>
  <c r="G88" i="108"/>
  <c r="H88" i="108"/>
  <c r="I88" i="108"/>
  <c r="J88" i="108"/>
  <c r="K88" i="108"/>
  <c r="W88" i="108"/>
  <c r="C90" i="108"/>
  <c r="D90" i="108"/>
  <c r="E90" i="108"/>
  <c r="F90" i="108"/>
  <c r="G90" i="108"/>
  <c r="H90" i="108"/>
  <c r="I90" i="108"/>
  <c r="J90" i="108"/>
  <c r="K90" i="108"/>
  <c r="M90" i="108"/>
  <c r="N90" i="108"/>
  <c r="O90" i="108"/>
  <c r="P90" i="108"/>
  <c r="Q90" i="108"/>
  <c r="R90" i="108"/>
  <c r="S90" i="108"/>
  <c r="T90" i="108"/>
  <c r="U90" i="108"/>
  <c r="W90" i="108"/>
  <c r="C91" i="108"/>
  <c r="D91" i="108"/>
  <c r="E91" i="108"/>
  <c r="F91" i="108"/>
  <c r="G91" i="108"/>
  <c r="H91" i="108"/>
  <c r="I91" i="108"/>
  <c r="J91" i="108"/>
  <c r="K91" i="108"/>
  <c r="M91" i="108"/>
  <c r="N91" i="108"/>
  <c r="O91" i="108"/>
  <c r="P91" i="108"/>
  <c r="Q91" i="108"/>
  <c r="R91" i="108"/>
  <c r="S91" i="108"/>
  <c r="T91" i="108"/>
  <c r="U91" i="108"/>
  <c r="W91" i="108"/>
  <c r="C92" i="108"/>
  <c r="D92" i="108"/>
  <c r="E92" i="108"/>
  <c r="F92" i="108"/>
  <c r="G92" i="108"/>
  <c r="H92" i="108"/>
  <c r="I92" i="108"/>
  <c r="J92" i="108"/>
  <c r="K92" i="108"/>
  <c r="M92" i="108"/>
  <c r="N92" i="108"/>
  <c r="O92" i="108"/>
  <c r="P92" i="108"/>
  <c r="Q92" i="108"/>
  <c r="R92" i="108"/>
  <c r="S92" i="108"/>
  <c r="T92" i="108"/>
  <c r="U92" i="108"/>
  <c r="W92" i="108"/>
  <c r="C93" i="108"/>
  <c r="D93" i="108"/>
  <c r="E93" i="108"/>
  <c r="F93" i="108"/>
  <c r="G93" i="108"/>
  <c r="H93" i="108"/>
  <c r="I93" i="108"/>
  <c r="J93" i="108"/>
  <c r="K93" i="108"/>
  <c r="M93" i="108"/>
  <c r="N93" i="108"/>
  <c r="O93" i="108"/>
  <c r="P93" i="108"/>
  <c r="Q93" i="108"/>
  <c r="R93" i="108"/>
  <c r="S93" i="108"/>
  <c r="T93" i="108"/>
  <c r="U93" i="108"/>
  <c r="W93" i="108"/>
  <c r="C94" i="108"/>
  <c r="D94" i="108"/>
  <c r="E94" i="108"/>
  <c r="F94" i="108"/>
  <c r="G94" i="108"/>
  <c r="H94" i="108"/>
  <c r="I94" i="108"/>
  <c r="J94" i="108"/>
  <c r="K94" i="108"/>
  <c r="M94" i="108"/>
  <c r="N94" i="108"/>
  <c r="O94" i="108"/>
  <c r="P94" i="108"/>
  <c r="Q94" i="108"/>
  <c r="R94" i="108"/>
  <c r="S94" i="108"/>
  <c r="T94" i="108"/>
  <c r="U94" i="108"/>
  <c r="W94" i="108"/>
  <c r="C95" i="108"/>
  <c r="D95" i="108"/>
  <c r="E95" i="108"/>
  <c r="F95" i="108"/>
  <c r="G95" i="108"/>
  <c r="H95" i="108"/>
  <c r="I95" i="108"/>
  <c r="J95" i="108"/>
  <c r="K95" i="108"/>
  <c r="M95" i="108"/>
  <c r="N95" i="108"/>
  <c r="O95" i="108"/>
  <c r="P95" i="108"/>
  <c r="Q95" i="108"/>
  <c r="R95" i="108"/>
  <c r="S95" i="108"/>
  <c r="T95" i="108"/>
  <c r="U95" i="108"/>
  <c r="W95" i="108"/>
  <c r="C96" i="108"/>
  <c r="D96" i="108"/>
  <c r="E96" i="108"/>
  <c r="F96" i="108"/>
  <c r="G96" i="108"/>
  <c r="H96" i="108"/>
  <c r="I96" i="108"/>
  <c r="J96" i="108"/>
  <c r="K96" i="108"/>
  <c r="M96" i="108"/>
  <c r="N96" i="108"/>
  <c r="O96" i="108"/>
  <c r="P96" i="108"/>
  <c r="Q96" i="108"/>
  <c r="R96" i="108"/>
  <c r="S96" i="108"/>
  <c r="T96" i="108"/>
  <c r="U96" i="108"/>
  <c r="W96" i="108"/>
  <c r="C97" i="108"/>
  <c r="D97" i="108"/>
  <c r="E97" i="108"/>
  <c r="F97" i="108"/>
  <c r="G97" i="108"/>
  <c r="H97" i="108"/>
  <c r="I97" i="108"/>
  <c r="J97" i="108"/>
  <c r="K97" i="108"/>
  <c r="M97" i="108"/>
  <c r="N97" i="108"/>
  <c r="O97" i="108"/>
  <c r="P97" i="108"/>
  <c r="Q97" i="108"/>
  <c r="R97" i="108"/>
  <c r="S97" i="108"/>
  <c r="T97" i="108"/>
  <c r="U97" i="108"/>
  <c r="W97" i="108"/>
  <c r="C98" i="108"/>
  <c r="D98" i="108"/>
  <c r="E98" i="108"/>
  <c r="F98" i="108"/>
  <c r="G98" i="108"/>
  <c r="H98" i="108"/>
  <c r="I98" i="108"/>
  <c r="J98" i="108"/>
  <c r="K98" i="108"/>
  <c r="M98" i="108"/>
  <c r="N98" i="108"/>
  <c r="O98" i="108"/>
  <c r="P98" i="108"/>
  <c r="Q98" i="108"/>
  <c r="R98" i="108"/>
  <c r="S98" i="108"/>
  <c r="T98" i="108"/>
  <c r="U98" i="108"/>
  <c r="W98" i="108"/>
  <c r="C99" i="108"/>
  <c r="D99" i="108"/>
  <c r="E99" i="108"/>
  <c r="F99" i="108"/>
  <c r="G99" i="108"/>
  <c r="H99" i="108"/>
  <c r="I99" i="108"/>
  <c r="J99" i="108"/>
  <c r="K99" i="108"/>
  <c r="M99" i="108"/>
  <c r="N99" i="108"/>
  <c r="O99" i="108"/>
  <c r="P99" i="108"/>
  <c r="Q99" i="108"/>
  <c r="R99" i="108"/>
  <c r="S99" i="108"/>
  <c r="T99" i="108"/>
  <c r="U99" i="108"/>
  <c r="W99" i="108"/>
  <c r="C100" i="108"/>
  <c r="D100" i="108"/>
  <c r="E100" i="108"/>
  <c r="F100" i="108"/>
  <c r="G100" i="108"/>
  <c r="H100" i="108"/>
  <c r="I100" i="108"/>
  <c r="J100" i="108"/>
  <c r="K100" i="108"/>
  <c r="M100" i="108"/>
  <c r="N100" i="108"/>
  <c r="O100" i="108"/>
  <c r="P100" i="108"/>
  <c r="Q100" i="108"/>
  <c r="R100" i="108"/>
  <c r="S100" i="108"/>
  <c r="T100" i="108"/>
  <c r="U100" i="108"/>
  <c r="W100" i="108"/>
  <c r="C101" i="108"/>
  <c r="D101" i="108"/>
  <c r="E101" i="108"/>
  <c r="F101" i="108"/>
  <c r="G101" i="108"/>
  <c r="H101" i="108"/>
  <c r="I101" i="108"/>
  <c r="J101" i="108"/>
  <c r="K101" i="108"/>
  <c r="M101" i="108"/>
  <c r="N101" i="108"/>
  <c r="O101" i="108"/>
  <c r="P101" i="108"/>
  <c r="Q101" i="108"/>
  <c r="R101" i="108"/>
  <c r="S101" i="108"/>
  <c r="T101" i="108"/>
  <c r="U101" i="108"/>
  <c r="W101" i="108"/>
  <c r="M6" i="108"/>
  <c r="N6" i="108"/>
  <c r="O6" i="108"/>
  <c r="P6" i="108"/>
  <c r="Q6" i="108"/>
  <c r="R6" i="108"/>
  <c r="S6" i="108"/>
  <c r="S23" i="108" s="1"/>
  <c r="T6" i="108"/>
  <c r="U6" i="108"/>
  <c r="W6" i="108"/>
  <c r="C6" i="108"/>
  <c r="AB56" i="109" l="1"/>
  <c r="Z56" i="109"/>
  <c r="Z6" i="99"/>
  <c r="Z8" i="99"/>
  <c r="Z10" i="99"/>
  <c r="Z12" i="99"/>
  <c r="Z14" i="99"/>
  <c r="Z16" i="99"/>
  <c r="Z18" i="99"/>
  <c r="Z20" i="99"/>
  <c r="Z22" i="99"/>
  <c r="Z39" i="99"/>
  <c r="Z41" i="99"/>
  <c r="Z43" i="99"/>
  <c r="Z45" i="99"/>
  <c r="Z47" i="99"/>
  <c r="Z74" i="99"/>
  <c r="Z76" i="99"/>
  <c r="Z78" i="99"/>
  <c r="Z80" i="99"/>
  <c r="Z82" i="99"/>
  <c r="Z84" i="99"/>
  <c r="Z86" i="99"/>
  <c r="Z88" i="99"/>
  <c r="Z35" i="99"/>
  <c r="Z56" i="99"/>
  <c r="Z58" i="99"/>
  <c r="Z60" i="99"/>
  <c r="Z62" i="99"/>
  <c r="Z64" i="99"/>
  <c r="Z66" i="99"/>
  <c r="Z68" i="99"/>
  <c r="Z70" i="99"/>
  <c r="Z9" i="98"/>
  <c r="Z11" i="98"/>
  <c r="Z54" i="97"/>
  <c r="Z10" i="96"/>
  <c r="Z12" i="96"/>
  <c r="Z14" i="96"/>
  <c r="Z16" i="96"/>
  <c r="Z18" i="96"/>
  <c r="Z20" i="96"/>
  <c r="Z22" i="96"/>
  <c r="Z11" i="109"/>
  <c r="Z13" i="109"/>
  <c r="Z15" i="109"/>
  <c r="Z17" i="109"/>
  <c r="Z19" i="109"/>
  <c r="Z21" i="109"/>
  <c r="Z38" i="109"/>
  <c r="Z40" i="109"/>
  <c r="Z42" i="109"/>
  <c r="Z44" i="109"/>
  <c r="Z46" i="109"/>
  <c r="Z73" i="109"/>
  <c r="Z75" i="109"/>
  <c r="Z77" i="109"/>
  <c r="Z79" i="109"/>
  <c r="Z81" i="109"/>
  <c r="Z83" i="109"/>
  <c r="Z85" i="109"/>
  <c r="Z87" i="109"/>
  <c r="Z7" i="99"/>
  <c r="Z9" i="99"/>
  <c r="Z11" i="99"/>
  <c r="Z13" i="99"/>
  <c r="Z15" i="99"/>
  <c r="Z17" i="99"/>
  <c r="Z19" i="99"/>
  <c r="Z21" i="99"/>
  <c r="Z38" i="99"/>
  <c r="Z40" i="99"/>
  <c r="Z42" i="99"/>
  <c r="Z44" i="99"/>
  <c r="Z46" i="99"/>
  <c r="Z73" i="99"/>
  <c r="Z75" i="99"/>
  <c r="Z77" i="99"/>
  <c r="Z79" i="99"/>
  <c r="Z81" i="99"/>
  <c r="Z83" i="99"/>
  <c r="Z85" i="99"/>
  <c r="Z87" i="99"/>
  <c r="Z47" i="97"/>
  <c r="Z34" i="99"/>
  <c r="Z36" i="99"/>
  <c r="Z57" i="99"/>
  <c r="Z59" i="99"/>
  <c r="Z61" i="99"/>
  <c r="Z63" i="99"/>
  <c r="Z65" i="99"/>
  <c r="Z67" i="99"/>
  <c r="Z69" i="99"/>
  <c r="Z71" i="99"/>
  <c r="Z10" i="98"/>
  <c r="Z12" i="98"/>
  <c r="Z53" i="97"/>
  <c r="Z11" i="96"/>
  <c r="Z13" i="96"/>
  <c r="Z15" i="96"/>
  <c r="Z17" i="96"/>
  <c r="Z19" i="96"/>
  <c r="Z21" i="96"/>
  <c r="Z10" i="109"/>
  <c r="Z12" i="109"/>
  <c r="Z14" i="109"/>
  <c r="Z16" i="109"/>
  <c r="Z18" i="109"/>
  <c r="Z20" i="109"/>
  <c r="Z22" i="109"/>
  <c r="Z39" i="109"/>
  <c r="Z41" i="109"/>
  <c r="Z43" i="109"/>
  <c r="Z45" i="109"/>
  <c r="Z47" i="109"/>
  <c r="Z74" i="109"/>
  <c r="Z76" i="109"/>
  <c r="Z78" i="109"/>
  <c r="Z80" i="109"/>
  <c r="Z82" i="109"/>
  <c r="Z84" i="109"/>
  <c r="Z86" i="109"/>
  <c r="Z88" i="109"/>
  <c r="Z41" i="98"/>
  <c r="Z52" i="98"/>
  <c r="Z39" i="98"/>
  <c r="Z47" i="98"/>
  <c r="Z50" i="98"/>
  <c r="Z60" i="100"/>
  <c r="Z54" i="102"/>
  <c r="Z45" i="98"/>
  <c r="Z43" i="98"/>
  <c r="Z54" i="98"/>
  <c r="Z59" i="102"/>
  <c r="Z67" i="102"/>
  <c r="Z46" i="98"/>
  <c r="Z49" i="98"/>
  <c r="Z54" i="96"/>
  <c r="Z66" i="100"/>
  <c r="Z80" i="101"/>
  <c r="AB91" i="99"/>
  <c r="Z44" i="98"/>
  <c r="Z52" i="96"/>
  <c r="Z42" i="98"/>
  <c r="Z53" i="98"/>
  <c r="Z47" i="96"/>
  <c r="Z50" i="96"/>
  <c r="Z40" i="98"/>
  <c r="Z51" i="98"/>
  <c r="V89" i="109"/>
  <c r="Z61" i="102"/>
  <c r="Z69" i="102"/>
  <c r="L37" i="99"/>
  <c r="V106" i="109"/>
  <c r="AB91" i="109"/>
  <c r="AA72" i="109"/>
  <c r="L106" i="109"/>
  <c r="Z6" i="107"/>
  <c r="Z23" i="107" s="1"/>
  <c r="Z26" i="100"/>
  <c r="Z28" i="100"/>
  <c r="Z42" i="100"/>
  <c r="Z79" i="100"/>
  <c r="Z87" i="100"/>
  <c r="Z92" i="100"/>
  <c r="Z27" i="107"/>
  <c r="AB71" i="99"/>
  <c r="V89" i="99"/>
  <c r="Z98" i="98"/>
  <c r="Z49" i="96"/>
  <c r="Z51" i="96"/>
  <c r="Z53" i="96"/>
  <c r="AA106" i="109"/>
  <c r="Z94" i="102"/>
  <c r="V23" i="109"/>
  <c r="Z103" i="97"/>
  <c r="Z95" i="97"/>
  <c r="Z31" i="97"/>
  <c r="Z34" i="97"/>
  <c r="Z76" i="97"/>
  <c r="Z84" i="97"/>
  <c r="Z53" i="100"/>
  <c r="Z58" i="100"/>
  <c r="Z100" i="100"/>
  <c r="Z30" i="100"/>
  <c r="Z38" i="100"/>
  <c r="Z46" i="100"/>
  <c r="Z49" i="100"/>
  <c r="Z62" i="100"/>
  <c r="Z70" i="100"/>
  <c r="Z75" i="100"/>
  <c r="Z83" i="100"/>
  <c r="Z96" i="100"/>
  <c r="Z104" i="100"/>
  <c r="Z24" i="100"/>
  <c r="Z32" i="100"/>
  <c r="Z35" i="100"/>
  <c r="Z40" i="100"/>
  <c r="Z51" i="100"/>
  <c r="Z56" i="100"/>
  <c r="Z64" i="100"/>
  <c r="Z77" i="100"/>
  <c r="Z85" i="100"/>
  <c r="Z90" i="100"/>
  <c r="Z98" i="100"/>
  <c r="Z74" i="101"/>
  <c r="Z95" i="101"/>
  <c r="AA37" i="101"/>
  <c r="Z52" i="102"/>
  <c r="Z102" i="102"/>
  <c r="Z75" i="102"/>
  <c r="Z73" i="102"/>
  <c r="Z92" i="102"/>
  <c r="Z100" i="102"/>
  <c r="Z63" i="102"/>
  <c r="Z71" i="102"/>
  <c r="AA37" i="99"/>
  <c r="AA72" i="99"/>
  <c r="G107" i="99"/>
  <c r="P107" i="99"/>
  <c r="J107" i="99"/>
  <c r="Z25" i="98"/>
  <c r="Z56" i="97"/>
  <c r="Z31" i="107"/>
  <c r="Z38" i="107"/>
  <c r="Z42" i="107"/>
  <c r="Z47" i="107"/>
  <c r="Z92" i="107"/>
  <c r="Z96" i="107"/>
  <c r="Z100" i="107"/>
  <c r="Z104" i="107"/>
  <c r="AA23" i="99"/>
  <c r="V23" i="99"/>
  <c r="AB67" i="99"/>
  <c r="AA89" i="99"/>
  <c r="V106" i="99"/>
  <c r="AA106" i="99"/>
  <c r="V37" i="109"/>
  <c r="AA37" i="109"/>
  <c r="Z57" i="97"/>
  <c r="Z58" i="97"/>
  <c r="Z59" i="97"/>
  <c r="Z60" i="97"/>
  <c r="Z61" i="97"/>
  <c r="Z62" i="97"/>
  <c r="Z63" i="97"/>
  <c r="Z64" i="97"/>
  <c r="Z65" i="97"/>
  <c r="Z66" i="97"/>
  <c r="Z67" i="97"/>
  <c r="Z68" i="97"/>
  <c r="Z69" i="97"/>
  <c r="Z70" i="97"/>
  <c r="Z36" i="96"/>
  <c r="Z41" i="96"/>
  <c r="Z95" i="96"/>
  <c r="Z27" i="100"/>
  <c r="Z43" i="100"/>
  <c r="Z52" i="100"/>
  <c r="Z54" i="100"/>
  <c r="Z59" i="100"/>
  <c r="Z67" i="100"/>
  <c r="Z78" i="100"/>
  <c r="Z80" i="100"/>
  <c r="Z86" i="100"/>
  <c r="Z88" i="100"/>
  <c r="Z93" i="100"/>
  <c r="Z101" i="100"/>
  <c r="Z94" i="101"/>
  <c r="Z100" i="101"/>
  <c r="Z56" i="102"/>
  <c r="Z62" i="102"/>
  <c r="Z64" i="102"/>
  <c r="L23" i="109"/>
  <c r="AA23" i="109"/>
  <c r="V55" i="109"/>
  <c r="L55" i="109"/>
  <c r="AA55" i="109"/>
  <c r="AA89" i="109"/>
  <c r="Z25" i="107"/>
  <c r="Z29" i="107"/>
  <c r="Z41" i="107"/>
  <c r="Z46" i="107"/>
  <c r="Z51" i="107"/>
  <c r="Z90" i="107"/>
  <c r="Z94" i="107"/>
  <c r="Z98" i="107"/>
  <c r="Z102" i="107"/>
  <c r="Z24" i="107"/>
  <c r="Z28" i="107"/>
  <c r="Z32" i="107"/>
  <c r="Z40" i="107"/>
  <c r="Z50" i="107"/>
  <c r="Z54" i="107"/>
  <c r="Z93" i="107"/>
  <c r="Z97" i="107"/>
  <c r="Z101" i="107"/>
  <c r="Z105" i="107"/>
  <c r="Z99" i="98"/>
  <c r="Z68" i="98"/>
  <c r="Z71" i="98"/>
  <c r="Z66" i="98"/>
  <c r="Z27" i="97"/>
  <c r="Z26" i="97"/>
  <c r="Z105" i="96"/>
  <c r="Z99" i="96"/>
  <c r="Z76" i="96"/>
  <c r="Z84" i="96"/>
  <c r="Z39" i="96"/>
  <c r="Z34" i="96"/>
  <c r="Z74" i="100"/>
  <c r="Z82" i="100"/>
  <c r="Z73" i="100"/>
  <c r="Z81" i="100"/>
  <c r="Z76" i="100"/>
  <c r="Z84" i="100"/>
  <c r="Z95" i="100"/>
  <c r="Z103" i="100"/>
  <c r="Z91" i="100"/>
  <c r="Z99" i="100"/>
  <c r="Z94" i="100"/>
  <c r="Z102" i="100"/>
  <c r="Z97" i="100"/>
  <c r="Z105" i="100"/>
  <c r="Z61" i="100"/>
  <c r="Z69" i="100"/>
  <c r="Z57" i="100"/>
  <c r="Z65" i="100"/>
  <c r="Z68" i="100"/>
  <c r="Z63" i="100"/>
  <c r="Z71" i="100"/>
  <c r="Z29" i="100"/>
  <c r="Z25" i="100"/>
  <c r="Z36" i="100"/>
  <c r="Z31" i="100"/>
  <c r="Z34" i="100"/>
  <c r="Z45" i="100"/>
  <c r="Z41" i="100"/>
  <c r="Z44" i="100"/>
  <c r="Z39" i="100"/>
  <c r="Z47" i="100"/>
  <c r="Z50" i="100"/>
  <c r="Z105" i="101"/>
  <c r="Z73" i="101"/>
  <c r="Z81" i="101"/>
  <c r="Z10" i="101"/>
  <c r="Z97" i="101"/>
  <c r="Z58" i="102"/>
  <c r="Z66" i="102"/>
  <c r="Z70" i="102"/>
  <c r="Z57" i="102"/>
  <c r="Z65" i="102"/>
  <c r="Z60" i="102"/>
  <c r="Z68" i="102"/>
  <c r="Z53" i="102"/>
  <c r="Z76" i="102"/>
  <c r="Z84" i="102"/>
  <c r="Z97" i="102"/>
  <c r="Z105" i="102"/>
  <c r="Z103" i="102"/>
  <c r="Z93" i="102"/>
  <c r="Z101" i="102"/>
  <c r="Z95" i="102"/>
  <c r="Z98" i="102"/>
  <c r="Z96" i="102"/>
  <c r="Z104" i="102"/>
  <c r="Z90" i="102"/>
  <c r="Z91" i="102"/>
  <c r="Z99" i="102"/>
  <c r="Z79" i="102"/>
  <c r="Z81" i="102"/>
  <c r="Z82" i="102"/>
  <c r="Z85" i="102"/>
  <c r="Z80" i="102"/>
  <c r="Z88" i="102"/>
  <c r="Z87" i="102"/>
  <c r="Z74" i="102"/>
  <c r="Z83" i="102"/>
  <c r="Z77" i="102"/>
  <c r="Z78" i="102"/>
  <c r="Z86" i="102"/>
  <c r="Z91" i="107"/>
  <c r="Z95" i="107"/>
  <c r="Z99" i="107"/>
  <c r="Z103" i="107"/>
  <c r="Z39" i="107"/>
  <c r="Z43" i="107"/>
  <c r="Z53" i="107"/>
  <c r="Z52" i="107"/>
  <c r="Z35" i="107"/>
  <c r="Z36" i="107"/>
  <c r="Z26" i="107"/>
  <c r="Z30" i="107"/>
  <c r="Z56" i="98"/>
  <c r="Z78" i="98"/>
  <c r="Z29" i="98"/>
  <c r="Z26" i="98"/>
  <c r="V106" i="98"/>
  <c r="Z62" i="98"/>
  <c r="Z92" i="98"/>
  <c r="Z100" i="98"/>
  <c r="AA72" i="98"/>
  <c r="Z69" i="98"/>
  <c r="Z67" i="98"/>
  <c r="AB56" i="98"/>
  <c r="Z30" i="98"/>
  <c r="V55" i="98"/>
  <c r="L55" i="98"/>
  <c r="Z28" i="98"/>
  <c r="M107" i="98"/>
  <c r="U107" i="98"/>
  <c r="Z57" i="98"/>
  <c r="Z65" i="98"/>
  <c r="Z70" i="98"/>
  <c r="AA89" i="98"/>
  <c r="Z77" i="98"/>
  <c r="Z85" i="98"/>
  <c r="Z90" i="98"/>
  <c r="Z93" i="98"/>
  <c r="Z101" i="98"/>
  <c r="C107" i="98"/>
  <c r="Z24" i="98"/>
  <c r="L37" i="98"/>
  <c r="Z35" i="98"/>
  <c r="V72" i="98"/>
  <c r="Z61" i="98"/>
  <c r="Z73" i="98"/>
  <c r="Z81" i="98"/>
  <c r="Z97" i="98"/>
  <c r="Z105" i="98"/>
  <c r="Z75" i="98"/>
  <c r="Z83" i="98"/>
  <c r="Z63" i="98"/>
  <c r="Q107" i="98"/>
  <c r="I107" i="98"/>
  <c r="AA23" i="98"/>
  <c r="V23" i="98"/>
  <c r="P107" i="98"/>
  <c r="Z59" i="98"/>
  <c r="AB71" i="98"/>
  <c r="S107" i="98"/>
  <c r="L89" i="98"/>
  <c r="Z79" i="98"/>
  <c r="Z87" i="98"/>
  <c r="Z95" i="98"/>
  <c r="Z103" i="98"/>
  <c r="W107" i="98"/>
  <c r="Z102" i="97"/>
  <c r="Z29" i="97"/>
  <c r="L23" i="97"/>
  <c r="Z79" i="97"/>
  <c r="Z82" i="97"/>
  <c r="Z94" i="97"/>
  <c r="V8" i="108"/>
  <c r="Z30" i="97"/>
  <c r="Z87" i="97"/>
  <c r="Z92" i="97"/>
  <c r="Z91" i="97"/>
  <c r="Z32" i="97"/>
  <c r="Z25" i="97"/>
  <c r="Z86" i="97"/>
  <c r="AB91" i="97"/>
  <c r="Z96" i="97"/>
  <c r="Z104" i="97"/>
  <c r="Q107" i="97"/>
  <c r="V15" i="108"/>
  <c r="Z28" i="97"/>
  <c r="T107" i="97"/>
  <c r="Z74" i="97"/>
  <c r="Z100" i="97"/>
  <c r="V20" i="108"/>
  <c r="AB67" i="97"/>
  <c r="V18" i="108"/>
  <c r="L37" i="97"/>
  <c r="V55" i="97"/>
  <c r="Z24" i="97"/>
  <c r="Z88" i="97"/>
  <c r="Z98" i="97"/>
  <c r="V14" i="108"/>
  <c r="V22" i="108"/>
  <c r="Z36" i="97"/>
  <c r="V17" i="108"/>
  <c r="AA37" i="97"/>
  <c r="Z75" i="97"/>
  <c r="V13" i="108"/>
  <c r="V21" i="108"/>
  <c r="V16" i="108"/>
  <c r="V89" i="97"/>
  <c r="AA89" i="97"/>
  <c r="Z78" i="97"/>
  <c r="Z83" i="97"/>
  <c r="V19" i="108"/>
  <c r="Z46" i="96"/>
  <c r="Z58" i="96"/>
  <c r="Z60" i="96"/>
  <c r="Z78" i="96"/>
  <c r="Z79" i="96"/>
  <c r="Z94" i="96"/>
  <c r="Z102" i="96"/>
  <c r="Z66" i="96"/>
  <c r="Z62" i="96"/>
  <c r="Z61" i="96"/>
  <c r="Z69" i="96"/>
  <c r="Z64" i="96"/>
  <c r="Z59" i="96"/>
  <c r="Z67" i="96"/>
  <c r="Z77" i="96"/>
  <c r="Z80" i="96"/>
  <c r="Z92" i="96"/>
  <c r="Z100" i="96"/>
  <c r="Z103" i="96"/>
  <c r="V55" i="96"/>
  <c r="Z68" i="96"/>
  <c r="Z27" i="96"/>
  <c r="Z42" i="96"/>
  <c r="Z45" i="96"/>
  <c r="Z82" i="96"/>
  <c r="Z98" i="96"/>
  <c r="V7" i="108"/>
  <c r="N107" i="96"/>
  <c r="N109" i="96" s="1"/>
  <c r="Z97" i="96"/>
  <c r="Z101" i="96"/>
  <c r="R107" i="96"/>
  <c r="R109" i="96" s="1"/>
  <c r="Z25" i="96"/>
  <c r="Z43" i="96"/>
  <c r="V72" i="96"/>
  <c r="Z63" i="96"/>
  <c r="Z96" i="96"/>
  <c r="Z104" i="96"/>
  <c r="Z40" i="96"/>
  <c r="L55" i="96"/>
  <c r="Z44" i="96"/>
  <c r="AB67" i="96"/>
  <c r="Z70" i="96"/>
  <c r="AA106" i="96"/>
  <c r="Z35" i="96"/>
  <c r="AA37" i="96"/>
  <c r="Z28" i="96"/>
  <c r="Z32" i="96"/>
  <c r="Z30" i="96"/>
  <c r="Z26" i="96"/>
  <c r="AA23" i="96"/>
  <c r="I107" i="96"/>
  <c r="I109" i="96" s="1"/>
  <c r="J107" i="96"/>
  <c r="J109" i="96" s="1"/>
  <c r="V9" i="108"/>
  <c r="V23" i="100"/>
  <c r="AA89" i="100"/>
  <c r="AB91" i="100"/>
  <c r="AA37" i="100"/>
  <c r="V37" i="100"/>
  <c r="V10" i="108"/>
  <c r="X107" i="100"/>
  <c r="X109" i="100" s="1"/>
  <c r="V12" i="108"/>
  <c r="AA23" i="100"/>
  <c r="E107" i="100"/>
  <c r="E109" i="100" s="1"/>
  <c r="M107" i="100"/>
  <c r="M109" i="100" s="1"/>
  <c r="U107" i="100"/>
  <c r="U109" i="100" s="1"/>
  <c r="V11" i="108"/>
  <c r="Z88" i="101"/>
  <c r="Z78" i="101"/>
  <c r="Z86" i="101"/>
  <c r="Z104" i="101"/>
  <c r="Z98" i="101"/>
  <c r="Z101" i="101"/>
  <c r="Z96" i="101"/>
  <c r="Z99" i="101"/>
  <c r="AB91" i="101"/>
  <c r="Z14" i="101"/>
  <c r="Z19" i="101"/>
  <c r="Z6" i="101"/>
  <c r="AB71" i="101"/>
  <c r="Z103" i="101"/>
  <c r="Z93" i="101"/>
  <c r="Z28" i="101"/>
  <c r="Z26" i="101"/>
  <c r="Z32" i="101"/>
  <c r="Z30" i="101"/>
  <c r="V37" i="101"/>
  <c r="V106" i="101"/>
  <c r="AA23" i="101"/>
  <c r="Z20" i="101"/>
  <c r="Z24" i="101"/>
  <c r="AB67" i="101"/>
  <c r="R107" i="101"/>
  <c r="Q107" i="101"/>
  <c r="AA15" i="108"/>
  <c r="AA19" i="108"/>
  <c r="AA34" i="108"/>
  <c r="AA102" i="108"/>
  <c r="V55" i="101"/>
  <c r="Z56" i="101"/>
  <c r="L23" i="101"/>
  <c r="L55" i="101"/>
  <c r="AA89" i="101"/>
  <c r="Z82" i="101"/>
  <c r="Z92" i="101"/>
  <c r="Z102" i="101"/>
  <c r="Z16" i="101"/>
  <c r="Z13" i="101"/>
  <c r="L37" i="101"/>
  <c r="AA72" i="101"/>
  <c r="L72" i="101"/>
  <c r="Z77" i="101"/>
  <c r="Z85" i="101"/>
  <c r="G107" i="101"/>
  <c r="W107" i="101"/>
  <c r="L106" i="102"/>
  <c r="AA103" i="108"/>
  <c r="V23" i="102"/>
  <c r="L89" i="102"/>
  <c r="AA106" i="102"/>
  <c r="V72" i="102"/>
  <c r="AA20" i="108"/>
  <c r="AA35" i="108"/>
  <c r="V37" i="102"/>
  <c r="AA16" i="108"/>
  <c r="V106" i="102"/>
  <c r="AA13" i="108"/>
  <c r="AA17" i="108"/>
  <c r="AA21" i="108"/>
  <c r="AA104" i="108"/>
  <c r="AA14" i="108"/>
  <c r="AA18" i="108"/>
  <c r="AA22" i="108"/>
  <c r="AA33" i="108"/>
  <c r="AA105" i="108"/>
  <c r="Z26" i="103"/>
  <c r="Z100" i="103"/>
  <c r="Z25" i="103"/>
  <c r="Z34" i="103"/>
  <c r="AB71" i="103"/>
  <c r="Z105" i="103"/>
  <c r="Z98" i="103"/>
  <c r="V37" i="103"/>
  <c r="V36" i="108"/>
  <c r="Z30" i="103"/>
  <c r="Z69" i="103"/>
  <c r="Z95" i="103"/>
  <c r="Z31" i="103"/>
  <c r="Z28" i="103"/>
  <c r="Z36" i="103"/>
  <c r="Z67" i="103"/>
  <c r="V106" i="103"/>
  <c r="Z103" i="103"/>
  <c r="Z63" i="103"/>
  <c r="AA55" i="103"/>
  <c r="Z35" i="103"/>
  <c r="Z27" i="103"/>
  <c r="Z29" i="103"/>
  <c r="L23" i="103"/>
  <c r="AA23" i="103"/>
  <c r="C107" i="103"/>
  <c r="C109" i="103" s="1"/>
  <c r="K107" i="103"/>
  <c r="K109" i="103" s="1"/>
  <c r="AA37" i="103"/>
  <c r="Z58" i="103"/>
  <c r="Z61" i="103"/>
  <c r="Z66" i="103"/>
  <c r="AA106" i="103"/>
  <c r="Z93" i="103"/>
  <c r="Z62" i="103"/>
  <c r="AB67" i="103"/>
  <c r="Z101" i="103"/>
  <c r="Z64" i="103"/>
  <c r="Z71" i="103"/>
  <c r="V89" i="103"/>
  <c r="V23" i="103"/>
  <c r="L37" i="103"/>
  <c r="Z60" i="103"/>
  <c r="Z65" i="103"/>
  <c r="Z74" i="103"/>
  <c r="Z82" i="103"/>
  <c r="Z97" i="103"/>
  <c r="Z34" i="107"/>
  <c r="C23" i="108"/>
  <c r="H107" i="109"/>
  <c r="H109" i="109" s="1"/>
  <c r="S107" i="109"/>
  <c r="S109" i="109" s="1"/>
  <c r="T107" i="109"/>
  <c r="T109" i="109" s="1"/>
  <c r="D107" i="109"/>
  <c r="D109" i="109" s="1"/>
  <c r="M107" i="109"/>
  <c r="M109" i="109" s="1"/>
  <c r="U107" i="109"/>
  <c r="U109" i="109" s="1"/>
  <c r="I107" i="109"/>
  <c r="I109" i="109" s="1"/>
  <c r="E107" i="109"/>
  <c r="E109" i="109" s="1"/>
  <c r="N107" i="109"/>
  <c r="N109" i="109" s="1"/>
  <c r="K107" i="109"/>
  <c r="K109" i="109" s="1"/>
  <c r="F107" i="109"/>
  <c r="F109" i="109" s="1"/>
  <c r="O107" i="109"/>
  <c r="O109" i="109" s="1"/>
  <c r="Q107" i="109"/>
  <c r="Q109" i="109" s="1"/>
  <c r="R107" i="109"/>
  <c r="R109" i="109" s="1"/>
  <c r="J107" i="109"/>
  <c r="J109" i="109" s="1"/>
  <c r="C107" i="109"/>
  <c r="C109" i="109" s="1"/>
  <c r="G107" i="109"/>
  <c r="G109" i="109" s="1"/>
  <c r="P107" i="109"/>
  <c r="P109" i="109" s="1"/>
  <c r="X107" i="109"/>
  <c r="X109" i="109" s="1"/>
  <c r="I107" i="99"/>
  <c r="K107" i="99"/>
  <c r="T107" i="99"/>
  <c r="N107" i="99"/>
  <c r="F107" i="99"/>
  <c r="S107" i="99"/>
  <c r="R107" i="99"/>
  <c r="N107" i="98"/>
  <c r="E107" i="98"/>
  <c r="K107" i="98"/>
  <c r="F107" i="98"/>
  <c r="G107" i="98"/>
  <c r="F107" i="97"/>
  <c r="O107" i="97"/>
  <c r="I107" i="97"/>
  <c r="J107" i="97"/>
  <c r="S107" i="97"/>
  <c r="H107" i="97"/>
  <c r="U107" i="96"/>
  <c r="U109" i="96" s="1"/>
  <c r="E107" i="96"/>
  <c r="E109" i="96" s="1"/>
  <c r="S107" i="96"/>
  <c r="S109" i="96" s="1"/>
  <c r="K107" i="96"/>
  <c r="K109" i="96" s="1"/>
  <c r="G107" i="100"/>
  <c r="G109" i="100" s="1"/>
  <c r="P107" i="100"/>
  <c r="P109" i="100" s="1"/>
  <c r="W107" i="100"/>
  <c r="W109" i="100" s="1"/>
  <c r="J107" i="101"/>
  <c r="O107" i="101"/>
  <c r="I107" i="101"/>
  <c r="S107" i="101"/>
  <c r="C107" i="101"/>
  <c r="F107" i="102"/>
  <c r="F109" i="102" s="1"/>
  <c r="N107" i="102"/>
  <c r="N109" i="102" s="1"/>
  <c r="W107" i="102"/>
  <c r="W109" i="102" s="1"/>
  <c r="S107" i="102"/>
  <c r="S109" i="102" s="1"/>
  <c r="G107" i="102"/>
  <c r="G109" i="102" s="1"/>
  <c r="O107" i="102"/>
  <c r="O109" i="102" s="1"/>
  <c r="X107" i="102"/>
  <c r="X109" i="102" s="1"/>
  <c r="E107" i="102"/>
  <c r="E109" i="102" s="1"/>
  <c r="C107" i="102"/>
  <c r="C109" i="102" s="1"/>
  <c r="K107" i="102"/>
  <c r="K109" i="102" s="1"/>
  <c r="I107" i="102"/>
  <c r="I109" i="102" s="1"/>
  <c r="S107" i="103"/>
  <c r="S109" i="103" s="1"/>
  <c r="F107" i="103"/>
  <c r="F109" i="103" s="1"/>
  <c r="D107" i="103"/>
  <c r="D109" i="103" s="1"/>
  <c r="M107" i="103"/>
  <c r="M109" i="103" s="1"/>
  <c r="U107" i="103"/>
  <c r="U109" i="103" s="1"/>
  <c r="E107" i="103"/>
  <c r="E109" i="103" s="1"/>
  <c r="N107" i="103"/>
  <c r="N109" i="103" s="1"/>
  <c r="V103" i="108"/>
  <c r="V105" i="108"/>
  <c r="V104" i="108"/>
  <c r="V102" i="108"/>
  <c r="K107" i="107"/>
  <c r="K109" i="107" s="1"/>
  <c r="C107" i="107"/>
  <c r="C109" i="107" s="1"/>
  <c r="L72" i="107"/>
  <c r="Z89" i="107"/>
  <c r="L104" i="108"/>
  <c r="Z72" i="107"/>
  <c r="L105" i="108"/>
  <c r="L106" i="107"/>
  <c r="L102" i="108"/>
  <c r="AB56" i="107"/>
  <c r="L103" i="108"/>
  <c r="S107" i="107"/>
  <c r="S109" i="107" s="1"/>
  <c r="V23" i="107"/>
  <c r="F107" i="107"/>
  <c r="F109" i="107" s="1"/>
  <c r="AB67" i="107"/>
  <c r="D107" i="107"/>
  <c r="D109" i="107" s="1"/>
  <c r="T107" i="107"/>
  <c r="T109" i="107" s="1"/>
  <c r="E107" i="107"/>
  <c r="E109" i="107" s="1"/>
  <c r="U107" i="107"/>
  <c r="U109" i="107" s="1"/>
  <c r="X107" i="106"/>
  <c r="X109" i="106" s="1"/>
  <c r="L72" i="109"/>
  <c r="L89" i="109"/>
  <c r="L37" i="109"/>
  <c r="W107" i="109"/>
  <c r="W109" i="109" s="1"/>
  <c r="AB67" i="109"/>
  <c r="AB71" i="109"/>
  <c r="V72" i="109"/>
  <c r="V37" i="99"/>
  <c r="AA106" i="101"/>
  <c r="AA55" i="99"/>
  <c r="V55" i="99"/>
  <c r="D107" i="99"/>
  <c r="Z32" i="98"/>
  <c r="AB67" i="98"/>
  <c r="AB91" i="98"/>
  <c r="Z91" i="98"/>
  <c r="L106" i="98"/>
  <c r="L72" i="97"/>
  <c r="AB56" i="97"/>
  <c r="L23" i="99"/>
  <c r="O107" i="99"/>
  <c r="X107" i="98"/>
  <c r="L89" i="97"/>
  <c r="W107" i="97"/>
  <c r="L23" i="96"/>
  <c r="V89" i="96"/>
  <c r="Z74" i="96"/>
  <c r="V72" i="100"/>
  <c r="L89" i="99"/>
  <c r="W107" i="99"/>
  <c r="AA23" i="97"/>
  <c r="V72" i="97"/>
  <c r="M107" i="102"/>
  <c r="M109" i="102" s="1"/>
  <c r="L72" i="99"/>
  <c r="AB56" i="99"/>
  <c r="L106" i="99"/>
  <c r="X107" i="99"/>
  <c r="R107" i="98"/>
  <c r="N107" i="97"/>
  <c r="G107" i="97"/>
  <c r="P107" i="97"/>
  <c r="Z38" i="96"/>
  <c r="L37" i="102"/>
  <c r="L55" i="99"/>
  <c r="C107" i="99"/>
  <c r="V37" i="97"/>
  <c r="Z35" i="97"/>
  <c r="AA89" i="96"/>
  <c r="V72" i="99"/>
  <c r="H107" i="99"/>
  <c r="Q107" i="99"/>
  <c r="Z34" i="98"/>
  <c r="AA55" i="98"/>
  <c r="Z74" i="98"/>
  <c r="J107" i="98"/>
  <c r="Z80" i="97"/>
  <c r="AA106" i="97"/>
  <c r="Z97" i="97"/>
  <c r="Z105" i="97"/>
  <c r="L37" i="100"/>
  <c r="L55" i="100"/>
  <c r="AA37" i="98"/>
  <c r="V37" i="96"/>
  <c r="Z24" i="96"/>
  <c r="AB71" i="96"/>
  <c r="Z71" i="96"/>
  <c r="L23" i="98"/>
  <c r="AB91" i="96"/>
  <c r="Z91" i="96"/>
  <c r="H107" i="98"/>
  <c r="V55" i="100"/>
  <c r="U107" i="102"/>
  <c r="U109" i="102" s="1"/>
  <c r="Z80" i="98"/>
  <c r="Z88" i="98"/>
  <c r="AA55" i="97"/>
  <c r="V106" i="96"/>
  <c r="Z93" i="96"/>
  <c r="Z58" i="98"/>
  <c r="Z82" i="98"/>
  <c r="V89" i="98"/>
  <c r="Z94" i="98"/>
  <c r="Z102" i="98"/>
  <c r="O107" i="98"/>
  <c r="V23" i="97"/>
  <c r="AA72" i="97"/>
  <c r="AB71" i="97"/>
  <c r="Z99" i="97"/>
  <c r="X107" i="97"/>
  <c r="Z29" i="96"/>
  <c r="AA72" i="96"/>
  <c r="Z88" i="96"/>
  <c r="F107" i="96"/>
  <c r="F109" i="96" s="1"/>
  <c r="O107" i="96"/>
  <c r="O109" i="96" s="1"/>
  <c r="X107" i="96"/>
  <c r="X109" i="96" s="1"/>
  <c r="V89" i="100"/>
  <c r="H107" i="100"/>
  <c r="H109" i="100" s="1"/>
  <c r="Z21" i="101"/>
  <c r="V89" i="102"/>
  <c r="V37" i="98"/>
  <c r="Z31" i="98"/>
  <c r="C107" i="97"/>
  <c r="V23" i="96"/>
  <c r="L37" i="96"/>
  <c r="AA55" i="96"/>
  <c r="L72" i="98"/>
  <c r="D107" i="98"/>
  <c r="T107" i="98"/>
  <c r="E107" i="97"/>
  <c r="Z81" i="97"/>
  <c r="V106" i="97"/>
  <c r="W107" i="96"/>
  <c r="W109" i="96" s="1"/>
  <c r="L23" i="100"/>
  <c r="L72" i="100"/>
  <c r="AB56" i="100"/>
  <c r="Z11" i="101"/>
  <c r="H107" i="103"/>
  <c r="H109" i="103" s="1"/>
  <c r="Q107" i="103"/>
  <c r="Q109" i="103" s="1"/>
  <c r="E107" i="99"/>
  <c r="M107" i="99"/>
  <c r="U107" i="99"/>
  <c r="Z27" i="98"/>
  <c r="Z76" i="98"/>
  <c r="Z84" i="98"/>
  <c r="AA106" i="98"/>
  <c r="Z96" i="98"/>
  <c r="Z104" i="98"/>
  <c r="K107" i="97"/>
  <c r="Z93" i="97"/>
  <c r="Z101" i="97"/>
  <c r="D107" i="97"/>
  <c r="M107" i="97"/>
  <c r="U107" i="97"/>
  <c r="Z31" i="96"/>
  <c r="L72" i="96"/>
  <c r="AB56" i="96"/>
  <c r="Z56" i="96"/>
  <c r="M107" i="96"/>
  <c r="M109" i="96" s="1"/>
  <c r="O107" i="100"/>
  <c r="O109" i="100" s="1"/>
  <c r="Z9" i="101"/>
  <c r="V55" i="103"/>
  <c r="Z75" i="103"/>
  <c r="Z83" i="103"/>
  <c r="Z60" i="98"/>
  <c r="Z85" i="97"/>
  <c r="Z81" i="96"/>
  <c r="Z86" i="96"/>
  <c r="L106" i="96"/>
  <c r="Z90" i="96"/>
  <c r="C107" i="96"/>
  <c r="C109" i="96" s="1"/>
  <c r="T107" i="96"/>
  <c r="T109" i="96" s="1"/>
  <c r="AB67" i="100"/>
  <c r="AB71" i="100"/>
  <c r="V106" i="100"/>
  <c r="D107" i="100"/>
  <c r="D109" i="100" s="1"/>
  <c r="K107" i="101"/>
  <c r="H107" i="101"/>
  <c r="AA37" i="102"/>
  <c r="D107" i="102"/>
  <c r="D109" i="102" s="1"/>
  <c r="T107" i="102"/>
  <c r="T109" i="102" s="1"/>
  <c r="Z56" i="103"/>
  <c r="L72" i="103"/>
  <c r="L106" i="103"/>
  <c r="O107" i="103"/>
  <c r="O109" i="103" s="1"/>
  <c r="W107" i="103"/>
  <c r="W109" i="103" s="1"/>
  <c r="L55" i="97"/>
  <c r="Z77" i="97"/>
  <c r="R107" i="97"/>
  <c r="G107" i="96"/>
  <c r="G109" i="96" s="1"/>
  <c r="P107" i="96"/>
  <c r="P109" i="96" s="1"/>
  <c r="Q107" i="100"/>
  <c r="Q109" i="100" s="1"/>
  <c r="D107" i="101"/>
  <c r="M107" i="101"/>
  <c r="U107" i="101"/>
  <c r="AA72" i="102"/>
  <c r="AA89" i="102"/>
  <c r="V72" i="103"/>
  <c r="G107" i="103"/>
  <c r="G109" i="103" s="1"/>
  <c r="Z73" i="96"/>
  <c r="L89" i="96"/>
  <c r="H107" i="96"/>
  <c r="H109" i="96" s="1"/>
  <c r="Q107" i="96"/>
  <c r="Q109" i="96" s="1"/>
  <c r="AA72" i="100"/>
  <c r="I107" i="100"/>
  <c r="I109" i="100" s="1"/>
  <c r="R107" i="100"/>
  <c r="R109" i="100" s="1"/>
  <c r="AA55" i="102"/>
  <c r="Q107" i="102"/>
  <c r="Q109" i="102" s="1"/>
  <c r="Z64" i="98"/>
  <c r="Z73" i="97"/>
  <c r="L106" i="97"/>
  <c r="Z90" i="97"/>
  <c r="Z83" i="96"/>
  <c r="L89" i="100"/>
  <c r="J107" i="100"/>
  <c r="J109" i="100" s="1"/>
  <c r="S107" i="100"/>
  <c r="S109" i="100" s="1"/>
  <c r="AA89" i="103"/>
  <c r="Z75" i="96"/>
  <c r="L106" i="100"/>
  <c r="C107" i="100"/>
  <c r="C109" i="100" s="1"/>
  <c r="K107" i="100"/>
  <c r="K109" i="100" s="1"/>
  <c r="T107" i="100"/>
  <c r="T109" i="100" s="1"/>
  <c r="AA55" i="101"/>
  <c r="V72" i="101"/>
  <c r="Z75" i="101"/>
  <c r="Z83" i="101"/>
  <c r="L106" i="101"/>
  <c r="Z90" i="101"/>
  <c r="T107" i="101"/>
  <c r="H107" i="102"/>
  <c r="H109" i="102" s="1"/>
  <c r="P107" i="102"/>
  <c r="P109" i="102" s="1"/>
  <c r="AA72" i="103"/>
  <c r="Z76" i="103"/>
  <c r="Z84" i="103"/>
  <c r="L89" i="103"/>
  <c r="AB91" i="103"/>
  <c r="Z91" i="103"/>
  <c r="P107" i="103"/>
  <c r="P109" i="103" s="1"/>
  <c r="X107" i="103"/>
  <c r="X109" i="103" s="1"/>
  <c r="Z87" i="96"/>
  <c r="D107" i="96"/>
  <c r="D109" i="96" s="1"/>
  <c r="N107" i="100"/>
  <c r="N109" i="100" s="1"/>
  <c r="V23" i="101"/>
  <c r="E107" i="101"/>
  <c r="N107" i="101"/>
  <c r="L23" i="102"/>
  <c r="J107" i="102"/>
  <c r="J109" i="102" s="1"/>
  <c r="R107" i="102"/>
  <c r="R109" i="102" s="1"/>
  <c r="I107" i="103"/>
  <c r="I109" i="103" s="1"/>
  <c r="R107" i="103"/>
  <c r="R109" i="103" s="1"/>
  <c r="Z85" i="96"/>
  <c r="AA106" i="100"/>
  <c r="F107" i="100"/>
  <c r="F109" i="100" s="1"/>
  <c r="V89" i="101"/>
  <c r="Z76" i="101"/>
  <c r="Z84" i="101"/>
  <c r="L89" i="101"/>
  <c r="Z91" i="101"/>
  <c r="F107" i="101"/>
  <c r="X107" i="101"/>
  <c r="L55" i="102"/>
  <c r="Z59" i="103"/>
  <c r="Z77" i="103"/>
  <c r="Z85" i="103"/>
  <c r="J107" i="103"/>
  <c r="J109" i="103" s="1"/>
  <c r="AA55" i="100"/>
  <c r="Z79" i="101"/>
  <c r="Z87" i="101"/>
  <c r="P107" i="101"/>
  <c r="AA23" i="102"/>
  <c r="V55" i="102"/>
  <c r="L55" i="103"/>
  <c r="Z80" i="103"/>
  <c r="Z88" i="103"/>
  <c r="T107" i="103"/>
  <c r="T109" i="103" s="1"/>
  <c r="Z90" i="103"/>
  <c r="L37" i="107"/>
  <c r="V106" i="107"/>
  <c r="L23" i="107"/>
  <c r="L89" i="107"/>
  <c r="G107" i="107"/>
  <c r="G109" i="107" s="1"/>
  <c r="O107" i="107"/>
  <c r="O109" i="107" s="1"/>
  <c r="W107" i="107"/>
  <c r="W109" i="107" s="1"/>
  <c r="M107" i="107"/>
  <c r="M109" i="107" s="1"/>
  <c r="V37" i="107"/>
  <c r="AB91" i="107"/>
  <c r="H107" i="107"/>
  <c r="H109" i="107" s="1"/>
  <c r="P107" i="107"/>
  <c r="P109" i="107" s="1"/>
  <c r="N107" i="107"/>
  <c r="N109" i="107" s="1"/>
  <c r="I107" i="107"/>
  <c r="I109" i="107" s="1"/>
  <c r="L55" i="107"/>
  <c r="J107" i="107"/>
  <c r="J109" i="107" s="1"/>
  <c r="R107" i="107"/>
  <c r="R109" i="107" s="1"/>
  <c r="AB71" i="107"/>
  <c r="Q107" i="107"/>
  <c r="Q109" i="107" s="1"/>
  <c r="V55" i="107"/>
  <c r="V72" i="107"/>
  <c r="W106" i="106"/>
  <c r="W106" i="108" s="1"/>
  <c r="U106" i="106"/>
  <c r="U106" i="108" s="1"/>
  <c r="T106" i="106"/>
  <c r="T106" i="108" s="1"/>
  <c r="S106" i="106"/>
  <c r="S106" i="108" s="1"/>
  <c r="R106" i="106"/>
  <c r="R106" i="108" s="1"/>
  <c r="Q106" i="106"/>
  <c r="Q106" i="108" s="1"/>
  <c r="P106" i="106"/>
  <c r="P106" i="108" s="1"/>
  <c r="O106" i="106"/>
  <c r="O106" i="108" s="1"/>
  <c r="N106" i="106"/>
  <c r="N106" i="108" s="1"/>
  <c r="M106" i="106"/>
  <c r="M106" i="108" s="1"/>
  <c r="K106" i="106"/>
  <c r="K106" i="108" s="1"/>
  <c r="J106" i="106"/>
  <c r="J106" i="108" s="1"/>
  <c r="I106" i="106"/>
  <c r="I106" i="108" s="1"/>
  <c r="H106" i="106"/>
  <c r="H106" i="108" s="1"/>
  <c r="G106" i="106"/>
  <c r="G106" i="108" s="1"/>
  <c r="F106" i="106"/>
  <c r="F106" i="108" s="1"/>
  <c r="E106" i="106"/>
  <c r="E106" i="108" s="1"/>
  <c r="D106" i="106"/>
  <c r="D106" i="108" s="1"/>
  <c r="C106" i="106"/>
  <c r="C106" i="108" s="1"/>
  <c r="AA101" i="106"/>
  <c r="AA101" i="108" s="1"/>
  <c r="V101" i="108"/>
  <c r="L101" i="106"/>
  <c r="AA100" i="106"/>
  <c r="AA100" i="108" s="1"/>
  <c r="V100" i="108"/>
  <c r="L100" i="106"/>
  <c r="Z100" i="106" s="1"/>
  <c r="AA99" i="106"/>
  <c r="AA99" i="108" s="1"/>
  <c r="V99" i="108"/>
  <c r="L99" i="106"/>
  <c r="AA98" i="106"/>
  <c r="AA98" i="108" s="1"/>
  <c r="V98" i="108"/>
  <c r="L98" i="106"/>
  <c r="AA97" i="106"/>
  <c r="AA97" i="108" s="1"/>
  <c r="V97" i="108"/>
  <c r="L97" i="106"/>
  <c r="AA96" i="106"/>
  <c r="AA96" i="108" s="1"/>
  <c r="V96" i="108"/>
  <c r="L96" i="106"/>
  <c r="AA95" i="106"/>
  <c r="AA95" i="108" s="1"/>
  <c r="V95" i="108"/>
  <c r="L95" i="106"/>
  <c r="AA94" i="106"/>
  <c r="AA94" i="108" s="1"/>
  <c r="V94" i="108"/>
  <c r="L94" i="106"/>
  <c r="Z94" i="106" s="1"/>
  <c r="AA93" i="106"/>
  <c r="AA93" i="108" s="1"/>
  <c r="V93" i="108"/>
  <c r="L93" i="106"/>
  <c r="AA92" i="106"/>
  <c r="AA92" i="108" s="1"/>
  <c r="V92" i="108"/>
  <c r="L92" i="106"/>
  <c r="AA91" i="106"/>
  <c r="AA91" i="108" s="1"/>
  <c r="V91" i="108"/>
  <c r="L91" i="106"/>
  <c r="AA90" i="106"/>
  <c r="AA90" i="108" s="1"/>
  <c r="V90" i="108"/>
  <c r="L90" i="106"/>
  <c r="W89" i="106"/>
  <c r="W89" i="108" s="1"/>
  <c r="U89" i="106"/>
  <c r="U89" i="108" s="1"/>
  <c r="T89" i="106"/>
  <c r="T89" i="108" s="1"/>
  <c r="S89" i="106"/>
  <c r="S89" i="108" s="1"/>
  <c r="R89" i="106"/>
  <c r="R89" i="108" s="1"/>
  <c r="Q89" i="106"/>
  <c r="Q89" i="108" s="1"/>
  <c r="P89" i="106"/>
  <c r="P89" i="108" s="1"/>
  <c r="O89" i="106"/>
  <c r="O89" i="108" s="1"/>
  <c r="N89" i="106"/>
  <c r="N89" i="108" s="1"/>
  <c r="M89" i="106"/>
  <c r="M89" i="108" s="1"/>
  <c r="K89" i="106"/>
  <c r="K89" i="108" s="1"/>
  <c r="J89" i="106"/>
  <c r="J89" i="108" s="1"/>
  <c r="I89" i="106"/>
  <c r="I89" i="108" s="1"/>
  <c r="H89" i="106"/>
  <c r="H89" i="108" s="1"/>
  <c r="G89" i="106"/>
  <c r="G89" i="108" s="1"/>
  <c r="F89" i="106"/>
  <c r="F89" i="108" s="1"/>
  <c r="E89" i="106"/>
  <c r="E89" i="108" s="1"/>
  <c r="D89" i="106"/>
  <c r="D89" i="108" s="1"/>
  <c r="C89" i="106"/>
  <c r="C89" i="108" s="1"/>
  <c r="AA88" i="106"/>
  <c r="AA88" i="108" s="1"/>
  <c r="V88" i="108"/>
  <c r="L88" i="106"/>
  <c r="AA87" i="106"/>
  <c r="AA87" i="108" s="1"/>
  <c r="V87" i="108"/>
  <c r="L87" i="106"/>
  <c r="AA86" i="106"/>
  <c r="AA86" i="108" s="1"/>
  <c r="V86" i="108"/>
  <c r="L86" i="106"/>
  <c r="Z86" i="106" s="1"/>
  <c r="AA85" i="106"/>
  <c r="AA85" i="108" s="1"/>
  <c r="V85" i="108"/>
  <c r="L85" i="106"/>
  <c r="AA84" i="106"/>
  <c r="AA84" i="108" s="1"/>
  <c r="V84" i="108"/>
  <c r="L84" i="106"/>
  <c r="AA83" i="106"/>
  <c r="AA83" i="108" s="1"/>
  <c r="V83" i="108"/>
  <c r="L83" i="106"/>
  <c r="AA82" i="106"/>
  <c r="AA82" i="108" s="1"/>
  <c r="V82" i="108"/>
  <c r="L82" i="106"/>
  <c r="AA81" i="106"/>
  <c r="AA81" i="108" s="1"/>
  <c r="V81" i="108"/>
  <c r="L81" i="106"/>
  <c r="AA80" i="106"/>
  <c r="AA80" i="108" s="1"/>
  <c r="V80" i="108"/>
  <c r="L80" i="106"/>
  <c r="AA79" i="106"/>
  <c r="AA79" i="108" s="1"/>
  <c r="V79" i="108"/>
  <c r="L79" i="106"/>
  <c r="AA78" i="106"/>
  <c r="AA78" i="108" s="1"/>
  <c r="V78" i="108"/>
  <c r="L78" i="106"/>
  <c r="Z78" i="106" s="1"/>
  <c r="AA77" i="106"/>
  <c r="AA77" i="108" s="1"/>
  <c r="V77" i="108"/>
  <c r="L77" i="106"/>
  <c r="AA76" i="106"/>
  <c r="AA76" i="108" s="1"/>
  <c r="V76" i="108"/>
  <c r="L76" i="106"/>
  <c r="AA75" i="106"/>
  <c r="AA75" i="108" s="1"/>
  <c r="V75" i="108"/>
  <c r="L75" i="106"/>
  <c r="AA74" i="106"/>
  <c r="AA74" i="108" s="1"/>
  <c r="V74" i="108"/>
  <c r="L74" i="106"/>
  <c r="AA73" i="106"/>
  <c r="AA73" i="108" s="1"/>
  <c r="V73" i="108"/>
  <c r="L73" i="106"/>
  <c r="W72" i="106"/>
  <c r="W72" i="108" s="1"/>
  <c r="U72" i="106"/>
  <c r="U72" i="108" s="1"/>
  <c r="T72" i="106"/>
  <c r="T72" i="108" s="1"/>
  <c r="S72" i="106"/>
  <c r="S72" i="108" s="1"/>
  <c r="R72" i="106"/>
  <c r="R72" i="108" s="1"/>
  <c r="Q72" i="106"/>
  <c r="Q72" i="108" s="1"/>
  <c r="P72" i="106"/>
  <c r="P72" i="108" s="1"/>
  <c r="O72" i="106"/>
  <c r="O72" i="108" s="1"/>
  <c r="N72" i="106"/>
  <c r="N72" i="108" s="1"/>
  <c r="M72" i="106"/>
  <c r="M72" i="108" s="1"/>
  <c r="K72" i="106"/>
  <c r="K72" i="108" s="1"/>
  <c r="J72" i="106"/>
  <c r="J72" i="108" s="1"/>
  <c r="I72" i="106"/>
  <c r="I72" i="108" s="1"/>
  <c r="H72" i="106"/>
  <c r="H72" i="108" s="1"/>
  <c r="G72" i="106"/>
  <c r="G72" i="108" s="1"/>
  <c r="F72" i="106"/>
  <c r="F72" i="108" s="1"/>
  <c r="E72" i="106"/>
  <c r="E72" i="108" s="1"/>
  <c r="D72" i="106"/>
  <c r="D72" i="108" s="1"/>
  <c r="C72" i="106"/>
  <c r="C72" i="108" s="1"/>
  <c r="AA71" i="106"/>
  <c r="AA71" i="108" s="1"/>
  <c r="V71" i="108"/>
  <c r="L71" i="106"/>
  <c r="AA70" i="106"/>
  <c r="AA70" i="108" s="1"/>
  <c r="V70" i="108"/>
  <c r="Z70" i="106"/>
  <c r="AA69" i="106"/>
  <c r="AA69" i="108" s="1"/>
  <c r="V69" i="108"/>
  <c r="AA68" i="106"/>
  <c r="AA68" i="108" s="1"/>
  <c r="V68" i="108"/>
  <c r="Z68" i="106"/>
  <c r="AA67" i="106"/>
  <c r="AA67" i="108" s="1"/>
  <c r="V67" i="108"/>
  <c r="AA66" i="106"/>
  <c r="AA66" i="108" s="1"/>
  <c r="V66" i="108"/>
  <c r="Z66" i="106"/>
  <c r="AA65" i="106"/>
  <c r="AA65" i="108" s="1"/>
  <c r="V65" i="108"/>
  <c r="AA64" i="106"/>
  <c r="AA64" i="108" s="1"/>
  <c r="V64" i="108"/>
  <c r="Z64" i="106"/>
  <c r="AA63" i="106"/>
  <c r="AA63" i="108" s="1"/>
  <c r="V63" i="108"/>
  <c r="AA62" i="106"/>
  <c r="AA62" i="108" s="1"/>
  <c r="V62" i="108"/>
  <c r="AA61" i="106"/>
  <c r="AA61" i="108" s="1"/>
  <c r="V61" i="108"/>
  <c r="AA60" i="106"/>
  <c r="AA60" i="108" s="1"/>
  <c r="V60" i="108"/>
  <c r="Z60" i="106"/>
  <c r="AA59" i="106"/>
  <c r="AA59" i="108" s="1"/>
  <c r="V59" i="108"/>
  <c r="AA58" i="106"/>
  <c r="AA58" i="108" s="1"/>
  <c r="V58" i="108"/>
  <c r="Z58" i="106"/>
  <c r="AA57" i="106"/>
  <c r="AA57" i="108" s="1"/>
  <c r="V57" i="108"/>
  <c r="AA56" i="106"/>
  <c r="AA56" i="108" s="1"/>
  <c r="V56" i="108"/>
  <c r="L56" i="106"/>
  <c r="W55" i="106"/>
  <c r="W55" i="108" s="1"/>
  <c r="U55" i="106"/>
  <c r="U55" i="108" s="1"/>
  <c r="T55" i="106"/>
  <c r="T55" i="108" s="1"/>
  <c r="S55" i="106"/>
  <c r="S55" i="108" s="1"/>
  <c r="R55" i="106"/>
  <c r="R55" i="108" s="1"/>
  <c r="Q55" i="106"/>
  <c r="Q55" i="108" s="1"/>
  <c r="P55" i="106"/>
  <c r="P55" i="108" s="1"/>
  <c r="O55" i="106"/>
  <c r="O55" i="108" s="1"/>
  <c r="N55" i="106"/>
  <c r="N55" i="108" s="1"/>
  <c r="M55" i="106"/>
  <c r="M55" i="108" s="1"/>
  <c r="K55" i="106"/>
  <c r="K55" i="108" s="1"/>
  <c r="J55" i="106"/>
  <c r="J55" i="108" s="1"/>
  <c r="I55" i="106"/>
  <c r="I55" i="108" s="1"/>
  <c r="H55" i="106"/>
  <c r="H55" i="108" s="1"/>
  <c r="G55" i="106"/>
  <c r="G55" i="108" s="1"/>
  <c r="F55" i="106"/>
  <c r="F55" i="108" s="1"/>
  <c r="E55" i="106"/>
  <c r="E55" i="108" s="1"/>
  <c r="D55" i="106"/>
  <c r="D55" i="108" s="1"/>
  <c r="C55" i="106"/>
  <c r="C55" i="108" s="1"/>
  <c r="AA54" i="106"/>
  <c r="AA54" i="108" s="1"/>
  <c r="V54" i="108"/>
  <c r="AA53" i="106"/>
  <c r="AA53" i="108" s="1"/>
  <c r="V53" i="108"/>
  <c r="AA52" i="106"/>
  <c r="AA52" i="108" s="1"/>
  <c r="V52" i="108"/>
  <c r="Z52" i="106"/>
  <c r="AA51" i="106"/>
  <c r="AA51" i="108" s="1"/>
  <c r="V51" i="108"/>
  <c r="AA50" i="106"/>
  <c r="AA50" i="108" s="1"/>
  <c r="V50" i="108"/>
  <c r="AA49" i="106"/>
  <c r="AA49" i="108" s="1"/>
  <c r="V49" i="108"/>
  <c r="AA48" i="106"/>
  <c r="AA48" i="108" s="1"/>
  <c r="Z48" i="106"/>
  <c r="Z48" i="108" s="1"/>
  <c r="AA47" i="106"/>
  <c r="AA47" i="108" s="1"/>
  <c r="V47" i="108"/>
  <c r="Z47" i="106"/>
  <c r="AA46" i="106"/>
  <c r="AA46" i="108" s="1"/>
  <c r="V46" i="108"/>
  <c r="AA45" i="106"/>
  <c r="AA45" i="108" s="1"/>
  <c r="V45" i="108"/>
  <c r="AA44" i="106"/>
  <c r="AA44" i="108" s="1"/>
  <c r="V44" i="108"/>
  <c r="AA43" i="106"/>
  <c r="AA43" i="108" s="1"/>
  <c r="V43" i="108"/>
  <c r="Z43" i="106"/>
  <c r="AA42" i="106"/>
  <c r="AA42" i="108" s="1"/>
  <c r="V42" i="108"/>
  <c r="AA41" i="106"/>
  <c r="AA41" i="108" s="1"/>
  <c r="V41" i="108"/>
  <c r="Z41" i="106"/>
  <c r="AA40" i="106"/>
  <c r="AA40" i="108" s="1"/>
  <c r="V40" i="108"/>
  <c r="AA39" i="106"/>
  <c r="AA39" i="108" s="1"/>
  <c r="V39" i="108"/>
  <c r="Z39" i="106"/>
  <c r="AA38" i="106"/>
  <c r="AA38" i="108" s="1"/>
  <c r="V38" i="108"/>
  <c r="W37" i="106"/>
  <c r="W37" i="108" s="1"/>
  <c r="U37" i="106"/>
  <c r="U37" i="108" s="1"/>
  <c r="T37" i="106"/>
  <c r="T37" i="108" s="1"/>
  <c r="S37" i="106"/>
  <c r="S37" i="108" s="1"/>
  <c r="R37" i="106"/>
  <c r="R37" i="108" s="1"/>
  <c r="Q37" i="106"/>
  <c r="Q37" i="108" s="1"/>
  <c r="P37" i="106"/>
  <c r="P37" i="108" s="1"/>
  <c r="O37" i="106"/>
  <c r="O37" i="108" s="1"/>
  <c r="N37" i="106"/>
  <c r="N37" i="108" s="1"/>
  <c r="M37" i="106"/>
  <c r="M37" i="108" s="1"/>
  <c r="K37" i="106"/>
  <c r="K37" i="108" s="1"/>
  <c r="J37" i="106"/>
  <c r="J37" i="108" s="1"/>
  <c r="I37" i="106"/>
  <c r="I37" i="108" s="1"/>
  <c r="H37" i="106"/>
  <c r="H37" i="108" s="1"/>
  <c r="G37" i="106"/>
  <c r="G37" i="108" s="1"/>
  <c r="F37" i="106"/>
  <c r="F37" i="108" s="1"/>
  <c r="E37" i="106"/>
  <c r="E37" i="108" s="1"/>
  <c r="D37" i="106"/>
  <c r="D37" i="108" s="1"/>
  <c r="C37" i="106"/>
  <c r="C37" i="108" s="1"/>
  <c r="AA36" i="106"/>
  <c r="AA36" i="108" s="1"/>
  <c r="Z35" i="106"/>
  <c r="Z33" i="106"/>
  <c r="Z33" i="108" s="1"/>
  <c r="AA32" i="106"/>
  <c r="AA32" i="108" s="1"/>
  <c r="V32" i="108"/>
  <c r="Z32" i="106"/>
  <c r="AA31" i="106"/>
  <c r="AA31" i="108" s="1"/>
  <c r="V31" i="108"/>
  <c r="AA30" i="106"/>
  <c r="AA30" i="108" s="1"/>
  <c r="V30" i="108"/>
  <c r="Z30" i="106"/>
  <c r="AA29" i="106"/>
  <c r="AA29" i="108" s="1"/>
  <c r="V29" i="108"/>
  <c r="AA28" i="106"/>
  <c r="AA28" i="108" s="1"/>
  <c r="V28" i="108"/>
  <c r="AA27" i="106"/>
  <c r="AA27" i="108" s="1"/>
  <c r="V27" i="108"/>
  <c r="AA26" i="106"/>
  <c r="AA26" i="108" s="1"/>
  <c r="V26" i="108"/>
  <c r="Z26" i="106"/>
  <c r="AA25" i="106"/>
  <c r="AA25" i="108" s="1"/>
  <c r="V25" i="108"/>
  <c r="Z25" i="106"/>
  <c r="AA24" i="106"/>
  <c r="AA24" i="108" s="1"/>
  <c r="V24" i="108"/>
  <c r="W23" i="106"/>
  <c r="W23" i="108" s="1"/>
  <c r="U23" i="106"/>
  <c r="U23" i="108" s="1"/>
  <c r="T23" i="106"/>
  <c r="T23" i="108" s="1"/>
  <c r="S23" i="106"/>
  <c r="R23" i="106"/>
  <c r="R23" i="108" s="1"/>
  <c r="Q23" i="106"/>
  <c r="Q23" i="108" s="1"/>
  <c r="P23" i="106"/>
  <c r="P23" i="108" s="1"/>
  <c r="O23" i="106"/>
  <c r="O23" i="108" s="1"/>
  <c r="N23" i="106"/>
  <c r="N23" i="108" s="1"/>
  <c r="M23" i="106"/>
  <c r="M23" i="108" s="1"/>
  <c r="K23" i="106"/>
  <c r="K23" i="108" s="1"/>
  <c r="J23" i="106"/>
  <c r="J23" i="108" s="1"/>
  <c r="I23" i="106"/>
  <c r="I23" i="108" s="1"/>
  <c r="H23" i="106"/>
  <c r="H23" i="108" s="1"/>
  <c r="G23" i="106"/>
  <c r="G23" i="108" s="1"/>
  <c r="F23" i="106"/>
  <c r="F23" i="108" s="1"/>
  <c r="E23" i="106"/>
  <c r="E23" i="108" s="1"/>
  <c r="D23" i="106"/>
  <c r="D23" i="108" s="1"/>
  <c r="C23" i="106"/>
  <c r="L22" i="106"/>
  <c r="L21" i="106"/>
  <c r="Z21" i="106" s="1"/>
  <c r="L20" i="106"/>
  <c r="L19" i="106"/>
  <c r="Z19" i="106" s="1"/>
  <c r="L18" i="106"/>
  <c r="L17" i="106"/>
  <c r="Z17" i="106" s="1"/>
  <c r="L16" i="106"/>
  <c r="L15" i="106"/>
  <c r="Z15" i="106" s="1"/>
  <c r="L14" i="106"/>
  <c r="L13" i="106"/>
  <c r="Z13" i="106" s="1"/>
  <c r="AA12" i="106"/>
  <c r="AA12" i="108" s="1"/>
  <c r="L12" i="106"/>
  <c r="AA11" i="106"/>
  <c r="AA11" i="108" s="1"/>
  <c r="L11" i="106"/>
  <c r="Z11" i="106" s="1"/>
  <c r="AA10" i="108"/>
  <c r="L10" i="106"/>
  <c r="Z10" i="106" s="1"/>
  <c r="AA9" i="106"/>
  <c r="AA9" i="108" s="1"/>
  <c r="L9" i="106"/>
  <c r="AA8" i="106"/>
  <c r="AA8" i="108" s="1"/>
  <c r="L8" i="106"/>
  <c r="Z8" i="106" s="1"/>
  <c r="AA7" i="106"/>
  <c r="AA7" i="108" s="1"/>
  <c r="L7" i="106"/>
  <c r="AA6" i="106"/>
  <c r="AA6" i="108" s="1"/>
  <c r="V6" i="108"/>
  <c r="L6" i="106"/>
  <c r="Z89" i="99" l="1"/>
  <c r="Z72" i="99"/>
  <c r="Z47" i="108"/>
  <c r="Z43" i="108"/>
  <c r="Z39" i="108"/>
  <c r="Z41" i="108"/>
  <c r="AA107" i="102"/>
  <c r="AA107" i="109"/>
  <c r="AA109" i="109" s="1"/>
  <c r="Z72" i="109"/>
  <c r="Z55" i="109"/>
  <c r="Z23" i="99"/>
  <c r="AA107" i="99"/>
  <c r="Z89" i="109"/>
  <c r="Z37" i="109"/>
  <c r="Z55" i="99"/>
  <c r="V107" i="99"/>
  <c r="V107" i="109"/>
  <c r="V109" i="109" s="1"/>
  <c r="Z23" i="109"/>
  <c r="L107" i="109"/>
  <c r="L109" i="109" s="1"/>
  <c r="Z55" i="107"/>
  <c r="Z106" i="107"/>
  <c r="Z37" i="107"/>
  <c r="Z66" i="108"/>
  <c r="Z55" i="98"/>
  <c r="V107" i="98"/>
  <c r="Z72" i="98"/>
  <c r="Z23" i="98"/>
  <c r="Z102" i="108"/>
  <c r="Z89" i="98"/>
  <c r="Z104" i="108"/>
  <c r="Z60" i="108"/>
  <c r="Z106" i="98"/>
  <c r="Z37" i="98"/>
  <c r="Z64" i="108"/>
  <c r="Z94" i="108"/>
  <c r="Z70" i="108"/>
  <c r="Z37" i="97"/>
  <c r="Z55" i="97"/>
  <c r="Z68" i="108"/>
  <c r="Z89" i="97"/>
  <c r="Z72" i="97"/>
  <c r="V107" i="96"/>
  <c r="V109" i="96" s="1"/>
  <c r="Z72" i="96"/>
  <c r="Z106" i="96"/>
  <c r="Z37" i="96"/>
  <c r="Z89" i="100"/>
  <c r="Z23" i="100"/>
  <c r="Z106" i="100"/>
  <c r="Z37" i="100"/>
  <c r="Z26" i="108"/>
  <c r="Z30" i="108"/>
  <c r="Z55" i="101"/>
  <c r="Z103" i="108"/>
  <c r="V107" i="101"/>
  <c r="Z72" i="101"/>
  <c r="Z37" i="101"/>
  <c r="Z23" i="101"/>
  <c r="Z89" i="101"/>
  <c r="Z35" i="108"/>
  <c r="Z32" i="108"/>
  <c r="Z8" i="108"/>
  <c r="Z25" i="108"/>
  <c r="Z78" i="108"/>
  <c r="Z86" i="108"/>
  <c r="Z105" i="108"/>
  <c r="Z100" i="108"/>
  <c r="Z52" i="108"/>
  <c r="Z37" i="102"/>
  <c r="V107" i="102"/>
  <c r="V109" i="102" s="1"/>
  <c r="Z23" i="102"/>
  <c r="Z89" i="102"/>
  <c r="Z106" i="102"/>
  <c r="Z55" i="102"/>
  <c r="Z15" i="108"/>
  <c r="Z17" i="108"/>
  <c r="Z37" i="103"/>
  <c r="Z11" i="108"/>
  <c r="Z58" i="108"/>
  <c r="V107" i="103"/>
  <c r="V109" i="103" s="1"/>
  <c r="Z19" i="108"/>
  <c r="Z13" i="108"/>
  <c r="Z21" i="108"/>
  <c r="Z55" i="103"/>
  <c r="Z23" i="103"/>
  <c r="Z72" i="103"/>
  <c r="Z89" i="103"/>
  <c r="AA107" i="103"/>
  <c r="AA109" i="103" s="1"/>
  <c r="L9" i="108"/>
  <c r="Z9" i="106"/>
  <c r="Z9" i="108" s="1"/>
  <c r="L27" i="108"/>
  <c r="Z27" i="106"/>
  <c r="Z27" i="108" s="1"/>
  <c r="L29" i="108"/>
  <c r="Z29" i="106"/>
  <c r="Z29" i="108" s="1"/>
  <c r="L31" i="108"/>
  <c r="Z31" i="106"/>
  <c r="Z31" i="108" s="1"/>
  <c r="L38" i="108"/>
  <c r="Z38" i="106"/>
  <c r="Z38" i="108" s="1"/>
  <c r="L40" i="108"/>
  <c r="Z40" i="106"/>
  <c r="Z40" i="108" s="1"/>
  <c r="L42" i="108"/>
  <c r="Z42" i="106"/>
  <c r="Z42" i="108" s="1"/>
  <c r="L44" i="108"/>
  <c r="Z44" i="106"/>
  <c r="Z44" i="108" s="1"/>
  <c r="L46" i="108"/>
  <c r="Z46" i="106"/>
  <c r="Z46" i="108" s="1"/>
  <c r="L49" i="108"/>
  <c r="Z49" i="106"/>
  <c r="Z49" i="108" s="1"/>
  <c r="L51" i="108"/>
  <c r="Z51" i="106"/>
  <c r="Z51" i="108" s="1"/>
  <c r="L53" i="108"/>
  <c r="Z53" i="106"/>
  <c r="Z53" i="108" s="1"/>
  <c r="L57" i="108"/>
  <c r="Z57" i="106"/>
  <c r="Z57" i="108" s="1"/>
  <c r="L59" i="108"/>
  <c r="Z59" i="106"/>
  <c r="Z59" i="108" s="1"/>
  <c r="L61" i="108"/>
  <c r="Z61" i="106"/>
  <c r="Z61" i="108" s="1"/>
  <c r="L63" i="108"/>
  <c r="Z63" i="106"/>
  <c r="Z63" i="108" s="1"/>
  <c r="L65" i="108"/>
  <c r="Z65" i="106"/>
  <c r="Z65" i="108" s="1"/>
  <c r="L67" i="108"/>
  <c r="Z67" i="106"/>
  <c r="Z67" i="108" s="1"/>
  <c r="L69" i="108"/>
  <c r="Z69" i="106"/>
  <c r="Z69" i="108" s="1"/>
  <c r="L71" i="108"/>
  <c r="Z71" i="106"/>
  <c r="Z71" i="108" s="1"/>
  <c r="L73" i="108"/>
  <c r="Z73" i="106"/>
  <c r="Z73" i="108" s="1"/>
  <c r="L75" i="108"/>
  <c r="Z75" i="106"/>
  <c r="Z75" i="108" s="1"/>
  <c r="L77" i="108"/>
  <c r="Z77" i="106"/>
  <c r="Z77" i="108" s="1"/>
  <c r="L79" i="108"/>
  <c r="Z79" i="106"/>
  <c r="Z79" i="108" s="1"/>
  <c r="L81" i="108"/>
  <c r="Z81" i="106"/>
  <c r="Z81" i="108" s="1"/>
  <c r="L83" i="108"/>
  <c r="Z83" i="106"/>
  <c r="Z83" i="108" s="1"/>
  <c r="L85" i="108"/>
  <c r="Z85" i="106"/>
  <c r="Z85" i="108" s="1"/>
  <c r="L87" i="108"/>
  <c r="Z87" i="106"/>
  <c r="Z87" i="108" s="1"/>
  <c r="L91" i="108"/>
  <c r="Z91" i="106"/>
  <c r="Z91" i="108" s="1"/>
  <c r="L93" i="108"/>
  <c r="Z93" i="106"/>
  <c r="Z93" i="108" s="1"/>
  <c r="L95" i="108"/>
  <c r="Z95" i="106"/>
  <c r="Z95" i="108" s="1"/>
  <c r="L97" i="108"/>
  <c r="Z97" i="106"/>
  <c r="Z97" i="108" s="1"/>
  <c r="L99" i="108"/>
  <c r="Z99" i="106"/>
  <c r="Z99" i="108" s="1"/>
  <c r="L101" i="108"/>
  <c r="Z101" i="106"/>
  <c r="Z101" i="108" s="1"/>
  <c r="L7" i="108"/>
  <c r="Z7" i="106"/>
  <c r="Z7" i="108" s="1"/>
  <c r="L6" i="108"/>
  <c r="Z6" i="106"/>
  <c r="Z6" i="108" s="1"/>
  <c r="L10" i="108"/>
  <c r="Z10" i="108"/>
  <c r="L12" i="108"/>
  <c r="Z12" i="106"/>
  <c r="Z12" i="108" s="1"/>
  <c r="L14" i="108"/>
  <c r="Z14" i="106"/>
  <c r="Z14" i="108" s="1"/>
  <c r="L16" i="108"/>
  <c r="Z16" i="106"/>
  <c r="Z16" i="108" s="1"/>
  <c r="L18" i="108"/>
  <c r="Z18" i="106"/>
  <c r="Z18" i="108" s="1"/>
  <c r="L20" i="108"/>
  <c r="Z20" i="106"/>
  <c r="Z20" i="108" s="1"/>
  <c r="L22" i="108"/>
  <c r="Z22" i="106"/>
  <c r="Z22" i="108" s="1"/>
  <c r="L24" i="108"/>
  <c r="Z24" i="106"/>
  <c r="Z24" i="108" s="1"/>
  <c r="L28" i="108"/>
  <c r="Z28" i="106"/>
  <c r="Z28" i="108" s="1"/>
  <c r="L34" i="108"/>
  <c r="Z34" i="106"/>
  <c r="Z34" i="108" s="1"/>
  <c r="L36" i="108"/>
  <c r="Z36" i="106"/>
  <c r="Z36" i="108" s="1"/>
  <c r="L45" i="108"/>
  <c r="Z45" i="106"/>
  <c r="Z45" i="108" s="1"/>
  <c r="L50" i="108"/>
  <c r="Z50" i="106"/>
  <c r="Z50" i="108" s="1"/>
  <c r="L54" i="108"/>
  <c r="Z54" i="106"/>
  <c r="Z54" i="108" s="1"/>
  <c r="L56" i="108"/>
  <c r="Z56" i="106"/>
  <c r="Z56" i="108" s="1"/>
  <c r="L62" i="108"/>
  <c r="Z62" i="106"/>
  <c r="Z62" i="108" s="1"/>
  <c r="L74" i="108"/>
  <c r="Z74" i="106"/>
  <c r="Z74" i="108" s="1"/>
  <c r="L76" i="108"/>
  <c r="Z76" i="106"/>
  <c r="Z76" i="108" s="1"/>
  <c r="L80" i="108"/>
  <c r="Z80" i="106"/>
  <c r="Z80" i="108" s="1"/>
  <c r="L82" i="108"/>
  <c r="Z82" i="106"/>
  <c r="Z82" i="108" s="1"/>
  <c r="L84" i="108"/>
  <c r="Z84" i="106"/>
  <c r="Z84" i="108" s="1"/>
  <c r="L88" i="108"/>
  <c r="Z88" i="106"/>
  <c r="Z88" i="108" s="1"/>
  <c r="L90" i="108"/>
  <c r="Z90" i="106"/>
  <c r="Z90" i="108" s="1"/>
  <c r="L92" i="108"/>
  <c r="Z92" i="106"/>
  <c r="Z92" i="108" s="1"/>
  <c r="L96" i="108"/>
  <c r="Z96" i="106"/>
  <c r="Z96" i="108" s="1"/>
  <c r="L98" i="108"/>
  <c r="Z98" i="106"/>
  <c r="Z98" i="108" s="1"/>
  <c r="X109" i="108"/>
  <c r="X107" i="108"/>
  <c r="AA37" i="108"/>
  <c r="AA72" i="108"/>
  <c r="AA55" i="108"/>
  <c r="AA89" i="108"/>
  <c r="AA106" i="108"/>
  <c r="AA107" i="96"/>
  <c r="AA109" i="96" s="1"/>
  <c r="V107" i="100"/>
  <c r="V109" i="100" s="1"/>
  <c r="L107" i="101"/>
  <c r="AA109" i="102"/>
  <c r="L107" i="103"/>
  <c r="L109" i="103" s="1"/>
  <c r="L11" i="108"/>
  <c r="L19" i="108"/>
  <c r="L30" i="108"/>
  <c r="L41" i="108"/>
  <c r="L52" i="108"/>
  <c r="L60" i="108"/>
  <c r="L68" i="108"/>
  <c r="L100" i="108"/>
  <c r="L17" i="108"/>
  <c r="L33" i="108"/>
  <c r="L13" i="108"/>
  <c r="L25" i="108"/>
  <c r="L21" i="108"/>
  <c r="L48" i="108"/>
  <c r="L32" i="108"/>
  <c r="L43" i="108"/>
  <c r="L94" i="108"/>
  <c r="L8" i="108"/>
  <c r="L70" i="108"/>
  <c r="L39" i="108"/>
  <c r="L47" i="108"/>
  <c r="L86" i="108"/>
  <c r="L78" i="108"/>
  <c r="L35" i="108"/>
  <c r="L64" i="108"/>
  <c r="L15" i="108"/>
  <c r="L58" i="108"/>
  <c r="L26" i="108"/>
  <c r="L66" i="108"/>
  <c r="Z106" i="109"/>
  <c r="Z106" i="103"/>
  <c r="Z72" i="102"/>
  <c r="L107" i="100"/>
  <c r="L109" i="100" s="1"/>
  <c r="Z72" i="100"/>
  <c r="AA107" i="98"/>
  <c r="L107" i="102"/>
  <c r="L109" i="102" s="1"/>
  <c r="L111" i="102" s="1"/>
  <c r="L107" i="98"/>
  <c r="L107" i="96"/>
  <c r="L109" i="96" s="1"/>
  <c r="AA107" i="101"/>
  <c r="Z89" i="96"/>
  <c r="Z23" i="97"/>
  <c r="Z55" i="100"/>
  <c r="Z106" i="97"/>
  <c r="Z23" i="96"/>
  <c r="Z55" i="96"/>
  <c r="L107" i="99"/>
  <c r="Z37" i="99"/>
  <c r="AA107" i="100"/>
  <c r="AA109" i="100" s="1"/>
  <c r="Z106" i="101"/>
  <c r="L107" i="97"/>
  <c r="V107" i="97"/>
  <c r="AA107" i="97"/>
  <c r="V107" i="107"/>
  <c r="V109" i="107" s="1"/>
  <c r="L107" i="107"/>
  <c r="L109" i="107" s="1"/>
  <c r="V37" i="106"/>
  <c r="V37" i="108" s="1"/>
  <c r="L72" i="106"/>
  <c r="L72" i="108" s="1"/>
  <c r="V72" i="106"/>
  <c r="V72" i="108" s="1"/>
  <c r="V89" i="106"/>
  <c r="V89" i="108" s="1"/>
  <c r="AB71" i="106"/>
  <c r="AA89" i="106"/>
  <c r="L106" i="106"/>
  <c r="L106" i="108" s="1"/>
  <c r="V106" i="106"/>
  <c r="V106" i="108" s="1"/>
  <c r="AA23" i="106"/>
  <c r="AA23" i="108" s="1"/>
  <c r="AA55" i="106"/>
  <c r="AB67" i="106"/>
  <c r="AB91" i="106"/>
  <c r="AA37" i="106"/>
  <c r="AA72" i="106"/>
  <c r="L23" i="106"/>
  <c r="L23" i="108" s="1"/>
  <c r="L55" i="106"/>
  <c r="L55" i="108" s="1"/>
  <c r="L89" i="106"/>
  <c r="L89" i="108" s="1"/>
  <c r="D107" i="106"/>
  <c r="D109" i="106" s="1"/>
  <c r="F107" i="106"/>
  <c r="F109" i="106" s="1"/>
  <c r="H107" i="106"/>
  <c r="H109" i="106" s="1"/>
  <c r="J107" i="106"/>
  <c r="J109" i="106" s="1"/>
  <c r="M107" i="106"/>
  <c r="M109" i="106" s="1"/>
  <c r="O107" i="106"/>
  <c r="O109" i="106" s="1"/>
  <c r="Q107" i="106"/>
  <c r="Q109" i="106" s="1"/>
  <c r="S107" i="106"/>
  <c r="S109" i="106" s="1"/>
  <c r="U107" i="106"/>
  <c r="U109" i="106" s="1"/>
  <c r="V23" i="106"/>
  <c r="V23" i="108" s="1"/>
  <c r="V55" i="106"/>
  <c r="AA106" i="106"/>
  <c r="C107" i="106"/>
  <c r="E107" i="106"/>
  <c r="G107" i="106"/>
  <c r="G109" i="106" s="1"/>
  <c r="I107" i="106"/>
  <c r="I109" i="106" s="1"/>
  <c r="K107" i="106"/>
  <c r="K109" i="106" s="1"/>
  <c r="N107" i="106"/>
  <c r="N109" i="106" s="1"/>
  <c r="P107" i="106"/>
  <c r="P109" i="106" s="1"/>
  <c r="R107" i="106"/>
  <c r="R109" i="106" s="1"/>
  <c r="T107" i="106"/>
  <c r="T109" i="106" s="1"/>
  <c r="W107" i="106"/>
  <c r="W109" i="106" s="1"/>
  <c r="L37" i="106"/>
  <c r="L37" i="108" s="1"/>
  <c r="AB56" i="106"/>
  <c r="Z107" i="99" l="1"/>
  <c r="E109" i="106"/>
  <c r="C109" i="106"/>
  <c r="C109" i="108" s="1"/>
  <c r="Z107" i="109"/>
  <c r="Z109" i="109" s="1"/>
  <c r="Z107" i="107"/>
  <c r="Z109" i="107" s="1"/>
  <c r="Z107" i="98"/>
  <c r="Z107" i="97"/>
  <c r="Z107" i="96"/>
  <c r="Z109" i="96" s="1"/>
  <c r="Z107" i="101"/>
  <c r="Z107" i="102"/>
  <c r="Z109" i="102" s="1"/>
  <c r="Z107" i="103"/>
  <c r="Z109" i="103" s="1"/>
  <c r="W107" i="108"/>
  <c r="W109" i="108"/>
  <c r="R107" i="108"/>
  <c r="R109" i="108"/>
  <c r="N107" i="108"/>
  <c r="N109" i="108"/>
  <c r="I107" i="108"/>
  <c r="I109" i="108"/>
  <c r="E107" i="108"/>
  <c r="E109" i="108"/>
  <c r="S107" i="108"/>
  <c r="S109" i="108"/>
  <c r="F107" i="108"/>
  <c r="F109" i="108"/>
  <c r="O107" i="108"/>
  <c r="O109" i="108"/>
  <c r="J107" i="108"/>
  <c r="J109" i="108"/>
  <c r="T107" i="108"/>
  <c r="T109" i="108"/>
  <c r="P107" i="108"/>
  <c r="P109" i="108"/>
  <c r="K107" i="108"/>
  <c r="K109" i="108"/>
  <c r="G107" i="108"/>
  <c r="G109" i="108"/>
  <c r="C107" i="108"/>
  <c r="U107" i="108"/>
  <c r="U109" i="108"/>
  <c r="Q107" i="108"/>
  <c r="Q109" i="108"/>
  <c r="M107" i="108"/>
  <c r="M109" i="108"/>
  <c r="H107" i="108"/>
  <c r="H109" i="108"/>
  <c r="D107" i="108"/>
  <c r="D109" i="108"/>
  <c r="X111" i="108"/>
  <c r="Z106" i="108"/>
  <c r="Z23" i="108"/>
  <c r="Z55" i="108"/>
  <c r="Z72" i="108"/>
  <c r="Z89" i="108"/>
  <c r="Z37" i="108"/>
  <c r="Z107" i="100"/>
  <c r="Z109" i="100" s="1"/>
  <c r="V107" i="106"/>
  <c r="V55" i="108"/>
  <c r="L107" i="106"/>
  <c r="L109" i="106" s="1"/>
  <c r="AA107" i="106"/>
  <c r="AA109" i="106" s="1"/>
  <c r="Z89" i="106"/>
  <c r="Z106" i="106"/>
  <c r="Z37" i="106"/>
  <c r="Z55" i="106"/>
  <c r="Z72" i="106"/>
  <c r="Z23" i="106"/>
  <c r="V109" i="106" l="1"/>
  <c r="V109" i="108" s="1"/>
  <c r="L107" i="108"/>
  <c r="L109" i="108"/>
  <c r="AA107" i="108"/>
  <c r="AA109" i="108"/>
  <c r="V107" i="108"/>
  <c r="Z107" i="106"/>
  <c r="Z109" i="106" s="1"/>
  <c r="Z109" i="108" l="1"/>
  <c r="Z107" i="108"/>
  <c r="Z111" i="108" l="1"/>
  <c r="A2" i="25"/>
  <c r="I121" i="25"/>
  <c r="O121" i="25"/>
  <c r="I6" i="25"/>
  <c r="O6" i="25"/>
  <c r="P6" i="25"/>
  <c r="Q6" i="25"/>
  <c r="R6" i="25"/>
  <c r="S6" i="25"/>
  <c r="T6" i="25"/>
  <c r="I7" i="25"/>
  <c r="O7" i="25"/>
  <c r="P7" i="25"/>
  <c r="Q7" i="25"/>
  <c r="R7" i="25"/>
  <c r="S7" i="25"/>
  <c r="T7" i="25"/>
  <c r="I8" i="25"/>
  <c r="O8" i="25"/>
  <c r="P8" i="25"/>
  <c r="Q8" i="25"/>
  <c r="R8" i="25"/>
  <c r="S8" i="25"/>
  <c r="T8" i="25"/>
  <c r="I9" i="25"/>
  <c r="O9" i="25"/>
  <c r="P9" i="25"/>
  <c r="Q9" i="25"/>
  <c r="R9" i="25"/>
  <c r="S9" i="25"/>
  <c r="T9" i="25"/>
  <c r="I10" i="25"/>
  <c r="O10" i="25"/>
  <c r="P10" i="25"/>
  <c r="Q10" i="25"/>
  <c r="R10" i="25"/>
  <c r="S10" i="25"/>
  <c r="T10" i="25"/>
  <c r="I11" i="25"/>
  <c r="O11" i="25"/>
  <c r="P11" i="25"/>
  <c r="Q11" i="25"/>
  <c r="R11" i="25"/>
  <c r="S11" i="25"/>
  <c r="T11" i="25"/>
  <c r="I12" i="25"/>
  <c r="O12" i="25"/>
  <c r="P12" i="25"/>
  <c r="Q12" i="25"/>
  <c r="R12" i="25"/>
  <c r="S12" i="25"/>
  <c r="T12" i="25"/>
  <c r="I13" i="25"/>
  <c r="O13" i="25"/>
  <c r="P13" i="25"/>
  <c r="Q13" i="25"/>
  <c r="R13" i="25"/>
  <c r="S13" i="25"/>
  <c r="T13" i="25"/>
  <c r="I14" i="25"/>
  <c r="O14" i="25"/>
  <c r="P14" i="25"/>
  <c r="Q14" i="25"/>
  <c r="R14" i="25"/>
  <c r="S14" i="25"/>
  <c r="T14" i="25"/>
  <c r="I15" i="25"/>
  <c r="O15" i="25"/>
  <c r="P15" i="25"/>
  <c r="Q15" i="25"/>
  <c r="R15" i="25"/>
  <c r="S15" i="25"/>
  <c r="T15" i="25"/>
  <c r="I16" i="25"/>
  <c r="O16" i="25"/>
  <c r="V16" i="25" s="1"/>
  <c r="P16" i="25"/>
  <c r="Q16" i="25"/>
  <c r="R16" i="25"/>
  <c r="S16" i="25"/>
  <c r="T16" i="25"/>
  <c r="I17" i="25"/>
  <c r="O17" i="25"/>
  <c r="P17" i="25"/>
  <c r="Q17" i="25"/>
  <c r="R17" i="25"/>
  <c r="S17" i="25"/>
  <c r="T17" i="25"/>
  <c r="I18" i="25"/>
  <c r="O18" i="25"/>
  <c r="P18" i="25"/>
  <c r="Q18" i="25"/>
  <c r="R18" i="25"/>
  <c r="S18" i="25"/>
  <c r="T18" i="25"/>
  <c r="I19" i="25"/>
  <c r="O19" i="25"/>
  <c r="P19" i="25"/>
  <c r="Q19" i="25"/>
  <c r="R19" i="25"/>
  <c r="S19" i="25"/>
  <c r="T19" i="25"/>
  <c r="I20" i="25"/>
  <c r="O20" i="25"/>
  <c r="P20" i="25"/>
  <c r="Q20" i="25"/>
  <c r="R20" i="25"/>
  <c r="S20" i="25"/>
  <c r="T20" i="25"/>
  <c r="I21" i="25"/>
  <c r="O21" i="25"/>
  <c r="P21" i="25"/>
  <c r="Q21" i="25"/>
  <c r="R21" i="25"/>
  <c r="S21" i="25"/>
  <c r="T21" i="25"/>
  <c r="I22" i="25"/>
  <c r="O22" i="25"/>
  <c r="P22" i="25"/>
  <c r="Q22" i="25"/>
  <c r="R22" i="25"/>
  <c r="S22" i="25"/>
  <c r="T22" i="25"/>
  <c r="I23" i="25"/>
  <c r="O23" i="25"/>
  <c r="P23" i="25"/>
  <c r="Q23" i="25"/>
  <c r="R23" i="25"/>
  <c r="S23" i="25"/>
  <c r="T23" i="25"/>
  <c r="I24" i="25"/>
  <c r="O24" i="25"/>
  <c r="P24" i="25"/>
  <c r="Q24" i="25"/>
  <c r="R24" i="25"/>
  <c r="S24" i="25"/>
  <c r="T24" i="25"/>
  <c r="I25" i="25"/>
  <c r="O25" i="25"/>
  <c r="V25" i="25" s="1"/>
  <c r="P25" i="25"/>
  <c r="Q25" i="25"/>
  <c r="R25" i="25"/>
  <c r="S25" i="25"/>
  <c r="T25" i="25"/>
  <c r="I26" i="25"/>
  <c r="O26" i="25"/>
  <c r="P26" i="25"/>
  <c r="Q26" i="25"/>
  <c r="R26" i="25"/>
  <c r="S26" i="25"/>
  <c r="T26" i="25"/>
  <c r="I27" i="25"/>
  <c r="O27" i="25"/>
  <c r="P27" i="25"/>
  <c r="Q27" i="25"/>
  <c r="R27" i="25"/>
  <c r="S27" i="25"/>
  <c r="T27" i="25"/>
  <c r="I28" i="25"/>
  <c r="O28" i="25"/>
  <c r="P28" i="25"/>
  <c r="Q28" i="25"/>
  <c r="R28" i="25"/>
  <c r="S28" i="25"/>
  <c r="T28" i="25"/>
  <c r="I29" i="25"/>
  <c r="O29" i="25"/>
  <c r="P29" i="25"/>
  <c r="Q29" i="25"/>
  <c r="R29" i="25"/>
  <c r="S29" i="25"/>
  <c r="T29" i="25"/>
  <c r="I30" i="25"/>
  <c r="O30" i="25"/>
  <c r="P30" i="25"/>
  <c r="Q30" i="25"/>
  <c r="R30" i="25"/>
  <c r="S30" i="25"/>
  <c r="T30" i="25"/>
  <c r="I31" i="25"/>
  <c r="O31" i="25"/>
  <c r="P31" i="25"/>
  <c r="Q31" i="25"/>
  <c r="R31" i="25"/>
  <c r="S31" i="25"/>
  <c r="T31" i="25"/>
  <c r="I32" i="25"/>
  <c r="O32" i="25"/>
  <c r="P32" i="25"/>
  <c r="Q32" i="25"/>
  <c r="R32" i="25"/>
  <c r="S32" i="25"/>
  <c r="T32" i="25"/>
  <c r="I33" i="25"/>
  <c r="O33" i="25"/>
  <c r="P33" i="25"/>
  <c r="Q33" i="25"/>
  <c r="R33" i="25"/>
  <c r="S33" i="25"/>
  <c r="T33" i="25"/>
  <c r="I34" i="25"/>
  <c r="O34" i="25"/>
  <c r="P34" i="25"/>
  <c r="Q34" i="25"/>
  <c r="R34" i="25"/>
  <c r="S34" i="25"/>
  <c r="T34" i="25"/>
  <c r="I35" i="25"/>
  <c r="O35" i="25"/>
  <c r="P35" i="25"/>
  <c r="Q35" i="25"/>
  <c r="R35" i="25"/>
  <c r="S35" i="25"/>
  <c r="T35" i="25"/>
  <c r="I36" i="25"/>
  <c r="O36" i="25"/>
  <c r="P36" i="25"/>
  <c r="Q36" i="25"/>
  <c r="R36" i="25"/>
  <c r="S36" i="25"/>
  <c r="T36" i="25"/>
  <c r="I37" i="25"/>
  <c r="O37" i="25"/>
  <c r="P37" i="25"/>
  <c r="Q37" i="25"/>
  <c r="R37" i="25"/>
  <c r="S37" i="25"/>
  <c r="T37" i="25"/>
  <c r="I38" i="25"/>
  <c r="O38" i="25"/>
  <c r="P38" i="25"/>
  <c r="Q38" i="25"/>
  <c r="R38" i="25"/>
  <c r="S38" i="25"/>
  <c r="T38" i="25"/>
  <c r="I39" i="25"/>
  <c r="O39" i="25"/>
  <c r="P39" i="25"/>
  <c r="Q39" i="25"/>
  <c r="R39" i="25"/>
  <c r="S39" i="25"/>
  <c r="T39" i="25"/>
  <c r="I40" i="25"/>
  <c r="O40" i="25"/>
  <c r="P40" i="25"/>
  <c r="Q40" i="25"/>
  <c r="R40" i="25"/>
  <c r="S40" i="25"/>
  <c r="T40" i="25"/>
  <c r="I41" i="25"/>
  <c r="O41" i="25"/>
  <c r="P41" i="25"/>
  <c r="Q41" i="25"/>
  <c r="R41" i="25"/>
  <c r="S41" i="25"/>
  <c r="T41" i="25"/>
  <c r="I42" i="25"/>
  <c r="O42" i="25"/>
  <c r="P42" i="25"/>
  <c r="Q42" i="25"/>
  <c r="R42" i="25"/>
  <c r="S42" i="25"/>
  <c r="T42" i="25"/>
  <c r="I43" i="25"/>
  <c r="O43" i="25"/>
  <c r="P43" i="25"/>
  <c r="Q43" i="25"/>
  <c r="R43" i="25"/>
  <c r="S43" i="25"/>
  <c r="T43" i="25"/>
  <c r="I44" i="25"/>
  <c r="O44" i="25"/>
  <c r="P44" i="25"/>
  <c r="Q44" i="25"/>
  <c r="R44" i="25"/>
  <c r="S44" i="25"/>
  <c r="T44" i="25"/>
  <c r="I45" i="25"/>
  <c r="O45" i="25"/>
  <c r="P45" i="25"/>
  <c r="Q45" i="25"/>
  <c r="R45" i="25"/>
  <c r="S45" i="25"/>
  <c r="T45" i="25"/>
  <c r="I46" i="25"/>
  <c r="O46" i="25"/>
  <c r="P46" i="25"/>
  <c r="Q46" i="25"/>
  <c r="R46" i="25"/>
  <c r="S46" i="25"/>
  <c r="T46" i="25"/>
  <c r="I47" i="25"/>
  <c r="O47" i="25"/>
  <c r="P47" i="25"/>
  <c r="Q47" i="25"/>
  <c r="R47" i="25"/>
  <c r="S47" i="25"/>
  <c r="T47" i="25"/>
  <c r="I48" i="25"/>
  <c r="O48" i="25"/>
  <c r="P48" i="25"/>
  <c r="Q48" i="25"/>
  <c r="R48" i="25"/>
  <c r="S48" i="25"/>
  <c r="T48" i="25"/>
  <c r="I49" i="25"/>
  <c r="O49" i="25"/>
  <c r="P49" i="25"/>
  <c r="Q49" i="25"/>
  <c r="R49" i="25"/>
  <c r="S49" i="25"/>
  <c r="T49" i="25"/>
  <c r="I50" i="25"/>
  <c r="O50" i="25"/>
  <c r="P50" i="25"/>
  <c r="Q50" i="25"/>
  <c r="R50" i="25"/>
  <c r="S50" i="25"/>
  <c r="T50" i="25"/>
  <c r="I51" i="25"/>
  <c r="O51" i="25"/>
  <c r="P51" i="25"/>
  <c r="Q51" i="25"/>
  <c r="R51" i="25"/>
  <c r="S51" i="25"/>
  <c r="T51" i="25"/>
  <c r="I52" i="25"/>
  <c r="O52" i="25"/>
  <c r="P52" i="25"/>
  <c r="Q52" i="25"/>
  <c r="R52" i="25"/>
  <c r="S52" i="25"/>
  <c r="T52" i="25"/>
  <c r="I53" i="25"/>
  <c r="O53" i="25"/>
  <c r="P53" i="25"/>
  <c r="Q53" i="25"/>
  <c r="R53" i="25"/>
  <c r="S53" i="25"/>
  <c r="T53" i="25"/>
  <c r="I54" i="25"/>
  <c r="O54" i="25"/>
  <c r="P54" i="25"/>
  <c r="Q54" i="25"/>
  <c r="R54" i="25"/>
  <c r="S54" i="25"/>
  <c r="T54" i="25"/>
  <c r="I55" i="25"/>
  <c r="O55" i="25"/>
  <c r="P55" i="25"/>
  <c r="Q55" i="25"/>
  <c r="R55" i="25"/>
  <c r="S55" i="25"/>
  <c r="T55" i="25"/>
  <c r="I56" i="25"/>
  <c r="O56" i="25"/>
  <c r="P56" i="25"/>
  <c r="Q56" i="25"/>
  <c r="R56" i="25"/>
  <c r="S56" i="25"/>
  <c r="T56" i="25"/>
  <c r="I57" i="25"/>
  <c r="O57" i="25"/>
  <c r="P57" i="25"/>
  <c r="Q57" i="25"/>
  <c r="R57" i="25"/>
  <c r="S57" i="25"/>
  <c r="T57" i="25"/>
  <c r="I58" i="25"/>
  <c r="O58" i="25"/>
  <c r="P58" i="25"/>
  <c r="Q58" i="25"/>
  <c r="R58" i="25"/>
  <c r="S58" i="25"/>
  <c r="T58" i="25"/>
  <c r="I59" i="25"/>
  <c r="O59" i="25"/>
  <c r="P59" i="25"/>
  <c r="Q59" i="25"/>
  <c r="R59" i="25"/>
  <c r="S59" i="25"/>
  <c r="T59" i="25"/>
  <c r="I60" i="25"/>
  <c r="O60" i="25"/>
  <c r="P60" i="25"/>
  <c r="Q60" i="25"/>
  <c r="R60" i="25"/>
  <c r="S60" i="25"/>
  <c r="T60" i="25"/>
  <c r="I61" i="25"/>
  <c r="O61" i="25"/>
  <c r="P61" i="25"/>
  <c r="Q61" i="25"/>
  <c r="R61" i="25"/>
  <c r="S61" i="25"/>
  <c r="T61" i="25"/>
  <c r="I62" i="25"/>
  <c r="O62" i="25"/>
  <c r="P62" i="25"/>
  <c r="Q62" i="25"/>
  <c r="R62" i="25"/>
  <c r="S62" i="25"/>
  <c r="T62" i="25"/>
  <c r="I63" i="25"/>
  <c r="O63" i="25"/>
  <c r="P63" i="25"/>
  <c r="Q63" i="25"/>
  <c r="R63" i="25"/>
  <c r="S63" i="25"/>
  <c r="T63" i="25"/>
  <c r="I64" i="25"/>
  <c r="O64" i="25"/>
  <c r="P64" i="25"/>
  <c r="Q64" i="25"/>
  <c r="R64" i="25"/>
  <c r="S64" i="25"/>
  <c r="T64" i="25"/>
  <c r="I65" i="25"/>
  <c r="O65" i="25"/>
  <c r="P65" i="25"/>
  <c r="Q65" i="25"/>
  <c r="R65" i="25"/>
  <c r="S65" i="25"/>
  <c r="T65" i="25"/>
  <c r="I66" i="25"/>
  <c r="O66" i="25"/>
  <c r="P66" i="25"/>
  <c r="Q66" i="25"/>
  <c r="R66" i="25"/>
  <c r="S66" i="25"/>
  <c r="T66" i="25"/>
  <c r="I67" i="25"/>
  <c r="O67" i="25"/>
  <c r="P67" i="25"/>
  <c r="Q67" i="25"/>
  <c r="R67" i="25"/>
  <c r="S67" i="25"/>
  <c r="T67" i="25"/>
  <c r="I68" i="25"/>
  <c r="O68" i="25"/>
  <c r="P68" i="25"/>
  <c r="Q68" i="25"/>
  <c r="R68" i="25"/>
  <c r="S68" i="25"/>
  <c r="T68" i="25"/>
  <c r="I69" i="25"/>
  <c r="O69" i="25"/>
  <c r="P69" i="25"/>
  <c r="Q69" i="25"/>
  <c r="R69" i="25"/>
  <c r="S69" i="25"/>
  <c r="T69" i="25"/>
  <c r="I70" i="25"/>
  <c r="O70" i="25"/>
  <c r="P70" i="25"/>
  <c r="Q70" i="25"/>
  <c r="R70" i="25"/>
  <c r="S70" i="25"/>
  <c r="T70" i="25"/>
  <c r="I71" i="25"/>
  <c r="O71" i="25"/>
  <c r="P71" i="25"/>
  <c r="Q71" i="25"/>
  <c r="R71" i="25"/>
  <c r="S71" i="25"/>
  <c r="T71" i="25"/>
  <c r="I72" i="25"/>
  <c r="O72" i="25"/>
  <c r="P72" i="25"/>
  <c r="Q72" i="25"/>
  <c r="R72" i="25"/>
  <c r="S72" i="25"/>
  <c r="T72" i="25"/>
  <c r="I73" i="25"/>
  <c r="O73" i="25"/>
  <c r="P73" i="25"/>
  <c r="Q73" i="25"/>
  <c r="R73" i="25"/>
  <c r="S73" i="25"/>
  <c r="T73" i="25"/>
  <c r="I74" i="25"/>
  <c r="O74" i="25"/>
  <c r="P74" i="25"/>
  <c r="Q74" i="25"/>
  <c r="R74" i="25"/>
  <c r="S74" i="25"/>
  <c r="T74" i="25"/>
  <c r="I75" i="25"/>
  <c r="O75" i="25"/>
  <c r="P75" i="25"/>
  <c r="Q75" i="25"/>
  <c r="R75" i="25"/>
  <c r="S75" i="25"/>
  <c r="T75" i="25"/>
  <c r="I76" i="25"/>
  <c r="O76" i="25"/>
  <c r="P76" i="25"/>
  <c r="Q76" i="25"/>
  <c r="R76" i="25"/>
  <c r="S76" i="25"/>
  <c r="T76" i="25"/>
  <c r="I77" i="25"/>
  <c r="O77" i="25"/>
  <c r="P77" i="25"/>
  <c r="Q77" i="25"/>
  <c r="R77" i="25"/>
  <c r="S77" i="25"/>
  <c r="T77" i="25"/>
  <c r="I78" i="25"/>
  <c r="O78" i="25"/>
  <c r="P78" i="25"/>
  <c r="Q78" i="25"/>
  <c r="R78" i="25"/>
  <c r="S78" i="25"/>
  <c r="T78" i="25"/>
  <c r="I79" i="25"/>
  <c r="O79" i="25"/>
  <c r="P79" i="25"/>
  <c r="Q79" i="25"/>
  <c r="R79" i="25"/>
  <c r="S79" i="25"/>
  <c r="T79" i="25"/>
  <c r="I80" i="25"/>
  <c r="O80" i="25"/>
  <c r="P80" i="25"/>
  <c r="Q80" i="25"/>
  <c r="R80" i="25"/>
  <c r="S80" i="25"/>
  <c r="T80" i="25"/>
  <c r="I81" i="25"/>
  <c r="O81" i="25"/>
  <c r="P81" i="25"/>
  <c r="Q81" i="25"/>
  <c r="R81" i="25"/>
  <c r="S81" i="25"/>
  <c r="T81" i="25"/>
  <c r="I82" i="25"/>
  <c r="O82" i="25"/>
  <c r="P82" i="25"/>
  <c r="Q82" i="25"/>
  <c r="R82" i="25"/>
  <c r="S82" i="25"/>
  <c r="T82" i="25"/>
  <c r="I83" i="25"/>
  <c r="O83" i="25"/>
  <c r="P83" i="25"/>
  <c r="Q83" i="25"/>
  <c r="R83" i="25"/>
  <c r="S83" i="25"/>
  <c r="T83" i="25"/>
  <c r="I84" i="25"/>
  <c r="O84" i="25"/>
  <c r="P84" i="25"/>
  <c r="Q84" i="25"/>
  <c r="R84" i="25"/>
  <c r="S84" i="25"/>
  <c r="T84" i="25"/>
  <c r="I85" i="25"/>
  <c r="O85" i="25"/>
  <c r="P85" i="25"/>
  <c r="Q85" i="25"/>
  <c r="R85" i="25"/>
  <c r="S85" i="25"/>
  <c r="T85" i="25"/>
  <c r="I86" i="25"/>
  <c r="O86" i="25"/>
  <c r="P86" i="25"/>
  <c r="Q86" i="25"/>
  <c r="R86" i="25"/>
  <c r="S86" i="25"/>
  <c r="T86" i="25"/>
  <c r="I87" i="25"/>
  <c r="O87" i="25"/>
  <c r="P87" i="25"/>
  <c r="Q87" i="25"/>
  <c r="R87" i="25"/>
  <c r="S87" i="25"/>
  <c r="T87" i="25"/>
  <c r="I88" i="25"/>
  <c r="O88" i="25"/>
  <c r="V88" i="25" s="1"/>
  <c r="P88" i="25"/>
  <c r="Q88" i="25"/>
  <c r="R88" i="25"/>
  <c r="S88" i="25"/>
  <c r="T88" i="25"/>
  <c r="I89" i="25"/>
  <c r="O89" i="25"/>
  <c r="P89" i="25"/>
  <c r="Q89" i="25"/>
  <c r="R89" i="25"/>
  <c r="S89" i="25"/>
  <c r="T89" i="25"/>
  <c r="I90" i="25"/>
  <c r="O90" i="25"/>
  <c r="P90" i="25"/>
  <c r="Q90" i="25"/>
  <c r="R90" i="25"/>
  <c r="S90" i="25"/>
  <c r="T90" i="25"/>
  <c r="I91" i="25"/>
  <c r="O91" i="25"/>
  <c r="P91" i="25"/>
  <c r="Q91" i="25"/>
  <c r="R91" i="25"/>
  <c r="S91" i="25"/>
  <c r="T91" i="25"/>
  <c r="I92" i="25"/>
  <c r="O92" i="25"/>
  <c r="P92" i="25"/>
  <c r="Q92" i="25"/>
  <c r="R92" i="25"/>
  <c r="S92" i="25"/>
  <c r="T92" i="25"/>
  <c r="I93" i="25"/>
  <c r="O93" i="25"/>
  <c r="P93" i="25"/>
  <c r="Q93" i="25"/>
  <c r="R93" i="25"/>
  <c r="S93" i="25"/>
  <c r="T93" i="25"/>
  <c r="I94" i="25"/>
  <c r="O94" i="25"/>
  <c r="P94" i="25"/>
  <c r="Q94" i="25"/>
  <c r="R94" i="25"/>
  <c r="S94" i="25"/>
  <c r="T94" i="25"/>
  <c r="I95" i="25"/>
  <c r="O95" i="25"/>
  <c r="P95" i="25"/>
  <c r="Q95" i="25"/>
  <c r="R95" i="25"/>
  <c r="S95" i="25"/>
  <c r="T95" i="25"/>
  <c r="I96" i="25"/>
  <c r="O96" i="25"/>
  <c r="P96" i="25"/>
  <c r="Q96" i="25"/>
  <c r="R96" i="25"/>
  <c r="S96" i="25"/>
  <c r="T96" i="25"/>
  <c r="I97" i="25"/>
  <c r="O97" i="25"/>
  <c r="P97" i="25"/>
  <c r="Q97" i="25"/>
  <c r="R97" i="25"/>
  <c r="S97" i="25"/>
  <c r="T97" i="25"/>
  <c r="I98" i="25"/>
  <c r="O98" i="25"/>
  <c r="P98" i="25"/>
  <c r="Q98" i="25"/>
  <c r="R98" i="25"/>
  <c r="S98" i="25"/>
  <c r="T98" i="25"/>
  <c r="I99" i="25"/>
  <c r="O99" i="25"/>
  <c r="P99" i="25"/>
  <c r="Q99" i="25"/>
  <c r="R99" i="25"/>
  <c r="S99" i="25"/>
  <c r="T99" i="25"/>
  <c r="I100" i="25"/>
  <c r="O100" i="25"/>
  <c r="P100" i="25"/>
  <c r="Q100" i="25"/>
  <c r="R100" i="25"/>
  <c r="S100" i="25"/>
  <c r="T100" i="25"/>
  <c r="I101" i="25"/>
  <c r="O101" i="25"/>
  <c r="P101" i="25"/>
  <c r="Q101" i="25"/>
  <c r="R101" i="25"/>
  <c r="S101" i="25"/>
  <c r="T101" i="25"/>
  <c r="I102" i="25"/>
  <c r="O102" i="25"/>
  <c r="P102" i="25"/>
  <c r="Q102" i="25"/>
  <c r="R102" i="25"/>
  <c r="S102" i="25"/>
  <c r="T102" i="25"/>
  <c r="I103" i="25"/>
  <c r="O103" i="25"/>
  <c r="P103" i="25"/>
  <c r="Q103" i="25"/>
  <c r="R103" i="25"/>
  <c r="S103" i="25"/>
  <c r="T103" i="25"/>
  <c r="I104" i="25"/>
  <c r="O104" i="25"/>
  <c r="P104" i="25"/>
  <c r="Q104" i="25"/>
  <c r="R104" i="25"/>
  <c r="S104" i="25"/>
  <c r="T104" i="25"/>
  <c r="I105" i="25"/>
  <c r="O105" i="25"/>
  <c r="P105" i="25"/>
  <c r="Q105" i="25"/>
  <c r="R105" i="25"/>
  <c r="S105" i="25"/>
  <c r="T105" i="25"/>
  <c r="I106" i="25"/>
  <c r="O106" i="25"/>
  <c r="P106" i="25"/>
  <c r="Q106" i="25"/>
  <c r="R106" i="25"/>
  <c r="S106" i="25"/>
  <c r="T106" i="25"/>
  <c r="I107" i="25"/>
  <c r="O107" i="25"/>
  <c r="P107" i="25"/>
  <c r="Q107" i="25"/>
  <c r="R107" i="25"/>
  <c r="S107" i="25"/>
  <c r="T107" i="25"/>
  <c r="I108" i="25"/>
  <c r="O108" i="25"/>
  <c r="P108" i="25"/>
  <c r="Q108" i="25"/>
  <c r="R108" i="25"/>
  <c r="S108" i="25"/>
  <c r="T108" i="25"/>
  <c r="I109" i="25"/>
  <c r="O109" i="25"/>
  <c r="P109" i="25"/>
  <c r="Q109" i="25"/>
  <c r="R109" i="25"/>
  <c r="S109" i="25"/>
  <c r="T109" i="25"/>
  <c r="I110" i="25"/>
  <c r="O110" i="25"/>
  <c r="V110" i="25" s="1"/>
  <c r="P110" i="25"/>
  <c r="Q110" i="25"/>
  <c r="R110" i="25"/>
  <c r="S110" i="25"/>
  <c r="T110" i="25"/>
  <c r="I111" i="25"/>
  <c r="O111" i="25"/>
  <c r="P111" i="25"/>
  <c r="Q111" i="25"/>
  <c r="R111" i="25"/>
  <c r="S111" i="25"/>
  <c r="T111" i="25"/>
  <c r="I112" i="25"/>
  <c r="O112" i="25"/>
  <c r="P112" i="25"/>
  <c r="Q112" i="25"/>
  <c r="R112" i="25"/>
  <c r="S112" i="25"/>
  <c r="T112" i="25"/>
  <c r="I113" i="25"/>
  <c r="O113" i="25"/>
  <c r="P113" i="25"/>
  <c r="Q113" i="25"/>
  <c r="R113" i="25"/>
  <c r="S113" i="25"/>
  <c r="T113" i="25"/>
  <c r="I114" i="25"/>
  <c r="O114" i="25"/>
  <c r="P114" i="25"/>
  <c r="Q114" i="25"/>
  <c r="R114" i="25"/>
  <c r="S114" i="25"/>
  <c r="T114" i="25"/>
  <c r="I115" i="25"/>
  <c r="O115" i="25"/>
  <c r="P115" i="25"/>
  <c r="Q115" i="25"/>
  <c r="R115" i="25"/>
  <c r="S115" i="25"/>
  <c r="T115" i="25"/>
  <c r="I116" i="25"/>
  <c r="O116" i="25"/>
  <c r="P116" i="25"/>
  <c r="Q116" i="25"/>
  <c r="R116" i="25"/>
  <c r="S116" i="25"/>
  <c r="T116" i="25"/>
  <c r="I117" i="25"/>
  <c r="O117" i="25"/>
  <c r="V117" i="25" s="1"/>
  <c r="P117" i="25"/>
  <c r="Q117" i="25"/>
  <c r="R117" i="25"/>
  <c r="S117" i="25"/>
  <c r="T117" i="25"/>
  <c r="I118" i="25"/>
  <c r="O118" i="25"/>
  <c r="P118" i="25"/>
  <c r="Q118" i="25"/>
  <c r="R118" i="25"/>
  <c r="S118" i="25"/>
  <c r="T118" i="25"/>
  <c r="I119" i="25"/>
  <c r="O119" i="25"/>
  <c r="P119" i="25"/>
  <c r="Q119" i="25"/>
  <c r="R119" i="25"/>
  <c r="S119" i="25"/>
  <c r="T119" i="25"/>
  <c r="D120" i="25"/>
  <c r="E120" i="25"/>
  <c r="F120" i="25"/>
  <c r="G120" i="25"/>
  <c r="H120" i="25"/>
  <c r="J120" i="25"/>
  <c r="K120" i="25"/>
  <c r="L120" i="25"/>
  <c r="M120" i="25"/>
  <c r="N120" i="25"/>
  <c r="R120" i="25" l="1"/>
  <c r="R121" i="25" s="1"/>
  <c r="V108" i="25"/>
  <c r="V106" i="25"/>
  <c r="V98" i="25"/>
  <c r="V90" i="25"/>
  <c r="V82" i="25"/>
  <c r="V74" i="25"/>
  <c r="V66" i="25"/>
  <c r="V50" i="25"/>
  <c r="V42" i="25"/>
  <c r="V34" i="25"/>
  <c r="V26" i="25"/>
  <c r="V18" i="25"/>
  <c r="V111" i="25"/>
  <c r="V71" i="25"/>
  <c r="T120" i="25"/>
  <c r="T121" i="25" s="1"/>
  <c r="V105" i="25"/>
  <c r="U110" i="25"/>
  <c r="V109" i="25"/>
  <c r="V6" i="25"/>
  <c r="S120" i="25"/>
  <c r="S121" i="25" s="1"/>
  <c r="V112" i="25"/>
  <c r="V96" i="25"/>
  <c r="V80" i="25"/>
  <c r="V72" i="25"/>
  <c r="V64" i="25"/>
  <c r="V56" i="25"/>
  <c r="V48" i="25"/>
  <c r="V40" i="25"/>
  <c r="V32" i="25"/>
  <c r="V24" i="25"/>
  <c r="V58" i="25"/>
  <c r="U106" i="25"/>
  <c r="U108" i="25"/>
  <c r="V107" i="25"/>
  <c r="U104" i="25"/>
  <c r="U102" i="25"/>
  <c r="V101" i="25"/>
  <c r="V103" i="25"/>
  <c r="V113" i="25"/>
  <c r="Q120" i="25"/>
  <c r="Q121" i="25" s="1"/>
  <c r="V119" i="25"/>
  <c r="U89" i="25"/>
  <c r="U85" i="25"/>
  <c r="U81" i="25"/>
  <c r="U77" i="25"/>
  <c r="U73" i="25"/>
  <c r="U69" i="25"/>
  <c r="U65" i="25"/>
  <c r="U61" i="25"/>
  <c r="U57" i="25"/>
  <c r="U53" i="25"/>
  <c r="U49" i="25"/>
  <c r="U45" i="25"/>
  <c r="U41" i="25"/>
  <c r="U37" i="25"/>
  <c r="U33" i="25"/>
  <c r="U29" i="25"/>
  <c r="U25" i="25"/>
  <c r="U21" i="25"/>
  <c r="U17" i="25"/>
  <c r="V104" i="25"/>
  <c r="V102" i="25"/>
  <c r="V97" i="25"/>
  <c r="U96" i="25"/>
  <c r="V95" i="25"/>
  <c r="U94" i="25"/>
  <c r="V93" i="25"/>
  <c r="V89" i="25"/>
  <c r="V87" i="25"/>
  <c r="V85" i="25"/>
  <c r="V81" i="25"/>
  <c r="V79" i="25"/>
  <c r="V77" i="25"/>
  <c r="V73" i="25"/>
  <c r="V69" i="25"/>
  <c r="V65" i="25"/>
  <c r="V63" i="25"/>
  <c r="V61" i="25"/>
  <c r="V57" i="25"/>
  <c r="V55" i="25"/>
  <c r="V53" i="25"/>
  <c r="V49" i="25"/>
  <c r="V47" i="25"/>
  <c r="V45" i="25"/>
  <c r="V41" i="25"/>
  <c r="V39" i="25"/>
  <c r="V37" i="25"/>
  <c r="V33" i="25"/>
  <c r="V31" i="25"/>
  <c r="V29" i="25"/>
  <c r="V23" i="25"/>
  <c r="V21" i="25"/>
  <c r="V17" i="25"/>
  <c r="U112" i="25"/>
  <c r="V100" i="25"/>
  <c r="V92" i="25"/>
  <c r="V84" i="25"/>
  <c r="V76" i="25"/>
  <c r="V68" i="25"/>
  <c r="V60" i="25"/>
  <c r="V52" i="25"/>
  <c r="V44" i="25"/>
  <c r="V36" i="25"/>
  <c r="V28" i="25"/>
  <c r="V20" i="25"/>
  <c r="U116" i="25"/>
  <c r="U114" i="25"/>
  <c r="V94" i="25"/>
  <c r="U87" i="25"/>
  <c r="V86" i="25"/>
  <c r="U79" i="25"/>
  <c r="V78" i="25"/>
  <c r="U71" i="25"/>
  <c r="V70" i="25"/>
  <c r="U63" i="25"/>
  <c r="V62" i="25"/>
  <c r="U55" i="25"/>
  <c r="V54" i="25"/>
  <c r="U47" i="25"/>
  <c r="V46" i="25"/>
  <c r="U39" i="25"/>
  <c r="V38" i="25"/>
  <c r="U31" i="25"/>
  <c r="V30" i="25"/>
  <c r="U23" i="25"/>
  <c r="V22" i="25"/>
  <c r="U118" i="25"/>
  <c r="U98" i="25"/>
  <c r="U90" i="25"/>
  <c r="V8" i="25"/>
  <c r="U83" i="25"/>
  <c r="U75" i="25"/>
  <c r="U67" i="25"/>
  <c r="U59" i="25"/>
  <c r="U51" i="25"/>
  <c r="U43" i="25"/>
  <c r="U35" i="25"/>
  <c r="U27" i="25"/>
  <c r="U19" i="25"/>
  <c r="V115" i="25"/>
  <c r="P120" i="25"/>
  <c r="P121" i="25" s="1"/>
  <c r="U100" i="25"/>
  <c r="V99" i="25"/>
  <c r="U92" i="25"/>
  <c r="V91" i="25"/>
  <c r="V83" i="25"/>
  <c r="V75" i="25"/>
  <c r="V67" i="25"/>
  <c r="V59" i="25"/>
  <c r="V51" i="25"/>
  <c r="V43" i="25"/>
  <c r="V35" i="25"/>
  <c r="V27" i="25"/>
  <c r="V19" i="25"/>
  <c r="V10" i="25"/>
  <c r="U15" i="25"/>
  <c r="U13" i="25"/>
  <c r="U11" i="25"/>
  <c r="U9" i="25"/>
  <c r="U7" i="25"/>
  <c r="O120" i="25"/>
  <c r="I120" i="25"/>
  <c r="V118" i="25"/>
  <c r="V116" i="25"/>
  <c r="V114" i="25"/>
  <c r="V14" i="25"/>
  <c r="V12" i="25"/>
  <c r="V15" i="25"/>
  <c r="V13" i="25"/>
  <c r="V11" i="25"/>
  <c r="V9" i="25"/>
  <c r="V7" i="25"/>
  <c r="A3" i="25"/>
  <c r="U119" i="25"/>
  <c r="U117" i="25"/>
  <c r="U115" i="25"/>
  <c r="U113" i="25"/>
  <c r="U111" i="25"/>
  <c r="U109" i="25"/>
  <c r="U107" i="25"/>
  <c r="U105" i="25"/>
  <c r="U103" i="25"/>
  <c r="U101" i="25"/>
  <c r="U99" i="25"/>
  <c r="U97" i="25"/>
  <c r="U95" i="25"/>
  <c r="U93" i="25"/>
  <c r="U91" i="25"/>
  <c r="U70" i="25"/>
  <c r="U68" i="25"/>
  <c r="U66" i="25"/>
  <c r="U64" i="25"/>
  <c r="U62" i="25"/>
  <c r="U60" i="25"/>
  <c r="U58" i="25"/>
  <c r="U56" i="25"/>
  <c r="U54" i="25"/>
  <c r="U52" i="25"/>
  <c r="U50" i="25"/>
  <c r="U48" i="25"/>
  <c r="U46" i="25"/>
  <c r="U44" i="25"/>
  <c r="U42" i="25"/>
  <c r="U40" i="25"/>
  <c r="U38" i="25"/>
  <c r="U36" i="25"/>
  <c r="U34" i="25"/>
  <c r="U32" i="25"/>
  <c r="U30" i="25"/>
  <c r="U28" i="25"/>
  <c r="U26" i="25"/>
  <c r="U24" i="25"/>
  <c r="U22" i="25"/>
  <c r="U20" i="25"/>
  <c r="U18" i="25"/>
  <c r="U16" i="25"/>
  <c r="U14" i="25"/>
  <c r="U12" i="25"/>
  <c r="U10" i="25"/>
  <c r="U8" i="25"/>
  <c r="U6" i="25"/>
  <c r="U88" i="25"/>
  <c r="U86" i="25"/>
  <c r="U84" i="25"/>
  <c r="U82" i="25"/>
  <c r="U80" i="25"/>
  <c r="U78" i="25"/>
  <c r="U76" i="25"/>
  <c r="U74" i="25"/>
  <c r="U72" i="25"/>
  <c r="U121" i="25" l="1"/>
  <c r="U120" i="25"/>
  <c r="V120" i="25"/>
  <c r="W111" i="108"/>
  <c r="C111" i="108" l="1"/>
  <c r="D111" i="108"/>
  <c r="E111" i="108"/>
  <c r="F111" i="108"/>
  <c r="G111" i="108"/>
  <c r="H111" i="108"/>
  <c r="I111" i="108"/>
  <c r="J111" i="108"/>
  <c r="K111" i="108"/>
  <c r="M111" i="108"/>
  <c r="N111" i="108"/>
  <c r="O111" i="108"/>
  <c r="P111" i="108"/>
  <c r="Q111" i="108"/>
  <c r="R111" i="108"/>
  <c r="S111" i="108"/>
  <c r="T111" i="108"/>
  <c r="U111" i="108"/>
  <c r="AA111" i="108" l="1"/>
  <c r="V111" i="108"/>
  <c r="L111" i="108" l="1"/>
</calcChain>
</file>

<file path=xl/sharedStrings.xml><?xml version="1.0" encoding="utf-8"?>
<sst xmlns="http://schemas.openxmlformats.org/spreadsheetml/2006/main" count="3673" uniqueCount="509">
  <si>
    <t xml:space="preserve">Lake Texana </t>
  </si>
  <si>
    <t xml:space="preserve">Lake Whitney    </t>
  </si>
  <si>
    <t xml:space="preserve">Landmark Inn </t>
  </si>
  <si>
    <t xml:space="preserve">Lockhart </t>
  </si>
  <si>
    <t xml:space="preserve">Lost Maples </t>
  </si>
  <si>
    <t xml:space="preserve">Lyndon B. Johnson   </t>
  </si>
  <si>
    <t xml:space="preserve">Magoffin Home </t>
  </si>
  <si>
    <t>acctg note: park office closed. All revenue collected in iron ranger &amp; registered at Calliham</t>
  </si>
  <si>
    <t xml:space="preserve">Martin Creek Lake </t>
  </si>
  <si>
    <t xml:space="preserve">Martin Dies, Jr. </t>
  </si>
  <si>
    <t xml:space="preserve">Matagorda Island  </t>
  </si>
  <si>
    <t xml:space="preserve">McKinney Falls </t>
  </si>
  <si>
    <t xml:space="preserve">Meridian </t>
  </si>
  <si>
    <t xml:space="preserve">Mission Tejas </t>
  </si>
  <si>
    <t>Monahans Sandhills</t>
  </si>
  <si>
    <t>Estero Llano Grande</t>
  </si>
  <si>
    <t xml:space="preserve">Wyler Aerial Tramway </t>
  </si>
  <si>
    <t>Grand Total</t>
  </si>
  <si>
    <t xml:space="preserve">Barton Warnock </t>
  </si>
  <si>
    <t xml:space="preserve">Bastrop     </t>
  </si>
  <si>
    <t>Battleship Texas</t>
  </si>
  <si>
    <t xml:space="preserve">Bentsen </t>
  </si>
  <si>
    <t xml:space="preserve">Big Bend Ranch </t>
  </si>
  <si>
    <t xml:space="preserve">Big Spring   </t>
  </si>
  <si>
    <t xml:space="preserve">Blanco </t>
  </si>
  <si>
    <t xml:space="preserve">Bonham </t>
  </si>
  <si>
    <t xml:space="preserve">Brazos Bend </t>
  </si>
  <si>
    <t xml:space="preserve">Buescher  </t>
  </si>
  <si>
    <t xml:space="preserve">Caddo Lake </t>
  </si>
  <si>
    <t xml:space="preserve">Caddoan Mounds </t>
  </si>
  <si>
    <t xml:space="preserve">Cooper Lake - Doctors Creek </t>
  </si>
  <si>
    <t xml:space="preserve">Cooper Lake - South Sulphur  </t>
  </si>
  <si>
    <t xml:space="preserve">Copper Breaks </t>
  </si>
  <si>
    <t xml:space="preserve">Daingerfield </t>
  </si>
  <si>
    <t xml:space="preserve">Davis Mtns   </t>
  </si>
  <si>
    <t>Devil's River</t>
  </si>
  <si>
    <t xml:space="preserve">Dinosaur Valley </t>
  </si>
  <si>
    <t xml:space="preserve">Enchanted Rock </t>
  </si>
  <si>
    <t xml:space="preserve">Fairfield Lake </t>
  </si>
  <si>
    <t xml:space="preserve">Falcon </t>
  </si>
  <si>
    <t xml:space="preserve">Fort Boggy </t>
  </si>
  <si>
    <t xml:space="preserve">Fort Griffin </t>
  </si>
  <si>
    <t xml:space="preserve">Fort Lancaster </t>
  </si>
  <si>
    <t xml:space="preserve">Fort Leaton  </t>
  </si>
  <si>
    <t xml:space="preserve">Fort McKavett </t>
  </si>
  <si>
    <t xml:space="preserve">Fort Parker  </t>
  </si>
  <si>
    <t xml:space="preserve">Fort Richardson </t>
  </si>
  <si>
    <t xml:space="preserve">Franklin Mountains </t>
  </si>
  <si>
    <t xml:space="preserve">Fulton Mansion </t>
  </si>
  <si>
    <t>Galveston Island</t>
  </si>
  <si>
    <t xml:space="preserve">Garner </t>
  </si>
  <si>
    <t xml:space="preserve">Goliad  </t>
  </si>
  <si>
    <t xml:space="preserve">Goose Island </t>
  </si>
  <si>
    <t xml:space="preserve">Guadalupe River </t>
  </si>
  <si>
    <t xml:space="preserve">Hill Country </t>
  </si>
  <si>
    <t xml:space="preserve">Hueco Tanks </t>
  </si>
  <si>
    <t xml:space="preserve">Huntsville </t>
  </si>
  <si>
    <t xml:space="preserve">Indian Lodge  </t>
  </si>
  <si>
    <t xml:space="preserve">Inks Lake </t>
  </si>
  <si>
    <t>Kickapoo Cavern</t>
  </si>
  <si>
    <t xml:space="preserve">Lake Arrowhead </t>
  </si>
  <si>
    <t xml:space="preserve">Lake Bob Sandlin </t>
  </si>
  <si>
    <t xml:space="preserve">Lake Brownwood </t>
  </si>
  <si>
    <t xml:space="preserve">Lake Casa Blanca </t>
  </si>
  <si>
    <t xml:space="preserve">Lake Colorado City    </t>
  </si>
  <si>
    <t>0609</t>
  </si>
  <si>
    <t>0595</t>
  </si>
  <si>
    <t>0347</t>
  </si>
  <si>
    <t>0451</t>
  </si>
  <si>
    <t>0283</t>
  </si>
  <si>
    <t>0511</t>
  </si>
  <si>
    <t>0607</t>
  </si>
  <si>
    <t>0038</t>
  </si>
  <si>
    <t>0602</t>
  </si>
  <si>
    <t>0437</t>
  </si>
  <si>
    <t>0591</t>
  </si>
  <si>
    <t>0280</t>
  </si>
  <si>
    <t>0122</t>
  </si>
  <si>
    <t>0086</t>
  </si>
  <si>
    <t>0054</t>
  </si>
  <si>
    <t>0056</t>
  </si>
  <si>
    <t>0603</t>
  </si>
  <si>
    <t>0605</t>
  </si>
  <si>
    <t>0356</t>
  </si>
  <si>
    <t>0521</t>
  </si>
  <si>
    <t>0386</t>
  </si>
  <si>
    <t>0389</t>
  </si>
  <si>
    <t>0405</t>
  </si>
  <si>
    <t>0475</t>
  </si>
  <si>
    <t>0100</t>
  </si>
  <si>
    <t>0096</t>
  </si>
  <si>
    <t>0131</t>
  </si>
  <si>
    <t>0170</t>
  </si>
  <si>
    <t>0223</t>
  </si>
  <si>
    <t>0241</t>
  </si>
  <si>
    <t>0164</t>
  </si>
  <si>
    <t>0018</t>
  </si>
  <si>
    <t>0149</t>
  </si>
  <si>
    <t>0142</t>
  </si>
  <si>
    <t>0195</t>
  </si>
  <si>
    <t>0515</t>
  </si>
  <si>
    <t>0518</t>
  </si>
  <si>
    <t>0039</t>
  </si>
  <si>
    <t>0046</t>
  </si>
  <si>
    <t>0581</t>
  </si>
  <si>
    <t>0416</t>
  </si>
  <si>
    <t>0023</t>
  </si>
  <si>
    <t>0134</t>
  </si>
  <si>
    <t>0135</t>
  </si>
  <si>
    <t>0440</t>
  </si>
  <si>
    <t>0176</t>
  </si>
  <si>
    <t>0110</t>
  </si>
  <si>
    <t>0236</t>
  </si>
  <si>
    <t>0439</t>
  </si>
  <si>
    <t>0072</t>
  </si>
  <si>
    <t>0524</t>
  </si>
  <si>
    <t>0277</t>
  </si>
  <si>
    <t>0225</t>
  </si>
  <si>
    <t>0228</t>
  </si>
  <si>
    <t>0259</t>
  </si>
  <si>
    <t>0369</t>
  </si>
  <si>
    <t>0145</t>
  </si>
  <si>
    <t>0279</t>
  </si>
  <si>
    <t>0529</t>
  </si>
  <si>
    <t>0178</t>
  </si>
  <si>
    <t>0615</t>
  </si>
  <si>
    <t>0545</t>
  </si>
  <si>
    <t>0085</t>
  </si>
  <si>
    <t>0367</t>
  </si>
  <si>
    <t>0105</t>
  </si>
  <si>
    <t>0383</t>
  </si>
  <si>
    <t>0401</t>
  </si>
  <si>
    <t>0219</t>
  </si>
  <si>
    <t>0496</t>
  </si>
  <si>
    <t>0504</t>
  </si>
  <si>
    <t>0463</t>
  </si>
  <si>
    <t>0430</t>
  </si>
  <si>
    <t>0104</t>
  </si>
  <si>
    <t>0362</t>
  </si>
  <si>
    <t>0601</t>
  </si>
  <si>
    <t>0211</t>
  </si>
  <si>
    <t>0264</t>
  </si>
  <si>
    <t>0563</t>
  </si>
  <si>
    <t>0625</t>
  </si>
  <si>
    <t>0388</t>
  </si>
  <si>
    <t>0398</t>
  </si>
  <si>
    <t>0099</t>
  </si>
  <si>
    <t>0083</t>
  </si>
  <si>
    <t>0570</t>
  </si>
  <si>
    <t>0594</t>
  </si>
  <si>
    <t>0616</t>
  </si>
  <si>
    <t>0619</t>
  </si>
  <si>
    <t xml:space="preserve">Ray Roberts IDB </t>
  </si>
  <si>
    <t xml:space="preserve">Ray Roberts Johnson </t>
  </si>
  <si>
    <t xml:space="preserve">Sam Bell Maxey </t>
  </si>
  <si>
    <t xml:space="preserve">San Angelo   </t>
  </si>
  <si>
    <t xml:space="preserve">Sea Rim    </t>
  </si>
  <si>
    <t xml:space="preserve">Sebastopol </t>
  </si>
  <si>
    <t xml:space="preserve">Seminole Canyon </t>
  </si>
  <si>
    <t>Sheldon Lake</t>
  </si>
  <si>
    <t xml:space="preserve">South Llano River </t>
  </si>
  <si>
    <t xml:space="preserve">Starr Family </t>
  </si>
  <si>
    <t xml:space="preserve">Stephen F. Austin  </t>
  </si>
  <si>
    <t xml:space="preserve">Tyler </t>
  </si>
  <si>
    <t xml:space="preserve">Varner Hogg </t>
  </si>
  <si>
    <t xml:space="preserve">Village Creek </t>
  </si>
  <si>
    <t>Region</t>
  </si>
  <si>
    <t xml:space="preserve"> Increase (Decrease) </t>
  </si>
  <si>
    <t>Misc/ Donation</t>
  </si>
  <si>
    <t>0384</t>
  </si>
  <si>
    <t>0433</t>
  </si>
  <si>
    <t>0503</t>
  </si>
  <si>
    <t>0588</t>
  </si>
  <si>
    <t>0118</t>
  </si>
  <si>
    <t>0185</t>
  </si>
  <si>
    <t>0210</t>
  </si>
  <si>
    <t>0127</t>
  </si>
  <si>
    <t>0269</t>
  </si>
  <si>
    <t>0217</t>
  </si>
  <si>
    <t>0371</t>
  </si>
  <si>
    <t>0381</t>
  </si>
  <si>
    <t>0404</t>
  </si>
  <si>
    <t>0434</t>
  </si>
  <si>
    <t>0445</t>
  </si>
  <si>
    <t>0448</t>
  </si>
  <si>
    <t>0460</t>
  </si>
  <si>
    <t>0487</t>
  </si>
  <si>
    <t>0387</t>
  </si>
  <si>
    <t>0560</t>
  </si>
  <si>
    <t>0297</t>
  </si>
  <si>
    <t>0175</t>
  </si>
  <si>
    <t>0533</t>
  </si>
  <si>
    <t>0600</t>
  </si>
  <si>
    <t>0327</t>
  </si>
  <si>
    <t>0506</t>
  </si>
  <si>
    <t>acctg note:  consolidated with Washington on the Brazos in FY07</t>
  </si>
  <si>
    <t>acctg note:  transferred to City of Houston Nov 06</t>
  </si>
  <si>
    <t>acctg note: Park office clased, cash receipts via iron ranger that flows through Somerville Birch</t>
  </si>
  <si>
    <t>acctg note: new site opened to public 6/22/05</t>
  </si>
  <si>
    <t>Fanthorp Inn (rpt with WOB)</t>
  </si>
  <si>
    <t>Rusk/Palestine (rpt with TSRR)</t>
  </si>
  <si>
    <t>Customer Support Services</t>
  </si>
  <si>
    <t>Texas State Railroad Complex (incl Rusk/Pal.)</t>
  </si>
  <si>
    <t>Washington on the Brazos (incl Fanthorp)</t>
  </si>
  <si>
    <t>% Inc (Dec)</t>
  </si>
  <si>
    <t>State Parks</t>
  </si>
  <si>
    <t>Entrance</t>
  </si>
  <si>
    <t>Facilities</t>
  </si>
  <si>
    <t>Total</t>
  </si>
  <si>
    <t xml:space="preserve">Admiral Nimitz </t>
  </si>
  <si>
    <t xml:space="preserve">Atlanta </t>
  </si>
  <si>
    <t xml:space="preserve">Balmorhea </t>
  </si>
  <si>
    <t>hq</t>
  </si>
  <si>
    <t>Org</t>
  </si>
  <si>
    <t>0674</t>
  </si>
  <si>
    <t>Texas State Parks Cash Receipts Comparison</t>
  </si>
  <si>
    <t>Abilene</t>
  </si>
  <si>
    <t>Comments</t>
  </si>
  <si>
    <t>Activities &amp; Conc'ns</t>
  </si>
  <si>
    <t>TSPP</t>
  </si>
  <si>
    <t>Government Canyon</t>
  </si>
  <si>
    <t>Longhorn Cavern</t>
  </si>
  <si>
    <t>Monument Hill</t>
  </si>
  <si>
    <t xml:space="preserve">Lake Somerville  Nails  </t>
  </si>
  <si>
    <t xml:space="preserve">Lake Tawakoni </t>
  </si>
  <si>
    <t>Eisenhower State Park</t>
  </si>
  <si>
    <t>Park Business Management</t>
  </si>
  <si>
    <t>Eisenhower Birthplace</t>
  </si>
  <si>
    <t>Copano Bay</t>
  </si>
  <si>
    <t xml:space="preserve">Lake Corpus Christi   </t>
  </si>
  <si>
    <t xml:space="preserve">Lake Houston   </t>
  </si>
  <si>
    <t xml:space="preserve">Lake Livingston </t>
  </si>
  <si>
    <t xml:space="preserve">Lake Mineral Wells  </t>
  </si>
  <si>
    <t>Lake Somerville  Birch</t>
  </si>
  <si>
    <t xml:space="preserve">Mother Neff  </t>
  </si>
  <si>
    <t xml:space="preserve">Mustang Island </t>
  </si>
  <si>
    <t>Palmetto</t>
  </si>
  <si>
    <t xml:space="preserve">Palo Duro Canyon </t>
  </si>
  <si>
    <t xml:space="preserve">Pedernales Falls </t>
  </si>
  <si>
    <t xml:space="preserve">Possum Kingdom </t>
  </si>
  <si>
    <t xml:space="preserve">Purtis Creek </t>
  </si>
  <si>
    <t>acct note:  Activities includes reservation fees, Misc. includes LCRA/Kerrville reservation fees and OHV Decal</t>
  </si>
  <si>
    <t xml:space="preserve">Caprock Canyons </t>
  </si>
  <si>
    <t>Casa Navarro</t>
  </si>
  <si>
    <t xml:space="preserve">Cedar Hill </t>
  </si>
  <si>
    <t xml:space="preserve">Choke Canyon - Calliham  </t>
  </si>
  <si>
    <t>Choke Canyon - South Shore</t>
  </si>
  <si>
    <t xml:space="preserve">Cleburne </t>
  </si>
  <si>
    <t xml:space="preserve">Colorado Bend </t>
  </si>
  <si>
    <t>acctg note: park office closed. All revenue collected in iron ranger &amp; registered at South Sulphur office</t>
  </si>
  <si>
    <t>acctg note: transferred to TX State Historical Commission 11/1/05</t>
  </si>
  <si>
    <t>acctg note: converted to WMA 12-1-05</t>
  </si>
  <si>
    <t>acctg note: Rusk data now incorporated with TSRR, now known as TSRR complex</t>
  </si>
  <si>
    <t>Day Visits</t>
  </si>
  <si>
    <t>Full Entry</t>
  </si>
  <si>
    <t>Waived Child</t>
  </si>
  <si>
    <t>Partial Parklands Passport</t>
  </si>
  <si>
    <t>Full Parklands Passport</t>
  </si>
  <si>
    <t>Other Prepaid Pass</t>
  </si>
  <si>
    <t>Student School Group</t>
  </si>
  <si>
    <t>Other Waived</t>
  </si>
  <si>
    <t>Other Discounted</t>
  </si>
  <si>
    <t>Overnight Visits</t>
  </si>
  <si>
    <t>Texas State Parks Visitation</t>
  </si>
  <si>
    <t>Total Visits</t>
  </si>
  <si>
    <t>Longhorn Caverns</t>
  </si>
  <si>
    <t>Estimated Visits (Car-Counter)</t>
  </si>
  <si>
    <t>Paid Visits</t>
  </si>
  <si>
    <t>BALMORHEA STATE PARK</t>
  </si>
  <si>
    <t>BARTON WARNOCK EEC</t>
  </si>
  <si>
    <t>BIG BEND RANCH STATE PARK</t>
  </si>
  <si>
    <t>DAVIS MOUNTAINS STATE PARK</t>
  </si>
  <si>
    <t>DEVILS RIVER STATE NATURAL AREA</t>
  </si>
  <si>
    <t>FORT LEATON STATE HISTORIC SITE</t>
  </si>
  <si>
    <t>FRANKLIN MOUNTAINS STATE PARK</t>
  </si>
  <si>
    <t>HUECO TANKS STATE HISTORIC SITE</t>
  </si>
  <si>
    <t>INDIAN LODGE</t>
  </si>
  <si>
    <t>KICKAPOO CAVERN STATE PARK</t>
  </si>
  <si>
    <t>MONAHANS SANDHILLS STATE PARK</t>
  </si>
  <si>
    <t>SEMINOLE CANYON STATE PARK</t>
  </si>
  <si>
    <t>WYLER AERIAL TRAMWAY STATE PARK</t>
  </si>
  <si>
    <t>CHOKE CANYON STATE PARK</t>
  </si>
  <si>
    <t>ESTERO LLANO GRANDE STATE PARK</t>
  </si>
  <si>
    <t>FALCON STATE PARK</t>
  </si>
  <si>
    <t>GOLIAD STATE PARK</t>
  </si>
  <si>
    <t>GOOSE ISLAND STATE PARK</t>
  </si>
  <si>
    <t>LAKE CASA BLANCA STATE PARK</t>
  </si>
  <si>
    <t>LAKE CORPUS CHRISTI STATE PARK</t>
  </si>
  <si>
    <t>MUSTANG ISLAND STATE PARK</t>
  </si>
  <si>
    <t>RESACA DE LA PALMA STATE PARK</t>
  </si>
  <si>
    <t>BONHAM STATE PARK</t>
  </si>
  <si>
    <t>CEDAR HILL STATE PARK</t>
  </si>
  <si>
    <t>CLEBURNE STATE PARK</t>
  </si>
  <si>
    <t>DINOSAUR VALLEY STATE PARK</t>
  </si>
  <si>
    <t>EISENHOWER STATE PARK</t>
  </si>
  <si>
    <t>FAIRFIELD LAKE STATE PARK</t>
  </si>
  <si>
    <t>FORT PARKER STATE PARK</t>
  </si>
  <si>
    <t>FORT BOGGY STATE PARK</t>
  </si>
  <si>
    <t>LAKE MINERAL WELLS STATE PARK</t>
  </si>
  <si>
    <t>LAKE WHITNEY STATE PARK</t>
  </si>
  <si>
    <t>MERIDIAN STATE PARK</t>
  </si>
  <si>
    <t>MOTHER NEFF STATE PARK</t>
  </si>
  <si>
    <t>RAY ROBERTS ISLE DU BOIS STATE PARK</t>
  </si>
  <si>
    <t>RAY ROBERTS - GREENBELT</t>
  </si>
  <si>
    <t>RAY ROBERTS JOHNSON BRANCH STATE PARK</t>
  </si>
  <si>
    <t>BATTLESHIP TEXAS STATE HISTORIC SITE</t>
  </si>
  <si>
    <t>BRAZOS BEND STATE PARK</t>
  </si>
  <si>
    <t>GALVESTON ISLAND STATE PARK</t>
  </si>
  <si>
    <t>LAKE LIVINGSTON STATE PARK</t>
  </si>
  <si>
    <t>MARTIN DIES JR. STATE PARK</t>
  </si>
  <si>
    <t>SHELDON LAKE STATE PARK</t>
  </si>
  <si>
    <t>STEPHEN F. AUSTIN STATE PARK</t>
  </si>
  <si>
    <t>VILLAGE CREEK STATE PARK</t>
  </si>
  <si>
    <t>BASTROP STATE PARK</t>
  </si>
  <si>
    <t>BUESCHER STATE PARK</t>
  </si>
  <si>
    <t>FANTHORP INN STATE HISTORIC SITE</t>
  </si>
  <si>
    <t>GOVERNMENT CANYON STATE NATURAL AREA</t>
  </si>
  <si>
    <t>GUADALUPE RIVER STATE PARK</t>
  </si>
  <si>
    <t>HUNTSVILLE STATE PARK</t>
  </si>
  <si>
    <t>LAKE SOMERVILLE BIRCH CREEK STATE PARK</t>
  </si>
  <si>
    <t>LAKE SOMERVILLE NAILS CREEK STATE PARK</t>
  </si>
  <si>
    <t>LOCKHART STATE PARK</t>
  </si>
  <si>
    <t>MCKINNEY FALLS STATE PARK</t>
  </si>
  <si>
    <t>MONUMENT HILL/KREISCHE BREWERY STATE HISTORIC SITE</t>
  </si>
  <si>
    <t>PALMETTO STATE PARK</t>
  </si>
  <si>
    <t>WASHINGTON ON THE BRAZOS STATE HISTORIC SITE</t>
  </si>
  <si>
    <t>ABILENE STATE PARK</t>
  </si>
  <si>
    <t>CAPROCK CANYONS STATE PARK</t>
  </si>
  <si>
    <t>COPPER BREAKS STATE PARK</t>
  </si>
  <si>
    <t>FORT RICHARDSON STATE HISTORIC SITE</t>
  </si>
  <si>
    <t>LAKE ARROWHEAD STATE PARK</t>
  </si>
  <si>
    <t>LAKE BROWNWOOD STATE PARK</t>
  </si>
  <si>
    <t>LAKE COLORADO CITY STATE PARK</t>
  </si>
  <si>
    <t>PALO DURO CANYON STATE PARK</t>
  </si>
  <si>
    <t>POSSUM KINGDOM STATE PARK</t>
  </si>
  <si>
    <t>SAN ANGELO STATE PARK</t>
  </si>
  <si>
    <t>BLANCO STATE PARK</t>
  </si>
  <si>
    <t>COLORADO BEND STATE PARK</t>
  </si>
  <si>
    <t>ENCHANTED ROCK STATE NATURAL AREA</t>
  </si>
  <si>
    <t>GARNER STATE PARK</t>
  </si>
  <si>
    <t>HILL COUNTRY STATE NATURAL AREA</t>
  </si>
  <si>
    <t>INKS LAKE STATE PARK</t>
  </si>
  <si>
    <t>LOST MAPLES STATE NATURAL AREA</t>
  </si>
  <si>
    <t>LYNDON B. JOHNSON STATE HISTORIC SITE</t>
  </si>
  <si>
    <t>PEDERNALES FALLS STATE PARK</t>
  </si>
  <si>
    <t>SOUTH LLANO RIVER STATE PARK</t>
  </si>
  <si>
    <t>ATLANTA STATE PARK</t>
  </si>
  <si>
    <t>CADDO LAKE STATE PARK</t>
  </si>
  <si>
    <t>COOPER LAKE DOCTORS CREEK STATE PARK</t>
  </si>
  <si>
    <t>COOPER LAKE SOUTH SULPHUR STATE PARK</t>
  </si>
  <si>
    <t>LAKE BOB SANDLIN STATE PARK</t>
  </si>
  <si>
    <t>LAKE TAWAKONI STATE PARK</t>
  </si>
  <si>
    <t>MARTIN CREEK LAKE STATE PARK</t>
  </si>
  <si>
    <t>MISSION TEJAS STATE PARK</t>
  </si>
  <si>
    <t>PURTIS CREEK STATE PARK</t>
  </si>
  <si>
    <t>DEVILS SINKHOLE STATE NATURAL AREA</t>
  </si>
  <si>
    <t>BENTSEN RIO GRANDE STATE PARK</t>
  </si>
  <si>
    <t>SEA RIM STATE PARK</t>
  </si>
  <si>
    <t>BIG SPRING STATE PARK</t>
  </si>
  <si>
    <t>DAINGERFIELD STATE PARK</t>
  </si>
  <si>
    <t>ORG</t>
  </si>
  <si>
    <t>0147</t>
  </si>
  <si>
    <t>0275</t>
  </si>
  <si>
    <t>0649</t>
  </si>
  <si>
    <t>TYLER STATE PARK</t>
  </si>
  <si>
    <t>0791</t>
  </si>
  <si>
    <t>OLD TUNNEL</t>
  </si>
  <si>
    <t>day_visits_full_entry</t>
  </si>
  <si>
    <t>day_visits_tspp</t>
  </si>
  <si>
    <t>day_visits_partial_pp</t>
  </si>
  <si>
    <t>day_visits_full_pp</t>
  </si>
  <si>
    <t>day_visits_other_prepaid</t>
  </si>
  <si>
    <t>overnight_full_entry</t>
  </si>
  <si>
    <t>overnight_tspp</t>
  </si>
  <si>
    <t>overnight_partial_pp</t>
  </si>
  <si>
    <t>overnight_full_pp</t>
  </si>
  <si>
    <t>overnight_other_prepaid</t>
  </si>
  <si>
    <t>park_name</t>
  </si>
  <si>
    <t>BALMORHEA SP</t>
  </si>
  <si>
    <t>BARTON WARNOCK VISITOR CENTER</t>
  </si>
  <si>
    <t>BIG BEND RANCH SP</t>
  </si>
  <si>
    <t>DAVIS MOUNTAINS SP</t>
  </si>
  <si>
    <t>DEVILS RIVER SNA</t>
  </si>
  <si>
    <t>FORT LEATON SHS</t>
  </si>
  <si>
    <t>FRANKLIN MOUNTAINS SP</t>
  </si>
  <si>
    <t>HUECO TANKS SP AND SHS</t>
  </si>
  <si>
    <t>KICKAPOO CAVERN SP</t>
  </si>
  <si>
    <t>LK COLORADO CITY SP</t>
  </si>
  <si>
    <t>MONAHANS SANDHILLS SP</t>
  </si>
  <si>
    <t>SAN ANGELO SP</t>
  </si>
  <si>
    <t>SEMINOLE CANYON SP AND SHS</t>
  </si>
  <si>
    <t>BENTSEN RIO GRANDE SP</t>
  </si>
  <si>
    <t>CHOKE CANYON SP</t>
  </si>
  <si>
    <t>ESTERO LLANO GRANDE SP</t>
  </si>
  <si>
    <t>FALCON SP</t>
  </si>
  <si>
    <t>GOLIAD SP</t>
  </si>
  <si>
    <t>GOOSE ISLAND SP</t>
  </si>
  <si>
    <t>LK CASA BLANCA INTERNATIONAL SP</t>
  </si>
  <si>
    <t>LK CORPUS CHRISTI SP</t>
  </si>
  <si>
    <t>LOCKHART SP</t>
  </si>
  <si>
    <t>MUSTANG ISLAND SP</t>
  </si>
  <si>
    <t>PALMETTO SP</t>
  </si>
  <si>
    <t>RESACA DE LA PALMA SP</t>
  </si>
  <si>
    <t>BASTROP SP</t>
  </si>
  <si>
    <t>BUESCHER SP</t>
  </si>
  <si>
    <t>COLORADO BEND SP</t>
  </si>
  <si>
    <t>ENCHANTED ROCK SNA</t>
  </si>
  <si>
    <t>GARNER SP</t>
  </si>
  <si>
    <t>GOVERNMENT CANYON SNA</t>
  </si>
  <si>
    <t>GUADALUPE RIVER SP</t>
  </si>
  <si>
    <t>HILL COUNTRY SNA</t>
  </si>
  <si>
    <t>INKS LAKE SP</t>
  </si>
  <si>
    <t>LOST MAPLES SNA</t>
  </si>
  <si>
    <t>LYNDON B. JOHNSON SP AND SHS</t>
  </si>
  <si>
    <t>MCKINNEY FALLS SP</t>
  </si>
  <si>
    <t>MONUMENT HILL/KREISCHE BREWERY</t>
  </si>
  <si>
    <t>PEDERNALES FALLS SP</t>
  </si>
  <si>
    <t>SOUTH LLANO RIVER SP</t>
  </si>
  <si>
    <t>BATTLESHIP TEXAS SHS</t>
  </si>
  <si>
    <t>BRAZOS BEND SP</t>
  </si>
  <si>
    <t>GALVESTON ISLAND SP</t>
  </si>
  <si>
    <t>HUNTSVILLE SP</t>
  </si>
  <si>
    <t>LK LIVINGSTON SP</t>
  </si>
  <si>
    <t>MARTIN DIES JR. SP</t>
  </si>
  <si>
    <t>MISSION TEJAS SP</t>
  </si>
  <si>
    <t>SEA RIM SP</t>
  </si>
  <si>
    <t>VILLAGE CREEK SP</t>
  </si>
  <si>
    <t>WASHINGTON ON THE BRAZOS SHS</t>
  </si>
  <si>
    <t>ABILENE SP</t>
  </si>
  <si>
    <t>CAPROCK CANYONS SP</t>
  </si>
  <si>
    <t>CLEBURNE SP</t>
  </si>
  <si>
    <t>COPPER BREAKS SP</t>
  </si>
  <si>
    <t>DINOSAUR VALLEY SP</t>
  </si>
  <si>
    <t>FAIRFIELD LAKE SP</t>
  </si>
  <si>
    <t>FORT PARKER SP</t>
  </si>
  <si>
    <t>FORT RICHARDSON SP AND SHS</t>
  </si>
  <si>
    <t>LK ARROWHEAD SP</t>
  </si>
  <si>
    <t>LK BROWNWOOD SP</t>
  </si>
  <si>
    <t>LK MINERAL WELLS SP</t>
  </si>
  <si>
    <t>MERIDIAN SP</t>
  </si>
  <si>
    <t>MOTHER NEFF SP</t>
  </si>
  <si>
    <t>PALO DURO CANYON SP</t>
  </si>
  <si>
    <t>POSSUM KINGDOM SP</t>
  </si>
  <si>
    <t>BONHAM SP</t>
  </si>
  <si>
    <t>CADDO LAKE SP</t>
  </si>
  <si>
    <t>COOPER LAKE SP DOCTORS CREEK</t>
  </si>
  <si>
    <t>COOPER LAKE SP SOUTH SULPHUR</t>
  </si>
  <si>
    <t>DAINGERFIELD SP</t>
  </si>
  <si>
    <t>EISENHOWER SP</t>
  </si>
  <si>
    <t>LK BOB SANDLIN SP</t>
  </si>
  <si>
    <t>LK TAWAKONI SP</t>
  </si>
  <si>
    <t>MARTIN CREEK LAKE SP</t>
  </si>
  <si>
    <t>PURTIS CREEK SP</t>
  </si>
  <si>
    <t>RAY ROBERTS LK SP ISLE DU BOIS</t>
  </si>
  <si>
    <t>RAY ROBERTS LK SP JOHNSON BRANCH</t>
  </si>
  <si>
    <t>TYLER SP</t>
  </si>
  <si>
    <t>Park Site</t>
  </si>
  <si>
    <t>Region 1 Subtotal</t>
  </si>
  <si>
    <t>Region 2 Subtotal</t>
  </si>
  <si>
    <t>Region 3 Subtotal</t>
  </si>
  <si>
    <t>Region 4 Subtotal</t>
  </si>
  <si>
    <t>Region 5 Subtotal</t>
  </si>
  <si>
    <t>Region 6 Subtotal</t>
  </si>
  <si>
    <t>GRAND TOTAL</t>
  </si>
  <si>
    <t>day_visits_waived_child</t>
  </si>
  <si>
    <t>day_visits_sch_grp</t>
  </si>
  <si>
    <t>day_visits_other_waived</t>
  </si>
  <si>
    <t>day_visits_other_disc</t>
  </si>
  <si>
    <t>overnight_waived_child</t>
  </si>
  <si>
    <t>overnight_sch_grp</t>
  </si>
  <si>
    <t>overnight_other_waived</t>
  </si>
  <si>
    <t>overnight_other_disc</t>
  </si>
  <si>
    <t>Leased Conc Visits</t>
  </si>
  <si>
    <t>Adult</t>
  </si>
  <si>
    <t>Child</t>
  </si>
  <si>
    <t xml:space="preserve">Adult </t>
  </si>
  <si>
    <t>day_visits_activity_pass</t>
  </si>
  <si>
    <t xml:space="preserve">WYLER AERIAL TRAMWAY </t>
  </si>
  <si>
    <t>BLANCO SP</t>
  </si>
  <si>
    <t>CEDAR HILL SP</t>
  </si>
  <si>
    <t>region_id</t>
  </si>
  <si>
    <t>REGION1</t>
  </si>
  <si>
    <t>REGION2</t>
  </si>
  <si>
    <t>REGION3</t>
  </si>
  <si>
    <t>REGION4</t>
  </si>
  <si>
    <t>REGION5</t>
  </si>
  <si>
    <t>REGION6</t>
  </si>
  <si>
    <t>FORT BOGGY SP</t>
  </si>
  <si>
    <t>ATLANTA SP</t>
  </si>
  <si>
    <t>Fiscal Year 2017</t>
  </si>
  <si>
    <t>FANTHORP INN SHS</t>
  </si>
  <si>
    <t>Nov 2017 adjustment based on new multiplier - received after Nov reports distributed</t>
  </si>
  <si>
    <t>Monthly Multiplier Survey Summary</t>
  </si>
  <si>
    <t>RAY ROBERTS - Combined Greenbelt</t>
  </si>
  <si>
    <t>Prev Report</t>
  </si>
  <si>
    <t>File detail located on N drive Visitation FY 18-Survey Reports FY 18</t>
  </si>
  <si>
    <t>New Multiplier</t>
  </si>
  <si>
    <t>Difference-Adj</t>
  </si>
  <si>
    <t>(1)</t>
  </si>
  <si>
    <t>(2)</t>
  </si>
  <si>
    <t>Nov 2017-Jan 2018 adjustment based on new multiplier - received after Nov reports distributed</t>
  </si>
  <si>
    <t>Nov</t>
  </si>
  <si>
    <t>Dec</t>
  </si>
  <si>
    <t>Jan</t>
  </si>
  <si>
    <t>As Reported</t>
  </si>
  <si>
    <t>With New Info</t>
  </si>
  <si>
    <t>Difference</t>
  </si>
  <si>
    <t>ADJ</t>
  </si>
  <si>
    <t>Lk Somerville - Nails Creek Multiplier adjustment: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</si>
</sst>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_);_(@_)"/>
    <numFmt numFmtId="165" formatCode="0.0%"/>
    <numFmt numFmtId="166" formatCode="0000"/>
  </numFmts>
  <fonts count="46" x14ac:knownFonts="1"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i/>
      <sz val="14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i/>
      <sz val="16"/>
      <name val="Arial"/>
      <family val="2"/>
    </font>
    <font>
      <b/>
      <i/>
      <u/>
      <sz val="16"/>
      <name val="Arial"/>
      <family val="2"/>
    </font>
    <font>
      <i/>
      <sz val="10"/>
      <name val="Arial"/>
      <family val="2"/>
    </font>
    <font>
      <b/>
      <sz val="9"/>
      <color indexed="10"/>
      <name val="Arial"/>
      <family val="2"/>
    </font>
    <font>
      <b/>
      <sz val="9"/>
      <color indexed="9"/>
      <name val="Arial"/>
      <family val="2"/>
    </font>
    <font>
      <b/>
      <i/>
      <sz val="9"/>
      <color indexed="9"/>
      <name val="Arial"/>
      <family val="2"/>
    </font>
    <font>
      <sz val="7"/>
      <name val="Arial"/>
      <family val="2"/>
    </font>
    <font>
      <b/>
      <i/>
      <u/>
      <sz val="12"/>
      <name val="Arial"/>
      <family val="2"/>
    </font>
    <font>
      <b/>
      <i/>
      <sz val="9"/>
      <color indexed="10"/>
      <name val="Arial"/>
      <family val="2"/>
    </font>
    <font>
      <sz val="7"/>
      <color indexed="10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8"/>
      <color indexed="8"/>
      <name val="Arial"/>
      <family val="2"/>
    </font>
    <font>
      <b/>
      <u/>
      <sz val="16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b/>
      <i/>
      <sz val="18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rgb="FF000000"/>
      <name val="Calibri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40" fontId="1" fillId="0" borderId="0" applyFont="0" applyFill="0" applyBorder="0" applyAlignment="0" applyProtection="0"/>
    <xf numFmtId="0" fontId="2" fillId="0" borderId="1" applyBorder="0"/>
    <xf numFmtId="0" fontId="2" fillId="0" borderId="0"/>
    <xf numFmtId="0" fontId="37" fillId="0" borderId="0"/>
    <xf numFmtId="0" fontId="38" fillId="0" borderId="0"/>
    <xf numFmtId="43" fontId="2" fillId="0" borderId="0" applyFont="0" applyFill="0" applyBorder="0" applyAlignment="0" applyProtection="0"/>
    <xf numFmtId="0" fontId="39" fillId="0" borderId="0"/>
    <xf numFmtId="0" fontId="40" fillId="0" borderId="0"/>
    <xf numFmtId="0" fontId="41" fillId="0" borderId="0"/>
    <xf numFmtId="0" fontId="42" fillId="0" borderId="0"/>
    <xf numFmtId="0" fontId="45" fillId="0" borderId="0"/>
  </cellStyleXfs>
  <cellXfs count="558">
    <xf numFmtId="0" fontId="0" fillId="0" borderId="0" xfId="0"/>
    <xf numFmtId="0" fontId="9" fillId="2" borderId="2" xfId="2" applyFont="1" applyFill="1" applyBorder="1" applyAlignment="1">
      <alignment horizontal="left"/>
    </xf>
    <xf numFmtId="0" fontId="4" fillId="0" borderId="0" xfId="2" applyFont="1" applyFill="1" applyBorder="1"/>
    <xf numFmtId="41" fontId="4" fillId="0" borderId="0" xfId="2" applyNumberFormat="1" applyFont="1" applyFill="1" applyBorder="1"/>
    <xf numFmtId="38" fontId="4" fillId="0" borderId="0" xfId="2" applyNumberFormat="1" applyFont="1" applyFill="1" applyBorder="1"/>
    <xf numFmtId="0" fontId="4" fillId="0" borderId="0" xfId="2" applyFont="1" applyFill="1" applyBorder="1" applyAlignment="1"/>
    <xf numFmtId="0" fontId="12" fillId="2" borderId="0" xfId="2" applyFont="1" applyFill="1" applyBorder="1" applyAlignment="1">
      <alignment horizontal="centerContinuous" vertical="center"/>
    </xf>
    <xf numFmtId="0" fontId="11" fillId="0" borderId="0" xfId="2" applyFont="1" applyFill="1" applyBorder="1"/>
    <xf numFmtId="41" fontId="4" fillId="0" borderId="3" xfId="2" applyNumberFormat="1" applyFont="1" applyFill="1" applyBorder="1"/>
    <xf numFmtId="0" fontId="3" fillId="2" borderId="0" xfId="2" applyFont="1" applyFill="1" applyBorder="1" applyAlignment="1">
      <alignment horizontal="left" vertical="center"/>
    </xf>
    <xf numFmtId="0" fontId="3" fillId="2" borderId="0" xfId="2" applyFont="1" applyFill="1" applyBorder="1" applyAlignment="1">
      <alignment horizontal="left" vertical="top"/>
    </xf>
    <xf numFmtId="0" fontId="4" fillId="0" borderId="3" xfId="2" applyFont="1" applyFill="1" applyBorder="1" applyAlignment="1">
      <alignment horizontal="center" vertical="top" wrapText="1"/>
    </xf>
    <xf numFmtId="0" fontId="3" fillId="2" borderId="0" xfId="2" applyFont="1" applyFill="1" applyBorder="1" applyAlignment="1">
      <alignment horizontal="center" vertical="center"/>
    </xf>
    <xf numFmtId="41" fontId="6" fillId="0" borderId="0" xfId="1" applyNumberFormat="1" applyFont="1" applyFill="1" applyBorder="1" applyAlignment="1">
      <alignment horizontal="center"/>
    </xf>
    <xf numFmtId="41" fontId="6" fillId="0" borderId="0" xfId="2" applyNumberFormat="1" applyFont="1" applyFill="1" applyBorder="1" applyAlignment="1">
      <alignment horizontal="center"/>
    </xf>
    <xf numFmtId="41" fontId="9" fillId="0" borderId="0" xfId="1" applyNumberFormat="1" applyFont="1" applyBorder="1"/>
    <xf numFmtId="0" fontId="3" fillId="2" borderId="0" xfId="2" applyFont="1" applyFill="1" applyBorder="1" applyAlignment="1">
      <alignment horizontal="right" vertical="center"/>
    </xf>
    <xf numFmtId="0" fontId="8" fillId="2" borderId="0" xfId="2" applyFont="1" applyFill="1" applyBorder="1" applyAlignment="1">
      <alignment horizontal="right" vertical="center"/>
    </xf>
    <xf numFmtId="0" fontId="9" fillId="0" borderId="0" xfId="2" applyFont="1" applyBorder="1" applyAlignment="1">
      <alignment horizontal="right"/>
    </xf>
    <xf numFmtId="0" fontId="5" fillId="0" borderId="0" xfId="2" applyFont="1" applyFill="1" applyBorder="1" applyAlignment="1">
      <alignment horizontal="right"/>
    </xf>
    <xf numFmtId="38" fontId="3" fillId="2" borderId="0" xfId="1" applyNumberFormat="1" applyFont="1" applyFill="1" applyBorder="1" applyAlignment="1">
      <alignment horizontal="left" vertical="center"/>
    </xf>
    <xf numFmtId="38" fontId="9" fillId="2" borderId="2" xfId="1" applyNumberFormat="1" applyFont="1" applyFill="1" applyBorder="1" applyAlignment="1">
      <alignment horizontal="center" wrapText="1"/>
    </xf>
    <xf numFmtId="38" fontId="4" fillId="0" borderId="0" xfId="1" applyNumberFormat="1" applyFont="1" applyFill="1" applyBorder="1"/>
    <xf numFmtId="38" fontId="9" fillId="2" borderId="4" xfId="1" applyNumberFormat="1" applyFont="1" applyFill="1" applyBorder="1" applyAlignment="1">
      <alignment horizontal="center" wrapText="1"/>
    </xf>
    <xf numFmtId="0" fontId="4" fillId="2" borderId="0" xfId="2" applyFont="1" applyFill="1" applyBorder="1" applyAlignment="1">
      <alignment vertical="center"/>
    </xf>
    <xf numFmtId="0" fontId="9" fillId="2" borderId="0" xfId="2" applyFont="1" applyFill="1" applyBorder="1" applyAlignment="1">
      <alignment horizontal="left"/>
    </xf>
    <xf numFmtId="0" fontId="4" fillId="2" borderId="2" xfId="2" applyFont="1" applyFill="1" applyBorder="1" applyAlignment="1">
      <alignment horizontal="right" textRotation="90"/>
    </xf>
    <xf numFmtId="41" fontId="20" fillId="2" borderId="0" xfId="1" applyNumberFormat="1" applyFont="1" applyFill="1" applyBorder="1" applyAlignment="1" applyProtection="1">
      <alignment horizontal="right"/>
      <protection locked="0"/>
    </xf>
    <xf numFmtId="0" fontId="19" fillId="2" borderId="0" xfId="2" applyFont="1" applyFill="1" applyBorder="1" applyAlignment="1">
      <alignment horizontal="right" vertical="top" wrapText="1"/>
    </xf>
    <xf numFmtId="0" fontId="19" fillId="2" borderId="0" xfId="2" applyFont="1" applyFill="1" applyBorder="1"/>
    <xf numFmtId="0" fontId="4" fillId="0" borderId="5" xfId="0" applyNumberFormat="1" applyFont="1" applyBorder="1" applyAlignment="1">
      <alignment wrapText="1"/>
    </xf>
    <xf numFmtId="0" fontId="22" fillId="0" borderId="0" xfId="2" applyFont="1" applyBorder="1" applyAlignment="1">
      <alignment horizontal="right" textRotation="90" wrapText="1"/>
    </xf>
    <xf numFmtId="40" fontId="23" fillId="2" borderId="6" xfId="1" applyFont="1" applyFill="1" applyBorder="1" applyAlignment="1">
      <alignment horizontal="center" vertical="center" wrapText="1"/>
    </xf>
    <xf numFmtId="0" fontId="9" fillId="2" borderId="0" xfId="2" applyFont="1" applyFill="1" applyBorder="1" applyAlignment="1"/>
    <xf numFmtId="41" fontId="10" fillId="3" borderId="7" xfId="1" applyNumberFormat="1" applyFont="1" applyFill="1" applyBorder="1" applyAlignment="1">
      <alignment horizontal="right"/>
    </xf>
    <xf numFmtId="41" fontId="14" fillId="2" borderId="8" xfId="1" applyNumberFormat="1" applyFont="1" applyFill="1" applyBorder="1" applyAlignment="1">
      <alignment horizontal="center"/>
    </xf>
    <xf numFmtId="0" fontId="10" fillId="3" borderId="7" xfId="2" applyFont="1" applyFill="1" applyBorder="1" applyAlignment="1">
      <alignment horizontal="right" wrapText="1"/>
    </xf>
    <xf numFmtId="41" fontId="10" fillId="3" borderId="7" xfId="2" applyNumberFormat="1" applyFont="1" applyFill="1" applyBorder="1" applyAlignment="1">
      <alignment horizontal="left"/>
    </xf>
    <xf numFmtId="0" fontId="10" fillId="3" borderId="9" xfId="2" applyFont="1" applyFill="1" applyBorder="1" applyAlignment="1"/>
    <xf numFmtId="41" fontId="25" fillId="2" borderId="0" xfId="2" applyNumberFormat="1" applyFont="1" applyFill="1" applyBorder="1" applyAlignment="1">
      <alignment horizontal="left" vertical="top" wrapText="1" indent="1"/>
    </xf>
    <xf numFmtId="41" fontId="9" fillId="0" borderId="6" xfId="1" applyNumberFormat="1" applyFont="1" applyBorder="1"/>
    <xf numFmtId="41" fontId="9" fillId="0" borderId="5" xfId="1" applyNumberFormat="1" applyFont="1" applyBorder="1"/>
    <xf numFmtId="0" fontId="9" fillId="0" borderId="10" xfId="2" applyFont="1" applyBorder="1" applyAlignment="1">
      <alignment horizontal="right"/>
    </xf>
    <xf numFmtId="0" fontId="9" fillId="0" borderId="0" xfId="2" applyFont="1" applyFill="1" applyBorder="1" applyAlignment="1">
      <alignment horizontal="right"/>
    </xf>
    <xf numFmtId="0" fontId="22" fillId="0" borderId="0" xfId="2" applyFont="1" applyBorder="1" applyAlignment="1">
      <alignment horizontal="right"/>
    </xf>
    <xf numFmtId="41" fontId="9" fillId="0" borderId="1" xfId="1" applyNumberFormat="1" applyFont="1" applyBorder="1"/>
    <xf numFmtId="0" fontId="11" fillId="4" borderId="0" xfId="2" applyFont="1" applyFill="1" applyBorder="1"/>
    <xf numFmtId="0" fontId="5" fillId="4" borderId="0" xfId="2" applyFont="1" applyFill="1" applyBorder="1" applyAlignment="1">
      <alignment horizontal="right"/>
    </xf>
    <xf numFmtId="38" fontId="4" fillId="4" borderId="0" xfId="1" applyNumberFormat="1" applyFont="1" applyFill="1" applyBorder="1"/>
    <xf numFmtId="41" fontId="6" fillId="4" borderId="0" xfId="2" applyNumberFormat="1" applyFont="1" applyFill="1" applyBorder="1" applyAlignment="1">
      <alignment horizontal="center"/>
    </xf>
    <xf numFmtId="41" fontId="4" fillId="4" borderId="0" xfId="2" applyNumberFormat="1" applyFont="1" applyFill="1" applyBorder="1"/>
    <xf numFmtId="41" fontId="6" fillId="4" borderId="0" xfId="1" applyNumberFormat="1" applyFont="1" applyFill="1" applyBorder="1" applyAlignment="1">
      <alignment horizontal="center"/>
    </xf>
    <xf numFmtId="38" fontId="4" fillId="4" borderId="0" xfId="2" applyNumberFormat="1" applyFont="1" applyFill="1" applyBorder="1"/>
    <xf numFmtId="0" fontId="4" fillId="4" borderId="0" xfId="2" applyFont="1" applyFill="1" applyBorder="1"/>
    <xf numFmtId="0" fontId="4" fillId="4" borderId="0" xfId="2" applyFont="1" applyFill="1" applyBorder="1" applyAlignment="1">
      <alignment horizontal="center" vertical="top" wrapText="1"/>
    </xf>
    <xf numFmtId="0" fontId="3" fillId="4" borderId="0" xfId="2" applyFont="1" applyFill="1" applyBorder="1" applyAlignment="1">
      <alignment horizontal="left" vertical="center"/>
    </xf>
    <xf numFmtId="0" fontId="4" fillId="4" borderId="0" xfId="2" applyFont="1" applyFill="1" applyBorder="1" applyAlignment="1">
      <alignment vertical="center"/>
    </xf>
    <xf numFmtId="0" fontId="9" fillId="4" borderId="0" xfId="2" applyFont="1" applyFill="1" applyBorder="1" applyAlignment="1">
      <alignment horizontal="left"/>
    </xf>
    <xf numFmtId="0" fontId="4" fillId="4" borderId="0" xfId="2" applyFont="1" applyFill="1" applyBorder="1" applyAlignment="1"/>
    <xf numFmtId="0" fontId="9" fillId="4" borderId="0" xfId="2" applyFont="1" applyFill="1" applyBorder="1" applyAlignment="1"/>
    <xf numFmtId="0" fontId="19" fillId="4" borderId="0" xfId="2" applyFont="1" applyFill="1" applyBorder="1"/>
    <xf numFmtId="0" fontId="4" fillId="0" borderId="5" xfId="2" applyFont="1" applyFill="1" applyBorder="1" applyAlignment="1">
      <alignment wrapText="1"/>
    </xf>
    <xf numFmtId="0" fontId="4" fillId="0" borderId="5" xfId="2" applyFont="1" applyFill="1" applyBorder="1" applyAlignment="1"/>
    <xf numFmtId="0" fontId="4" fillId="0" borderId="5" xfId="3" applyFont="1" applyBorder="1" applyAlignment="1">
      <alignment wrapText="1"/>
    </xf>
    <xf numFmtId="41" fontId="2" fillId="2" borderId="2" xfId="2" applyNumberFormat="1" applyFont="1" applyFill="1" applyBorder="1" applyAlignment="1">
      <alignment horizontal="left"/>
    </xf>
    <xf numFmtId="41" fontId="21" fillId="2" borderId="0" xfId="2" applyNumberFormat="1" applyFont="1" applyFill="1" applyBorder="1"/>
    <xf numFmtId="0" fontId="2" fillId="0" borderId="0" xfId="2" applyFont="1" applyFill="1" applyBorder="1" applyAlignment="1">
      <alignment wrapText="1"/>
    </xf>
    <xf numFmtId="0" fontId="2" fillId="0" borderId="0" xfId="2" applyFont="1" applyFill="1" applyBorder="1" applyAlignment="1">
      <alignment horizontal="left" wrapText="1"/>
    </xf>
    <xf numFmtId="0" fontId="15" fillId="3" borderId="4" xfId="2" applyFont="1" applyFill="1" applyBorder="1" applyAlignment="1">
      <alignment horizontal="left" wrapText="1"/>
    </xf>
    <xf numFmtId="0" fontId="2" fillId="0" borderId="2" xfId="2" applyFont="1" applyFill="1" applyBorder="1" applyAlignment="1">
      <alignment wrapText="1"/>
    </xf>
    <xf numFmtId="0" fontId="2" fillId="4" borderId="0" xfId="2" applyFont="1" applyFill="1" applyBorder="1" applyAlignment="1">
      <alignment wrapText="1"/>
    </xf>
    <xf numFmtId="0" fontId="9" fillId="4" borderId="0" xfId="2" applyFont="1" applyFill="1" applyBorder="1" applyAlignment="1">
      <alignment horizontal="right"/>
    </xf>
    <xf numFmtId="41" fontId="9" fillId="4" borderId="0" xfId="1" applyNumberFormat="1" applyFont="1" applyFill="1" applyBorder="1"/>
    <xf numFmtId="0" fontId="4" fillId="4" borderId="0" xfId="2" applyFont="1" applyFill="1" applyBorder="1" applyAlignment="1">
      <alignment wrapText="1"/>
    </xf>
    <xf numFmtId="0" fontId="26" fillId="2" borderId="0" xfId="2" applyFont="1" applyFill="1" applyBorder="1" applyAlignment="1">
      <alignment vertical="top"/>
    </xf>
    <xf numFmtId="0" fontId="26" fillId="2" borderId="0" xfId="2" applyFont="1" applyFill="1" applyBorder="1" applyAlignment="1">
      <alignment vertical="center"/>
    </xf>
    <xf numFmtId="41" fontId="26" fillId="2" borderId="2" xfId="2" applyNumberFormat="1" applyFont="1" applyFill="1" applyBorder="1" applyAlignment="1"/>
    <xf numFmtId="166" fontId="26" fillId="0" borderId="0" xfId="2" quotePrefix="1" applyNumberFormat="1" applyFont="1" applyFill="1" applyBorder="1" applyAlignment="1">
      <alignment wrapText="1"/>
    </xf>
    <xf numFmtId="0" fontId="27" fillId="3" borderId="7" xfId="2" applyFont="1" applyFill="1" applyBorder="1" applyAlignment="1">
      <alignment wrapText="1"/>
    </xf>
    <xf numFmtId="41" fontId="26" fillId="2" borderId="0" xfId="2" applyNumberFormat="1" applyFont="1" applyFill="1" applyBorder="1" applyAlignment="1">
      <alignment vertical="top" wrapText="1"/>
    </xf>
    <xf numFmtId="0" fontId="26" fillId="4" borderId="0" xfId="2" applyFont="1" applyFill="1" applyBorder="1" applyAlignment="1"/>
    <xf numFmtId="166" fontId="26" fillId="4" borderId="0" xfId="2" quotePrefix="1" applyNumberFormat="1" applyFont="1" applyFill="1" applyBorder="1" applyAlignment="1">
      <alignment wrapText="1"/>
    </xf>
    <xf numFmtId="0" fontId="26" fillId="0" borderId="0" xfId="2" applyFont="1" applyFill="1" applyBorder="1" applyAlignment="1"/>
    <xf numFmtId="41" fontId="4" fillId="0" borderId="6" xfId="1" applyNumberFormat="1" applyFont="1" applyBorder="1" applyAlignment="1">
      <alignment wrapText="1"/>
    </xf>
    <xf numFmtId="0" fontId="4" fillId="0" borderId="5" xfId="1" applyNumberFormat="1" applyFont="1" applyBorder="1" applyAlignment="1">
      <alignment horizontal="center" vertical="center" wrapText="1" shrinkToFit="1"/>
    </xf>
    <xf numFmtId="41" fontId="4" fillId="0" borderId="5" xfId="1" applyNumberFormat="1" applyFont="1" applyBorder="1" applyAlignment="1">
      <alignment wrapText="1"/>
    </xf>
    <xf numFmtId="0" fontId="28" fillId="0" borderId="5" xfId="0" applyFont="1" applyBorder="1" applyAlignment="1">
      <alignment wrapText="1"/>
    </xf>
    <xf numFmtId="0" fontId="4" fillId="0" borderId="5" xfId="1" applyNumberFormat="1" applyFont="1" applyBorder="1" applyAlignment="1">
      <alignment wrapText="1"/>
    </xf>
    <xf numFmtId="41" fontId="4" fillId="0" borderId="5" xfId="1" applyNumberFormat="1" applyFont="1" applyBorder="1" applyAlignment="1">
      <alignment horizontal="left" wrapText="1"/>
    </xf>
    <xf numFmtId="41" fontId="4" fillId="0" borderId="5" xfId="1" applyNumberFormat="1" applyFont="1" applyFill="1" applyBorder="1" applyAlignment="1">
      <alignment wrapText="1"/>
    </xf>
    <xf numFmtId="41" fontId="4" fillId="0" borderId="5" xfId="0" applyNumberFormat="1" applyFont="1" applyBorder="1" applyAlignment="1">
      <alignment wrapText="1"/>
    </xf>
    <xf numFmtId="0" fontId="4" fillId="0" borderId="5" xfId="1" applyNumberFormat="1" applyFont="1" applyBorder="1" applyAlignment="1" applyProtection="1">
      <alignment wrapText="1"/>
      <protection locked="0"/>
    </xf>
    <xf numFmtId="0" fontId="3" fillId="2" borderId="0" xfId="2" applyFont="1" applyFill="1" applyBorder="1" applyAlignment="1">
      <alignment horizontal="left" vertical="center" wrapText="1"/>
    </xf>
    <xf numFmtId="0" fontId="15" fillId="2" borderId="0" xfId="2" applyFont="1" applyFill="1" applyBorder="1" applyAlignment="1">
      <alignment horizontal="left" vertical="top" wrapText="1"/>
    </xf>
    <xf numFmtId="38" fontId="15" fillId="2" borderId="5" xfId="1" applyNumberFormat="1" applyFont="1" applyFill="1" applyBorder="1" applyAlignment="1">
      <alignment horizontal="center" vertical="top" wrapText="1"/>
    </xf>
    <xf numFmtId="165" fontId="7" fillId="0" borderId="5" xfId="2" applyNumberFormat="1" applyFont="1" applyFill="1" applyBorder="1" applyAlignment="1">
      <alignment horizontal="left" wrapText="1"/>
    </xf>
    <xf numFmtId="165" fontId="18" fillId="3" borderId="11" xfId="2" applyNumberFormat="1" applyFont="1" applyFill="1" applyBorder="1" applyAlignment="1">
      <alignment horizontal="left" wrapText="1"/>
    </xf>
    <xf numFmtId="164" fontId="24" fillId="2" borderId="0" xfId="2" applyNumberFormat="1" applyFont="1" applyFill="1" applyBorder="1" applyAlignment="1">
      <alignment horizontal="left" wrapText="1"/>
    </xf>
    <xf numFmtId="41" fontId="10" fillId="3" borderId="8" xfId="1" applyNumberFormat="1" applyFont="1" applyFill="1" applyBorder="1" applyAlignment="1">
      <alignment horizontal="right"/>
    </xf>
    <xf numFmtId="41" fontId="10" fillId="3" borderId="8" xfId="2" applyNumberFormat="1" applyFont="1" applyFill="1" applyBorder="1" applyAlignment="1">
      <alignment horizontal="left"/>
    </xf>
    <xf numFmtId="165" fontId="5" fillId="0" borderId="0" xfId="2" applyNumberFormat="1" applyFont="1" applyFill="1" applyBorder="1" applyAlignment="1">
      <alignment horizontal="left"/>
    </xf>
    <xf numFmtId="0" fontId="13" fillId="2" borderId="0" xfId="2" applyFont="1" applyFill="1" applyBorder="1" applyAlignment="1">
      <alignment horizontal="left" vertical="center"/>
    </xf>
    <xf numFmtId="38" fontId="29" fillId="2" borderId="7" xfId="2" applyNumberFormat="1" applyFont="1" applyFill="1" applyBorder="1" applyAlignment="1">
      <alignment horizontal="center" vertical="center"/>
    </xf>
    <xf numFmtId="164" fontId="9" fillId="2" borderId="8" xfId="2" applyNumberFormat="1" applyFont="1" applyFill="1" applyBorder="1" applyAlignment="1">
      <alignment horizontal="center" wrapText="1"/>
    </xf>
    <xf numFmtId="165" fontId="9" fillId="0" borderId="0" xfId="2" applyNumberFormat="1" applyFont="1" applyFill="1" applyBorder="1" applyAlignment="1">
      <alignment horizontal="left"/>
    </xf>
    <xf numFmtId="164" fontId="19" fillId="2" borderId="0" xfId="2" applyNumberFormat="1" applyFont="1" applyFill="1" applyBorder="1" applyAlignment="1">
      <alignment horizontal="left"/>
    </xf>
    <xf numFmtId="164" fontId="6" fillId="4" borderId="0" xfId="2" applyNumberFormat="1" applyFont="1" applyFill="1" applyBorder="1" applyAlignment="1">
      <alignment horizontal="left"/>
    </xf>
    <xf numFmtId="165" fontId="9" fillId="4" borderId="0" xfId="2" applyNumberFormat="1" applyFont="1" applyFill="1" applyBorder="1" applyAlignment="1">
      <alignment horizontal="left"/>
    </xf>
    <xf numFmtId="164" fontId="6" fillId="0" borderId="0" xfId="2" applyNumberFormat="1" applyFont="1" applyFill="1" applyBorder="1" applyAlignment="1">
      <alignment horizontal="left"/>
    </xf>
    <xf numFmtId="0" fontId="10" fillId="0" borderId="0" xfId="0" applyFont="1"/>
    <xf numFmtId="0" fontId="11" fillId="0" borderId="0" xfId="0" applyFont="1"/>
    <xf numFmtId="0" fontId="31" fillId="0" borderId="0" xfId="0" applyFont="1"/>
    <xf numFmtId="0" fontId="16" fillId="2" borderId="0" xfId="2" applyFont="1" applyFill="1" applyBorder="1" applyAlignment="1">
      <alignment vertical="top"/>
    </xf>
    <xf numFmtId="0" fontId="16" fillId="2" borderId="0" xfId="2" applyFont="1" applyFill="1" applyBorder="1" applyAlignment="1">
      <alignment horizontal="right" vertical="center"/>
    </xf>
    <xf numFmtId="38" fontId="16" fillId="2" borderId="0" xfId="1" applyNumberFormat="1" applyFont="1" applyFill="1" applyBorder="1" applyAlignment="1">
      <alignment horizontal="left" vertical="center"/>
    </xf>
    <xf numFmtId="0" fontId="16" fillId="2" borderId="0" xfId="2" applyFont="1" applyFill="1" applyBorder="1" applyAlignment="1">
      <alignment horizontal="center" vertical="center"/>
    </xf>
    <xf numFmtId="0" fontId="16" fillId="2" borderId="0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wrapText="1"/>
    </xf>
    <xf numFmtId="41" fontId="5" fillId="0" borderId="0" xfId="1" applyNumberFormat="1" applyFont="1" applyBorder="1"/>
    <xf numFmtId="6" fontId="2" fillId="0" borderId="0" xfId="2" quotePrefix="1" applyNumberFormat="1" applyFont="1" applyFill="1" applyBorder="1" applyAlignment="1" applyProtection="1">
      <alignment wrapText="1"/>
      <protection locked="0"/>
    </xf>
    <xf numFmtId="41" fontId="11" fillId="0" borderId="7" xfId="1" applyNumberFormat="1" applyFont="1" applyBorder="1" applyAlignment="1">
      <alignment horizontal="right"/>
    </xf>
    <xf numFmtId="0" fontId="0" fillId="0" borderId="12" xfId="2" quotePrefix="1" applyFont="1" applyFill="1" applyBorder="1" applyAlignment="1">
      <alignment wrapText="1"/>
    </xf>
    <xf numFmtId="41" fontId="0" fillId="0" borderId="0" xfId="0" applyNumberFormat="1"/>
    <xf numFmtId="41" fontId="33" fillId="0" borderId="0" xfId="0" applyNumberFormat="1" applyFont="1"/>
    <xf numFmtId="0" fontId="2" fillId="0" borderId="13" xfId="2" applyFont="1" applyFill="1" applyBorder="1" applyAlignment="1">
      <alignment wrapText="1"/>
    </xf>
    <xf numFmtId="41" fontId="10" fillId="5" borderId="30" xfId="2" applyNumberFormat="1" applyFont="1" applyFill="1" applyBorder="1" applyAlignment="1">
      <alignment horizontal="center"/>
    </xf>
    <xf numFmtId="41" fontId="30" fillId="6" borderId="19" xfId="1" applyNumberFormat="1" applyFont="1" applyFill="1" applyBorder="1" applyAlignment="1">
      <alignment horizontal="right"/>
    </xf>
    <xf numFmtId="41" fontId="11" fillId="0" borderId="20" xfId="1" applyNumberFormat="1" applyFont="1" applyBorder="1" applyAlignment="1">
      <alignment horizontal="right"/>
    </xf>
    <xf numFmtId="3" fontId="0" fillId="0" borderId="12" xfId="0" applyNumberFormat="1" applyBorder="1"/>
    <xf numFmtId="3" fontId="0" fillId="0" borderId="27" xfId="0" applyNumberFormat="1" applyBorder="1"/>
    <xf numFmtId="3" fontId="0" fillId="0" borderId="13" xfId="0" applyNumberFormat="1" applyBorder="1"/>
    <xf numFmtId="3" fontId="0" fillId="0" borderId="16" xfId="0" applyNumberFormat="1" applyBorder="1"/>
    <xf numFmtId="3" fontId="0" fillId="0" borderId="28" xfId="0" applyNumberFormat="1" applyBorder="1"/>
    <xf numFmtId="3" fontId="0" fillId="0" borderId="25" xfId="0" applyNumberFormat="1" applyBorder="1"/>
    <xf numFmtId="41" fontId="11" fillId="0" borderId="8" xfId="1" applyNumberFormat="1" applyFont="1" applyBorder="1" applyAlignment="1">
      <alignment horizontal="right"/>
    </xf>
    <xf numFmtId="41" fontId="30" fillId="6" borderId="8" xfId="1" applyNumberFormat="1" applyFont="1" applyFill="1" applyBorder="1" applyAlignment="1">
      <alignment horizontal="right"/>
    </xf>
    <xf numFmtId="0" fontId="2" fillId="0" borderId="21" xfId="2" applyFont="1" applyFill="1" applyBorder="1" applyAlignment="1">
      <alignment wrapText="1"/>
    </xf>
    <xf numFmtId="0" fontId="2" fillId="0" borderId="33" xfId="2" applyFont="1" applyFill="1" applyBorder="1" applyAlignment="1">
      <alignment wrapText="1"/>
    </xf>
    <xf numFmtId="0" fontId="2" fillId="0" borderId="34" xfId="2" applyFont="1" applyFill="1" applyBorder="1" applyAlignment="1">
      <alignment wrapText="1"/>
    </xf>
    <xf numFmtId="0" fontId="2" fillId="0" borderId="32" xfId="2" applyFont="1" applyFill="1" applyBorder="1" applyAlignment="1">
      <alignment wrapText="1"/>
    </xf>
    <xf numFmtId="6" fontId="2" fillId="0" borderId="5" xfId="2" quotePrefix="1" applyNumberFormat="1" applyFont="1" applyFill="1" applyBorder="1" applyAlignment="1" applyProtection="1">
      <alignment wrapText="1"/>
      <protection locked="0"/>
    </xf>
    <xf numFmtId="0" fontId="0" fillId="0" borderId="21" xfId="2" quotePrefix="1" applyFont="1" applyFill="1" applyBorder="1" applyAlignment="1">
      <alignment wrapText="1"/>
    </xf>
    <xf numFmtId="41" fontId="5" fillId="10" borderId="0" xfId="1" applyNumberFormat="1" applyFont="1" applyFill="1" applyBorder="1"/>
    <xf numFmtId="0" fontId="2" fillId="0" borderId="35" xfId="2" applyFont="1" applyFill="1" applyBorder="1" applyAlignment="1">
      <alignment wrapText="1"/>
    </xf>
    <xf numFmtId="3" fontId="0" fillId="0" borderId="29" xfId="0" applyNumberFormat="1" applyBorder="1"/>
    <xf numFmtId="0" fontId="12" fillId="11" borderId="6" xfId="2" applyFont="1" applyFill="1" applyBorder="1" applyAlignment="1">
      <alignment horizontal="centerContinuous" vertical="center"/>
    </xf>
    <xf numFmtId="41" fontId="10" fillId="11" borderId="22" xfId="2" applyNumberFormat="1" applyFont="1" applyFill="1" applyBorder="1" applyAlignment="1">
      <alignment horizontal="center"/>
    </xf>
    <xf numFmtId="3" fontId="0" fillId="0" borderId="12" xfId="0" applyNumberFormat="1" applyBorder="1" applyAlignment="1">
      <alignment horizontal="right"/>
    </xf>
    <xf numFmtId="0" fontId="12" fillId="5" borderId="18" xfId="2" applyFont="1" applyFill="1" applyBorder="1" applyAlignment="1">
      <alignment horizontal="center" vertical="center"/>
    </xf>
    <xf numFmtId="0" fontId="10" fillId="11" borderId="36" xfId="2" applyFont="1" applyFill="1" applyBorder="1" applyAlignment="1">
      <alignment horizontal="center" vertical="center"/>
    </xf>
    <xf numFmtId="38" fontId="10" fillId="11" borderId="17" xfId="1" applyNumberFormat="1" applyFont="1" applyFill="1" applyBorder="1" applyAlignment="1">
      <alignment horizontal="center" vertical="center" wrapText="1"/>
    </xf>
    <xf numFmtId="38" fontId="10" fillId="11" borderId="36" xfId="1" applyNumberFormat="1" applyFont="1" applyFill="1" applyBorder="1" applyAlignment="1">
      <alignment horizontal="center" vertical="center" wrapText="1"/>
    </xf>
    <xf numFmtId="38" fontId="10" fillId="11" borderId="23" xfId="1" applyNumberFormat="1" applyFont="1" applyFill="1" applyBorder="1" applyAlignment="1">
      <alignment horizontal="center" vertical="center" wrapText="1"/>
    </xf>
    <xf numFmtId="3" fontId="0" fillId="0" borderId="25" xfId="0" applyNumberFormat="1" applyBorder="1" applyAlignment="1">
      <alignment horizontal="right"/>
    </xf>
    <xf numFmtId="3" fontId="0" fillId="0" borderId="27" xfId="0" applyNumberFormat="1" applyBorder="1" applyAlignment="1">
      <alignment horizontal="right"/>
    </xf>
    <xf numFmtId="3" fontId="0" fillId="0" borderId="14" xfId="0" applyNumberFormat="1" applyBorder="1"/>
    <xf numFmtId="3" fontId="0" fillId="0" borderId="14" xfId="0" applyNumberFormat="1" applyBorder="1" applyAlignment="1">
      <alignment horizontal="right"/>
    </xf>
    <xf numFmtId="3" fontId="11" fillId="10" borderId="36" xfId="1" applyNumberFormat="1" applyFont="1" applyFill="1" applyBorder="1"/>
    <xf numFmtId="3" fontId="11" fillId="10" borderId="36" xfId="1" applyNumberFormat="1" applyFont="1" applyFill="1" applyBorder="1" applyAlignment="1">
      <alignment horizontal="right"/>
    </xf>
    <xf numFmtId="41" fontId="11" fillId="10" borderId="20" xfId="1" applyNumberFormat="1" applyFont="1" applyFill="1" applyBorder="1" applyAlignment="1">
      <alignment horizontal="center"/>
    </xf>
    <xf numFmtId="3" fontId="0" fillId="0" borderId="13" xfId="0" applyNumberFormat="1" applyBorder="1" applyAlignment="1">
      <alignment horizontal="right"/>
    </xf>
    <xf numFmtId="0" fontId="0" fillId="0" borderId="1" xfId="0" applyFill="1" applyBorder="1"/>
    <xf numFmtId="41" fontId="13" fillId="10" borderId="37" xfId="1" applyNumberFormat="1" applyFont="1" applyFill="1" applyBorder="1" applyAlignment="1">
      <alignment horizontal="right"/>
    </xf>
    <xf numFmtId="41" fontId="13" fillId="10" borderId="38" xfId="1" applyNumberFormat="1" applyFont="1" applyFill="1" applyBorder="1" applyAlignment="1">
      <alignment horizontal="right"/>
    </xf>
    <xf numFmtId="3" fontId="0" fillId="0" borderId="26" xfId="0" applyNumberFormat="1" applyBorder="1"/>
    <xf numFmtId="3" fontId="0" fillId="0" borderId="15" xfId="0" applyNumberFormat="1" applyBorder="1"/>
    <xf numFmtId="3" fontId="11" fillId="10" borderId="23" xfId="1" applyNumberFormat="1" applyFont="1" applyFill="1" applyBorder="1"/>
    <xf numFmtId="0" fontId="12" fillId="11" borderId="18" xfId="2" applyFont="1" applyFill="1" applyBorder="1" applyAlignment="1">
      <alignment horizontal="centerContinuous" vertical="center"/>
    </xf>
    <xf numFmtId="41" fontId="13" fillId="11" borderId="20" xfId="2" applyNumberFormat="1" applyFont="1" applyFill="1" applyBorder="1" applyAlignment="1">
      <alignment horizontal="center" vertical="center"/>
    </xf>
    <xf numFmtId="41" fontId="13" fillId="10" borderId="39" xfId="1" applyNumberFormat="1" applyFont="1" applyFill="1" applyBorder="1" applyAlignment="1">
      <alignment horizontal="center"/>
    </xf>
    <xf numFmtId="41" fontId="10" fillId="11" borderId="43" xfId="2" applyNumberFormat="1" applyFont="1" applyFill="1" applyBorder="1" applyAlignment="1">
      <alignment horizontal="center" vertical="center"/>
    </xf>
    <xf numFmtId="41" fontId="14" fillId="11" borderId="44" xfId="1" applyNumberFormat="1" applyFont="1" applyFill="1" applyBorder="1" applyAlignment="1">
      <alignment horizontal="center" vertical="center"/>
    </xf>
    <xf numFmtId="3" fontId="10" fillId="0" borderId="45" xfId="1" applyNumberFormat="1" applyFont="1" applyFill="1" applyBorder="1" applyAlignment="1">
      <alignment horizontal="right"/>
    </xf>
    <xf numFmtId="3" fontId="0" fillId="0" borderId="46" xfId="0" applyNumberFormat="1" applyBorder="1"/>
    <xf numFmtId="3" fontId="10" fillId="0" borderId="47" xfId="1" applyNumberFormat="1" applyFont="1" applyFill="1" applyBorder="1" applyAlignment="1">
      <alignment horizontal="right"/>
    </xf>
    <xf numFmtId="3" fontId="0" fillId="0" borderId="48" xfId="0" applyNumberFormat="1" applyBorder="1"/>
    <xf numFmtId="3" fontId="10" fillId="0" borderId="49" xfId="1" applyNumberFormat="1" applyFont="1" applyFill="1" applyBorder="1" applyAlignment="1">
      <alignment horizontal="right"/>
    </xf>
    <xf numFmtId="3" fontId="0" fillId="0" borderId="50" xfId="0" applyNumberFormat="1" applyBorder="1"/>
    <xf numFmtId="3" fontId="10" fillId="0" borderId="51" xfId="1" applyNumberFormat="1" applyFont="1" applyFill="1" applyBorder="1" applyAlignment="1">
      <alignment horizontal="right"/>
    </xf>
    <xf numFmtId="41" fontId="11" fillId="10" borderId="43" xfId="1" applyNumberFormat="1" applyFont="1" applyFill="1" applyBorder="1"/>
    <xf numFmtId="3" fontId="11" fillId="10" borderId="44" xfId="1" applyNumberFormat="1" applyFont="1" applyFill="1" applyBorder="1" applyAlignment="1">
      <alignment horizontal="right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3" fontId="10" fillId="0" borderId="55" xfId="1" applyNumberFormat="1" applyFont="1" applyFill="1" applyBorder="1" applyAlignment="1">
      <alignment horizontal="right"/>
    </xf>
    <xf numFmtId="41" fontId="11" fillId="10" borderId="56" xfId="1" applyNumberFormat="1" applyFont="1" applyFill="1" applyBorder="1"/>
    <xf numFmtId="41" fontId="13" fillId="10" borderId="57" xfId="1" applyNumberFormat="1" applyFont="1" applyFill="1" applyBorder="1" applyAlignment="1">
      <alignment horizontal="right"/>
    </xf>
    <xf numFmtId="41" fontId="13" fillId="10" borderId="58" xfId="1" applyNumberFormat="1" applyFont="1" applyFill="1" applyBorder="1" applyAlignment="1">
      <alignment horizontal="right"/>
    </xf>
    <xf numFmtId="3" fontId="0" fillId="0" borderId="26" xfId="0" applyNumberFormat="1" applyBorder="1" applyAlignment="1">
      <alignment horizontal="right"/>
    </xf>
    <xf numFmtId="3" fontId="0" fillId="0" borderId="16" xfId="0" applyNumberFormat="1" applyBorder="1" applyAlignment="1">
      <alignment horizontal="right"/>
    </xf>
    <xf numFmtId="3" fontId="0" fillId="0" borderId="28" xfId="0" applyNumberFormat="1" applyBorder="1" applyAlignment="1">
      <alignment horizontal="right"/>
    </xf>
    <xf numFmtId="3" fontId="11" fillId="10" borderId="23" xfId="1" applyNumberFormat="1" applyFont="1" applyFill="1" applyBorder="1" applyAlignment="1">
      <alignment horizontal="right"/>
    </xf>
    <xf numFmtId="3" fontId="0" fillId="0" borderId="15" xfId="0" applyNumberFormat="1" applyBorder="1" applyAlignment="1">
      <alignment horizontal="right"/>
    </xf>
    <xf numFmtId="3" fontId="0" fillId="0" borderId="29" xfId="0" applyNumberFormat="1" applyBorder="1" applyAlignment="1">
      <alignment horizontal="right"/>
    </xf>
    <xf numFmtId="41" fontId="10" fillId="11" borderId="43" xfId="2" applyNumberFormat="1" applyFont="1" applyFill="1" applyBorder="1" applyAlignment="1">
      <alignment vertical="center"/>
    </xf>
    <xf numFmtId="3" fontId="0" fillId="0" borderId="59" xfId="0" applyNumberFormat="1" applyBorder="1" applyAlignment="1">
      <alignment horizontal="right"/>
    </xf>
    <xf numFmtId="3" fontId="0" fillId="0" borderId="53" xfId="0" applyNumberFormat="1" applyBorder="1" applyAlignment="1">
      <alignment horizontal="right"/>
    </xf>
    <xf numFmtId="3" fontId="0" fillId="0" borderId="60" xfId="0" applyNumberFormat="1" applyBorder="1" applyAlignment="1">
      <alignment horizontal="right"/>
    </xf>
    <xf numFmtId="3" fontId="11" fillId="10" borderId="43" xfId="1" applyNumberFormat="1" applyFont="1" applyFill="1" applyBorder="1" applyAlignment="1">
      <alignment horizontal="right"/>
    </xf>
    <xf numFmtId="3" fontId="0" fillId="0" borderId="52" xfId="0" applyNumberFormat="1" applyBorder="1" applyAlignment="1">
      <alignment horizontal="right"/>
    </xf>
    <xf numFmtId="3" fontId="0" fillId="0" borderId="54" xfId="0" applyNumberFormat="1" applyBorder="1" applyAlignment="1">
      <alignment horizontal="right"/>
    </xf>
    <xf numFmtId="3" fontId="11" fillId="10" borderId="61" xfId="1" applyNumberFormat="1" applyFont="1" applyFill="1" applyBorder="1" applyAlignment="1">
      <alignment horizontal="right"/>
    </xf>
    <xf numFmtId="38" fontId="17" fillId="11" borderId="62" xfId="2" applyNumberFormat="1" applyFont="1" applyFill="1" applyBorder="1" applyAlignment="1">
      <alignment horizontal="center" vertical="center"/>
    </xf>
    <xf numFmtId="38" fontId="10" fillId="11" borderId="63" xfId="1" applyNumberFormat="1" applyFont="1" applyFill="1" applyBorder="1" applyAlignment="1">
      <alignment horizontal="center" vertical="center" wrapText="1"/>
    </xf>
    <xf numFmtId="41" fontId="9" fillId="0" borderId="64" xfId="1" applyNumberFormat="1" applyFont="1" applyFill="1" applyBorder="1" applyAlignment="1"/>
    <xf numFmtId="41" fontId="9" fillId="9" borderId="64" xfId="1" applyNumberFormat="1" applyFont="1" applyFill="1" applyBorder="1" applyAlignment="1"/>
    <xf numFmtId="41" fontId="9" fillId="9" borderId="65" xfId="1" applyNumberFormat="1" applyFont="1" applyFill="1" applyBorder="1" applyAlignment="1"/>
    <xf numFmtId="41" fontId="9" fillId="9" borderId="66" xfId="1" applyNumberFormat="1" applyFont="1" applyFill="1" applyBorder="1" applyAlignment="1"/>
    <xf numFmtId="41" fontId="11" fillId="10" borderId="67" xfId="1" applyNumberFormat="1" applyFont="1" applyFill="1" applyBorder="1"/>
    <xf numFmtId="41" fontId="9" fillId="0" borderId="65" xfId="1" applyNumberFormat="1" applyFont="1" applyFill="1" applyBorder="1" applyAlignment="1"/>
    <xf numFmtId="41" fontId="11" fillId="10" borderId="63" xfId="1" applyNumberFormat="1" applyFont="1" applyFill="1" applyBorder="1"/>
    <xf numFmtId="41" fontId="9" fillId="0" borderId="68" xfId="1" applyNumberFormat="1" applyFont="1" applyFill="1" applyBorder="1" applyAlignment="1"/>
    <xf numFmtId="41" fontId="13" fillId="10" borderId="69" xfId="1" applyNumberFormat="1" applyFont="1" applyFill="1" applyBorder="1" applyAlignment="1">
      <alignment horizontal="right"/>
    </xf>
    <xf numFmtId="41" fontId="14" fillId="11" borderId="63" xfId="1" applyNumberFormat="1" applyFont="1" applyFill="1" applyBorder="1" applyAlignment="1">
      <alignment horizontal="center" vertical="center" wrapText="1"/>
    </xf>
    <xf numFmtId="41" fontId="5" fillId="0" borderId="64" xfId="1" applyNumberFormat="1" applyFont="1" applyBorder="1"/>
    <xf numFmtId="41" fontId="10" fillId="0" borderId="64" xfId="0" applyNumberFormat="1" applyFont="1" applyBorder="1"/>
    <xf numFmtId="41" fontId="10" fillId="0" borderId="66" xfId="0" applyNumberFormat="1" applyFont="1" applyBorder="1"/>
    <xf numFmtId="41" fontId="10" fillId="0" borderId="65" xfId="0" applyNumberFormat="1" applyFont="1" applyBorder="1"/>
    <xf numFmtId="41" fontId="10" fillId="0" borderId="68" xfId="0" applyNumberFormat="1" applyFont="1" applyBorder="1"/>
    <xf numFmtId="41" fontId="11" fillId="0" borderId="63" xfId="1" applyNumberFormat="1" applyFont="1" applyBorder="1"/>
    <xf numFmtId="41" fontId="2" fillId="0" borderId="52" xfId="1" applyNumberFormat="1" applyFont="1" applyBorder="1"/>
    <xf numFmtId="41" fontId="13" fillId="11" borderId="1" xfId="2" applyNumberFormat="1" applyFont="1" applyFill="1" applyBorder="1" applyAlignment="1">
      <alignment horizontal="center" vertical="center"/>
    </xf>
    <xf numFmtId="0" fontId="12" fillId="11" borderId="44" xfId="2" applyFont="1" applyFill="1" applyBorder="1" applyAlignment="1">
      <alignment horizontal="centerContinuous" vertical="center"/>
    </xf>
    <xf numFmtId="41" fontId="14" fillId="11" borderId="73" xfId="1" applyNumberFormat="1" applyFont="1" applyFill="1" applyBorder="1" applyAlignment="1">
      <alignment horizontal="center" vertical="center"/>
    </xf>
    <xf numFmtId="38" fontId="10" fillId="11" borderId="31" xfId="1" applyNumberFormat="1" applyFont="1" applyFill="1" applyBorder="1" applyAlignment="1">
      <alignment horizontal="center" vertical="center" wrapText="1"/>
    </xf>
    <xf numFmtId="38" fontId="17" fillId="11" borderId="74" xfId="2" applyNumberFormat="1" applyFont="1" applyFill="1" applyBorder="1" applyAlignment="1">
      <alignment horizontal="center" vertical="center"/>
    </xf>
    <xf numFmtId="3" fontId="0" fillId="0" borderId="75" xfId="0" applyNumberFormat="1" applyBorder="1"/>
    <xf numFmtId="41" fontId="9" fillId="0" borderId="66" xfId="1" applyNumberFormat="1" applyFont="1" applyFill="1" applyBorder="1" applyAlignment="1"/>
    <xf numFmtId="0" fontId="0" fillId="0" borderId="33" xfId="2" applyFont="1" applyFill="1" applyBorder="1" applyAlignment="1">
      <alignment wrapText="1"/>
    </xf>
    <xf numFmtId="3" fontId="10" fillId="0" borderId="77" xfId="1" applyNumberFormat="1" applyFont="1" applyFill="1" applyBorder="1" applyAlignment="1">
      <alignment horizontal="right"/>
    </xf>
    <xf numFmtId="0" fontId="0" fillId="0" borderId="12" xfId="0" applyBorder="1"/>
    <xf numFmtId="3" fontId="10" fillId="0" borderId="78" xfId="1" applyNumberFormat="1" applyFont="1" applyFill="1" applyBorder="1" applyAlignment="1">
      <alignment horizontal="right"/>
    </xf>
    <xf numFmtId="3" fontId="10" fillId="0" borderId="80" xfId="1" applyNumberFormat="1" applyFont="1" applyFill="1" applyBorder="1" applyAlignment="1">
      <alignment horizontal="right"/>
    </xf>
    <xf numFmtId="41" fontId="9" fillId="0" borderId="77" xfId="1" applyNumberFormat="1" applyFont="1" applyFill="1" applyBorder="1" applyAlignment="1"/>
    <xf numFmtId="3" fontId="10" fillId="0" borderId="81" xfId="1" applyNumberFormat="1" applyFont="1" applyFill="1" applyBorder="1" applyAlignment="1">
      <alignment horizontal="right"/>
    </xf>
    <xf numFmtId="41" fontId="9" fillId="0" borderId="78" xfId="1" applyNumberFormat="1" applyFont="1" applyFill="1" applyBorder="1" applyAlignment="1"/>
    <xf numFmtId="41" fontId="9" fillId="0" borderId="12" xfId="1" applyNumberFormat="1" applyFont="1" applyFill="1" applyBorder="1" applyAlignment="1"/>
    <xf numFmtId="41" fontId="9" fillId="0" borderId="76" xfId="1" applyNumberFormat="1" applyFont="1" applyFill="1" applyBorder="1" applyAlignment="1"/>
    <xf numFmtId="0" fontId="10" fillId="0" borderId="12" xfId="0" applyFont="1" applyBorder="1"/>
    <xf numFmtId="3" fontId="10" fillId="0" borderId="82" xfId="1" applyNumberFormat="1" applyFont="1" applyFill="1" applyBorder="1" applyAlignment="1">
      <alignment horizontal="right"/>
    </xf>
    <xf numFmtId="41" fontId="2" fillId="0" borderId="76" xfId="1" applyNumberFormat="1" applyFont="1" applyFill="1" applyBorder="1" applyAlignment="1"/>
    <xf numFmtId="3" fontId="10" fillId="0" borderId="12" xfId="1" applyNumberFormat="1" applyFont="1" applyFill="1" applyBorder="1" applyAlignment="1">
      <alignment horizontal="right"/>
    </xf>
    <xf numFmtId="1" fontId="16" fillId="2" borderId="0" xfId="2" applyNumberFormat="1" applyFont="1" applyFill="1" applyBorder="1" applyAlignment="1">
      <alignment horizontal="left" vertical="center"/>
    </xf>
    <xf numFmtId="1" fontId="13" fillId="10" borderId="69" xfId="1" applyNumberFormat="1" applyFont="1" applyFill="1" applyBorder="1" applyAlignment="1">
      <alignment horizontal="right"/>
    </xf>
    <xf numFmtId="1" fontId="0" fillId="0" borderId="0" xfId="0" applyNumberFormat="1"/>
    <xf numFmtId="41" fontId="2" fillId="0" borderId="77" xfId="1" applyNumberFormat="1" applyFont="1" applyFill="1" applyBorder="1" applyAlignment="1"/>
    <xf numFmtId="1" fontId="5" fillId="9" borderId="77" xfId="1" applyNumberFormat="1" applyFont="1" applyFill="1" applyBorder="1" applyAlignment="1"/>
    <xf numFmtId="41" fontId="10" fillId="0" borderId="64" xfId="1" applyNumberFormat="1" applyFont="1" applyBorder="1"/>
    <xf numFmtId="41" fontId="2" fillId="0" borderId="64" xfId="1" applyNumberFormat="1" applyFont="1" applyFill="1" applyBorder="1" applyAlignment="1"/>
    <xf numFmtId="41" fontId="2" fillId="9" borderId="65" xfId="1" applyNumberFormat="1" applyFont="1" applyFill="1" applyBorder="1" applyAlignment="1"/>
    <xf numFmtId="41" fontId="2" fillId="0" borderId="68" xfId="1" applyNumberFormat="1" applyFont="1" applyFill="1" applyBorder="1" applyAlignment="1"/>
    <xf numFmtId="41" fontId="2" fillId="9" borderId="64" xfId="1" applyNumberFormat="1" applyFont="1" applyFill="1" applyBorder="1" applyAlignment="1"/>
    <xf numFmtId="41" fontId="2" fillId="0" borderId="65" xfId="1" applyNumberFormat="1" applyFont="1" applyFill="1" applyBorder="1" applyAlignment="1"/>
    <xf numFmtId="41" fontId="35" fillId="0" borderId="65" xfId="1" applyNumberFormat="1" applyFont="1" applyFill="1" applyBorder="1" applyAlignment="1"/>
    <xf numFmtId="41" fontId="2" fillId="9" borderId="66" xfId="1" applyNumberFormat="1" applyFont="1" applyFill="1" applyBorder="1" applyAlignment="1"/>
    <xf numFmtId="3" fontId="0" fillId="0" borderId="0" xfId="0" applyNumberFormat="1"/>
    <xf numFmtId="3" fontId="10" fillId="0" borderId="76" xfId="1" applyNumberFormat="1" applyFont="1" applyFill="1" applyBorder="1" applyAlignment="1">
      <alignment horizontal="right"/>
    </xf>
    <xf numFmtId="3" fontId="0" fillId="0" borderId="83" xfId="0" applyNumberFormat="1" applyBorder="1" applyAlignment="1">
      <alignment horizontal="right"/>
    </xf>
    <xf numFmtId="41" fontId="11" fillId="10" borderId="19" xfId="1" applyNumberFormat="1" applyFont="1" applyFill="1" applyBorder="1"/>
    <xf numFmtId="3" fontId="11" fillId="10" borderId="31" xfId="1" applyNumberFormat="1" applyFont="1" applyFill="1" applyBorder="1"/>
    <xf numFmtId="3" fontId="11" fillId="10" borderId="20" xfId="1" applyNumberFormat="1" applyFont="1" applyFill="1" applyBorder="1" applyAlignment="1">
      <alignment horizontal="right"/>
    </xf>
    <xf numFmtId="41" fontId="11" fillId="10" borderId="73" xfId="1" applyNumberFormat="1" applyFont="1" applyFill="1" applyBorder="1"/>
    <xf numFmtId="3" fontId="11" fillId="10" borderId="19" xfId="1" applyNumberFormat="1" applyFont="1" applyFill="1" applyBorder="1" applyAlignment="1">
      <alignment horizontal="right"/>
    </xf>
    <xf numFmtId="3" fontId="11" fillId="10" borderId="8" xfId="1" applyNumberFormat="1" applyFont="1" applyFill="1" applyBorder="1" applyAlignment="1">
      <alignment horizontal="right"/>
    </xf>
    <xf numFmtId="3" fontId="11" fillId="10" borderId="31" xfId="1" applyNumberFormat="1" applyFont="1" applyFill="1" applyBorder="1" applyAlignment="1">
      <alignment horizontal="right"/>
    </xf>
    <xf numFmtId="0" fontId="0" fillId="0" borderId="13" xfId="0" applyBorder="1"/>
    <xf numFmtId="3" fontId="11" fillId="10" borderId="7" xfId="1" applyNumberFormat="1" applyFont="1" applyFill="1" applyBorder="1" applyAlignment="1">
      <alignment horizontal="right"/>
    </xf>
    <xf numFmtId="3" fontId="10" fillId="0" borderId="0" xfId="0" applyNumberFormat="1" applyFont="1"/>
    <xf numFmtId="3" fontId="10" fillId="0" borderId="13" xfId="1" applyNumberFormat="1" applyFont="1" applyFill="1" applyBorder="1" applyAlignment="1">
      <alignment horizontal="right"/>
    </xf>
    <xf numFmtId="3" fontId="10" fillId="0" borderId="12" xfId="0" applyNumberFormat="1" applyFont="1" applyBorder="1"/>
    <xf numFmtId="41" fontId="2" fillId="9" borderId="77" xfId="1" applyNumberFormat="1" applyFont="1" applyFill="1" applyBorder="1" applyAlignment="1"/>
    <xf numFmtId="38" fontId="17" fillId="11" borderId="42" xfId="2" applyNumberFormat="1" applyFont="1" applyFill="1" applyBorder="1" applyAlignment="1">
      <alignment horizontal="center" vertical="center"/>
    </xf>
    <xf numFmtId="38" fontId="16" fillId="11" borderId="62" xfId="2" applyNumberFormat="1" applyFont="1" applyFill="1" applyBorder="1" applyAlignment="1">
      <alignment horizontal="center" vertical="center"/>
    </xf>
    <xf numFmtId="41" fontId="11" fillId="10" borderId="84" xfId="1" applyNumberFormat="1" applyFont="1" applyFill="1" applyBorder="1"/>
    <xf numFmtId="41" fontId="11" fillId="10" borderId="85" xfId="1" applyNumberFormat="1" applyFont="1" applyFill="1" applyBorder="1"/>
    <xf numFmtId="41" fontId="11" fillId="10" borderId="44" xfId="1" applyNumberFormat="1" applyFont="1" applyFill="1" applyBorder="1"/>
    <xf numFmtId="41" fontId="11" fillId="10" borderId="86" xfId="1" applyNumberFormat="1" applyFont="1" applyFill="1" applyBorder="1"/>
    <xf numFmtId="1" fontId="17" fillId="11" borderId="44" xfId="2" applyNumberFormat="1" applyFont="1" applyFill="1" applyBorder="1" applyAlignment="1">
      <alignment horizontal="center" vertical="center"/>
    </xf>
    <xf numFmtId="41" fontId="10" fillId="0" borderId="65" xfId="1" applyNumberFormat="1" applyFont="1" applyBorder="1"/>
    <xf numFmtId="0" fontId="2" fillId="0" borderId="87" xfId="2" applyFont="1" applyFill="1" applyBorder="1" applyAlignment="1">
      <alignment wrapText="1"/>
    </xf>
    <xf numFmtId="0" fontId="0" fillId="0" borderId="14" xfId="0" applyBorder="1"/>
    <xf numFmtId="41" fontId="10" fillId="0" borderId="68" xfId="1" applyNumberFormat="1" applyFont="1" applyBorder="1"/>
    <xf numFmtId="41" fontId="2" fillId="0" borderId="79" xfId="1" applyNumberFormat="1" applyFont="1" applyBorder="1"/>
    <xf numFmtId="41" fontId="10" fillId="10" borderId="43" xfId="1" applyNumberFormat="1" applyFont="1" applyFill="1" applyBorder="1"/>
    <xf numFmtId="41" fontId="10" fillId="10" borderId="86" xfId="1" applyNumberFormat="1" applyFont="1" applyFill="1" applyBorder="1"/>
    <xf numFmtId="0" fontId="2" fillId="0" borderId="14" xfId="2" applyFont="1" applyFill="1" applyBorder="1" applyAlignment="1">
      <alignment wrapText="1"/>
    </xf>
    <xf numFmtId="3" fontId="10" fillId="0" borderId="14" xfId="1" applyNumberFormat="1" applyFont="1" applyFill="1" applyBorder="1" applyAlignment="1">
      <alignment horizontal="right"/>
    </xf>
    <xf numFmtId="41" fontId="14" fillId="11" borderId="86" xfId="1" applyNumberFormat="1" applyFont="1" applyFill="1" applyBorder="1" applyAlignment="1">
      <alignment horizontal="center" vertical="center" wrapText="1"/>
    </xf>
    <xf numFmtId="41" fontId="10" fillId="0" borderId="52" xfId="1" applyNumberFormat="1" applyFont="1" applyBorder="1"/>
    <xf numFmtId="41" fontId="10" fillId="0" borderId="79" xfId="1" applyNumberFormat="1" applyFont="1" applyBorder="1"/>
    <xf numFmtId="41" fontId="36" fillId="0" borderId="0" xfId="0" applyNumberFormat="1" applyFont="1"/>
    <xf numFmtId="41" fontId="10" fillId="0" borderId="0" xfId="0" applyNumberFormat="1" applyFont="1"/>
    <xf numFmtId="41" fontId="14" fillId="11" borderId="8" xfId="1" applyNumberFormat="1" applyFont="1" applyFill="1" applyBorder="1" applyAlignment="1">
      <alignment horizontal="center" vertical="center"/>
    </xf>
    <xf numFmtId="41" fontId="11" fillId="10" borderId="20" xfId="1" applyNumberFormat="1" applyFont="1" applyFill="1" applyBorder="1"/>
    <xf numFmtId="1" fontId="10" fillId="11" borderId="73" xfId="1" applyNumberFormat="1" applyFont="1" applyFill="1" applyBorder="1" applyAlignment="1">
      <alignment horizontal="center" vertical="center" wrapText="1"/>
    </xf>
    <xf numFmtId="1" fontId="11" fillId="10" borderId="73" xfId="1" applyNumberFormat="1" applyFont="1" applyFill="1" applyBorder="1"/>
    <xf numFmtId="0" fontId="0" fillId="0" borderId="93" xfId="0" applyBorder="1"/>
    <xf numFmtId="0" fontId="0" fillId="0" borderId="91" xfId="0" applyBorder="1"/>
    <xf numFmtId="1" fontId="10" fillId="0" borderId="76" xfId="1" applyNumberFormat="1" applyFont="1" applyFill="1" applyBorder="1" applyAlignment="1"/>
    <xf numFmtId="1" fontId="10" fillId="0" borderId="77" xfId="1" applyNumberFormat="1" applyFont="1" applyFill="1" applyBorder="1" applyAlignment="1"/>
    <xf numFmtId="1" fontId="5" fillId="9" borderId="78" xfId="1" applyNumberFormat="1" applyFont="1" applyFill="1" applyBorder="1" applyAlignment="1"/>
    <xf numFmtId="1" fontId="5" fillId="9" borderId="76" xfId="1" applyNumberFormat="1" applyFont="1" applyFill="1" applyBorder="1" applyAlignment="1"/>
    <xf numFmtId="1" fontId="10" fillId="0" borderId="83" xfId="1" applyNumberFormat="1" applyFont="1" applyFill="1" applyBorder="1" applyAlignment="1"/>
    <xf numFmtId="1" fontId="5" fillId="9" borderId="83" xfId="1" applyNumberFormat="1" applyFont="1" applyFill="1" applyBorder="1" applyAlignment="1"/>
    <xf numFmtId="1" fontId="10" fillId="0" borderId="83" xfId="0" applyNumberFormat="1" applyFont="1" applyBorder="1"/>
    <xf numFmtId="1" fontId="10" fillId="0" borderId="92" xfId="0" applyNumberFormat="1" applyFont="1" applyFill="1" applyBorder="1"/>
    <xf numFmtId="1" fontId="10" fillId="0" borderId="89" xfId="0" applyNumberFormat="1" applyFont="1" applyBorder="1"/>
    <xf numFmtId="1" fontId="5" fillId="0" borderId="77" xfId="1" applyNumberFormat="1" applyFont="1" applyFill="1" applyBorder="1" applyAlignment="1"/>
    <xf numFmtId="1" fontId="5" fillId="0" borderId="78" xfId="1" applyNumberFormat="1" applyFont="1" applyFill="1" applyBorder="1" applyAlignment="1"/>
    <xf numFmtId="1" fontId="5" fillId="0" borderId="76" xfId="1" applyNumberFormat="1" applyFont="1" applyFill="1" applyBorder="1" applyAlignment="1"/>
    <xf numFmtId="1" fontId="10" fillId="0" borderId="83" xfId="0" applyNumberFormat="1" applyFont="1" applyFill="1" applyBorder="1"/>
    <xf numFmtId="1" fontId="10" fillId="0" borderId="88" xfId="0" applyNumberFormat="1" applyFont="1" applyFill="1" applyBorder="1"/>
    <xf numFmtId="1" fontId="10" fillId="0" borderId="88" xfId="0" applyNumberFormat="1" applyFont="1" applyBorder="1"/>
    <xf numFmtId="1" fontId="10" fillId="0" borderId="78" xfId="1" applyNumberFormat="1" applyFont="1" applyFill="1" applyBorder="1" applyAlignment="1"/>
    <xf numFmtId="37" fontId="0" fillId="0" borderId="0" xfId="0" applyNumberFormat="1"/>
    <xf numFmtId="41" fontId="10" fillId="11" borderId="95" xfId="2" applyNumberFormat="1" applyFont="1" applyFill="1" applyBorder="1" applyAlignment="1">
      <alignment horizontal="center" vertical="center"/>
    </xf>
    <xf numFmtId="0" fontId="10" fillId="11" borderId="96" xfId="2" applyFont="1" applyFill="1" applyBorder="1" applyAlignment="1">
      <alignment horizontal="center" vertical="center"/>
    </xf>
    <xf numFmtId="38" fontId="10" fillId="11" borderId="97" xfId="1" applyNumberFormat="1" applyFont="1" applyFill="1" applyBorder="1" applyAlignment="1">
      <alignment horizontal="center" vertical="center" wrapText="1"/>
    </xf>
    <xf numFmtId="38" fontId="10" fillId="11" borderId="96" xfId="1" applyNumberFormat="1" applyFont="1" applyFill="1" applyBorder="1" applyAlignment="1">
      <alignment horizontal="center" vertical="center" wrapText="1"/>
    </xf>
    <xf numFmtId="38" fontId="10" fillId="11" borderId="98" xfId="1" applyNumberFormat="1" applyFont="1" applyFill="1" applyBorder="1" applyAlignment="1">
      <alignment horizontal="center" vertical="center" wrapText="1"/>
    </xf>
    <xf numFmtId="3" fontId="11" fillId="10" borderId="99" xfId="1" applyNumberFormat="1" applyFont="1" applyFill="1" applyBorder="1"/>
    <xf numFmtId="37" fontId="0" fillId="0" borderId="12" xfId="0" applyNumberFormat="1" applyBorder="1"/>
    <xf numFmtId="41" fontId="11" fillId="10" borderId="100" xfId="1" applyNumberFormat="1" applyFont="1" applyFill="1" applyBorder="1"/>
    <xf numFmtId="3" fontId="11" fillId="10" borderId="101" xfId="1" applyNumberFormat="1" applyFont="1" applyFill="1" applyBorder="1"/>
    <xf numFmtId="41" fontId="10" fillId="11" borderId="95" xfId="2" applyNumberFormat="1" applyFont="1" applyFill="1" applyBorder="1" applyAlignment="1">
      <alignment vertical="center"/>
    </xf>
    <xf numFmtId="41" fontId="14" fillId="11" borderId="103" xfId="1" applyNumberFormat="1" applyFont="1" applyFill="1" applyBorder="1" applyAlignment="1">
      <alignment horizontal="center" vertical="center"/>
    </xf>
    <xf numFmtId="41" fontId="2" fillId="0" borderId="78" xfId="1" applyNumberFormat="1" applyFont="1" applyFill="1" applyBorder="1" applyAlignment="1"/>
    <xf numFmtId="3" fontId="11" fillId="10" borderId="104" xfId="1" applyNumberFormat="1" applyFont="1" applyFill="1" applyBorder="1" applyAlignment="1">
      <alignment horizontal="right"/>
    </xf>
    <xf numFmtId="3" fontId="11" fillId="10" borderId="96" xfId="1" applyNumberFormat="1" applyFont="1" applyFill="1" applyBorder="1" applyAlignment="1">
      <alignment horizontal="right"/>
    </xf>
    <xf numFmtId="3" fontId="11" fillId="10" borderId="105" xfId="1" applyNumberFormat="1" applyFont="1" applyFill="1" applyBorder="1" applyAlignment="1">
      <alignment horizontal="right"/>
    </xf>
    <xf numFmtId="3" fontId="11" fillId="10" borderId="106" xfId="1" applyNumberFormat="1" applyFont="1" applyFill="1" applyBorder="1" applyAlignment="1">
      <alignment horizontal="right"/>
    </xf>
    <xf numFmtId="3" fontId="11" fillId="10" borderId="99" xfId="1" applyNumberFormat="1" applyFont="1" applyFill="1" applyBorder="1" applyAlignment="1">
      <alignment horizontal="right"/>
    </xf>
    <xf numFmtId="41" fontId="2" fillId="9" borderId="78" xfId="1" applyNumberFormat="1" applyFont="1" applyFill="1" applyBorder="1" applyAlignment="1"/>
    <xf numFmtId="41" fontId="35" fillId="0" borderId="78" xfId="1" applyNumberFormat="1" applyFont="1" applyFill="1" applyBorder="1" applyAlignment="1"/>
    <xf numFmtId="3" fontId="0" fillId="0" borderId="81" xfId="0" applyNumberFormat="1" applyBorder="1" applyAlignment="1">
      <alignment horizontal="right"/>
    </xf>
    <xf numFmtId="3" fontId="0" fillId="0" borderId="89" xfId="0" applyNumberFormat="1" applyBorder="1"/>
    <xf numFmtId="3" fontId="0" fillId="0" borderId="83" xfId="0" applyNumberFormat="1" applyBorder="1"/>
    <xf numFmtId="41" fontId="2" fillId="9" borderId="108" xfId="1" applyNumberFormat="1" applyFont="1" applyFill="1" applyBorder="1" applyAlignment="1"/>
    <xf numFmtId="0" fontId="0" fillId="0" borderId="12" xfId="0" applyFont="1" applyBorder="1"/>
    <xf numFmtId="3" fontId="0" fillId="0" borderId="12" xfId="0" applyNumberFormat="1" applyFont="1" applyBorder="1"/>
    <xf numFmtId="0" fontId="0" fillId="0" borderId="83" xfId="0" applyBorder="1"/>
    <xf numFmtId="37" fontId="0" fillId="0" borderId="83" xfId="0" applyNumberFormat="1" applyBorder="1"/>
    <xf numFmtId="41" fontId="10" fillId="11" borderId="64" xfId="1" applyNumberFormat="1" applyFont="1" applyFill="1" applyBorder="1" applyAlignment="1"/>
    <xf numFmtId="41" fontId="2" fillId="0" borderId="52" xfId="1" applyNumberFormat="1" applyFont="1" applyFill="1" applyBorder="1"/>
    <xf numFmtId="41" fontId="10" fillId="10" borderId="59" xfId="1" applyNumberFormat="1" applyFont="1" applyFill="1" applyBorder="1"/>
    <xf numFmtId="41" fontId="10" fillId="10" borderId="109" xfId="1" applyNumberFormat="1" applyFont="1" applyFill="1" applyBorder="1"/>
    <xf numFmtId="41" fontId="13" fillId="10" borderId="20" xfId="1" applyNumberFormat="1" applyFont="1" applyFill="1" applyBorder="1" applyAlignment="1">
      <alignment horizontal="center"/>
    </xf>
    <xf numFmtId="41" fontId="10" fillId="10" borderId="110" xfId="1" applyNumberFormat="1" applyFont="1" applyFill="1" applyBorder="1"/>
    <xf numFmtId="41" fontId="10" fillId="10" borderId="111" xfId="1" applyNumberFormat="1" applyFont="1" applyFill="1" applyBorder="1"/>
    <xf numFmtId="41" fontId="10" fillId="0" borderId="112" xfId="1" applyNumberFormat="1" applyFont="1" applyBorder="1"/>
    <xf numFmtId="41" fontId="10" fillId="0" borderId="112" xfId="0" applyNumberFormat="1" applyFont="1" applyBorder="1"/>
    <xf numFmtId="0" fontId="2" fillId="0" borderId="22" xfId="2" applyFont="1" applyFill="1" applyBorder="1" applyAlignment="1">
      <alignment wrapText="1"/>
    </xf>
    <xf numFmtId="0" fontId="2" fillId="0" borderId="113" xfId="2" applyFont="1" applyFill="1" applyBorder="1" applyAlignment="1">
      <alignment wrapText="1"/>
    </xf>
    <xf numFmtId="37" fontId="0" fillId="0" borderId="13" xfId="0" applyNumberFormat="1" applyBorder="1"/>
    <xf numFmtId="37" fontId="0" fillId="0" borderId="14" xfId="0" applyNumberFormat="1" applyBorder="1"/>
    <xf numFmtId="0" fontId="37" fillId="0" borderId="12" xfId="4" applyBorder="1"/>
    <xf numFmtId="3" fontId="10" fillId="0" borderId="114" xfId="1" applyNumberFormat="1" applyFont="1" applyFill="1" applyBorder="1" applyAlignment="1">
      <alignment horizontal="right"/>
    </xf>
    <xf numFmtId="3" fontId="10" fillId="0" borderId="9" xfId="1" applyNumberFormat="1" applyFont="1" applyFill="1" applyBorder="1" applyAlignment="1">
      <alignment horizontal="right"/>
    </xf>
    <xf numFmtId="41" fontId="9" fillId="9" borderId="77" xfId="1" applyNumberFormat="1" applyFont="1" applyFill="1" applyBorder="1" applyAlignment="1"/>
    <xf numFmtId="41" fontId="5" fillId="0" borderId="66" xfId="1" applyNumberFormat="1" applyFont="1" applyFill="1" applyBorder="1" applyAlignment="1"/>
    <xf numFmtId="41" fontId="9" fillId="9" borderId="78" xfId="1" applyNumberFormat="1" applyFont="1" applyFill="1" applyBorder="1" applyAlignment="1"/>
    <xf numFmtId="3" fontId="10" fillId="0" borderId="108" xfId="1" applyNumberFormat="1" applyFont="1" applyFill="1" applyBorder="1" applyAlignment="1">
      <alignment horizontal="right"/>
    </xf>
    <xf numFmtId="3" fontId="11" fillId="10" borderId="19" xfId="1" applyNumberFormat="1" applyFont="1" applyFill="1" applyBorder="1"/>
    <xf numFmtId="3" fontId="11" fillId="10" borderId="17" xfId="1" applyNumberFormat="1" applyFont="1" applyFill="1" applyBorder="1" applyAlignment="1">
      <alignment horizontal="right"/>
    </xf>
    <xf numFmtId="3" fontId="11" fillId="10" borderId="17" xfId="1" applyNumberFormat="1" applyFont="1" applyFill="1" applyBorder="1"/>
    <xf numFmtId="3" fontId="11" fillId="10" borderId="8" xfId="1" applyNumberFormat="1" applyFont="1" applyFill="1" applyBorder="1"/>
    <xf numFmtId="0" fontId="10" fillId="0" borderId="0" xfId="0" applyFont="1" applyFill="1"/>
    <xf numFmtId="41" fontId="5" fillId="0" borderId="0" xfId="1" applyNumberFormat="1" applyFont="1" applyFill="1" applyBorder="1"/>
    <xf numFmtId="0" fontId="0" fillId="0" borderId="0" xfId="0" applyFill="1"/>
    <xf numFmtId="20" fontId="0" fillId="0" borderId="0" xfId="0" applyNumberFormat="1"/>
    <xf numFmtId="0" fontId="0" fillId="0" borderId="33" xfId="2" quotePrefix="1" applyFont="1" applyFill="1" applyBorder="1" applyAlignment="1">
      <alignment wrapText="1"/>
    </xf>
    <xf numFmtId="0" fontId="0" fillId="0" borderId="12" xfId="2" applyFont="1" applyFill="1" applyBorder="1" applyAlignment="1">
      <alignment wrapText="1"/>
    </xf>
    <xf numFmtId="38" fontId="0" fillId="0" borderId="0" xfId="0" applyNumberFormat="1"/>
    <xf numFmtId="41" fontId="11" fillId="0" borderId="0" xfId="0" applyNumberFormat="1" applyFont="1"/>
    <xf numFmtId="0" fontId="0" fillId="0" borderId="89" xfId="0" applyBorder="1"/>
    <xf numFmtId="0" fontId="0" fillId="0" borderId="88" xfId="0" applyBorder="1"/>
    <xf numFmtId="41" fontId="5" fillId="0" borderId="66" xfId="1" applyNumberFormat="1" applyFont="1" applyBorder="1"/>
    <xf numFmtId="41" fontId="11" fillId="10" borderId="104" xfId="1" applyNumberFormat="1" applyFont="1" applyFill="1" applyBorder="1"/>
    <xf numFmtId="3" fontId="11" fillId="10" borderId="96" xfId="1" applyNumberFormat="1" applyFont="1" applyFill="1" applyBorder="1"/>
    <xf numFmtId="3" fontId="10" fillId="0" borderId="16" xfId="1" applyNumberFormat="1" applyFont="1" applyFill="1" applyBorder="1" applyAlignment="1">
      <alignment horizontal="right"/>
    </xf>
    <xf numFmtId="41" fontId="9" fillId="9" borderId="108" xfId="1" applyNumberFormat="1" applyFont="1" applyFill="1" applyBorder="1" applyAlignment="1"/>
    <xf numFmtId="3" fontId="0" fillId="0" borderId="80" xfId="0" applyNumberFormat="1" applyBorder="1" applyAlignment="1">
      <alignment horizontal="right"/>
    </xf>
    <xf numFmtId="41" fontId="5" fillId="0" borderId="64" xfId="1" applyNumberFormat="1" applyFont="1" applyFill="1" applyBorder="1"/>
    <xf numFmtId="0" fontId="38" fillId="0" borderId="0" xfId="5"/>
    <xf numFmtId="40" fontId="10" fillId="0" borderId="0" xfId="1" applyFont="1"/>
    <xf numFmtId="0" fontId="38" fillId="0" borderId="12" xfId="5" applyBorder="1"/>
    <xf numFmtId="0" fontId="38" fillId="0" borderId="13" xfId="5" applyBorder="1"/>
    <xf numFmtId="3" fontId="11" fillId="10" borderId="73" xfId="1" applyNumberFormat="1" applyFont="1" applyFill="1" applyBorder="1" applyAlignment="1">
      <alignment horizontal="right"/>
    </xf>
    <xf numFmtId="41" fontId="11" fillId="10" borderId="8" xfId="1" applyNumberFormat="1" applyFont="1" applyFill="1" applyBorder="1"/>
    <xf numFmtId="0" fontId="39" fillId="0" borderId="12" xfId="7" applyBorder="1"/>
    <xf numFmtId="0" fontId="40" fillId="0" borderId="0" xfId="8"/>
    <xf numFmtId="0" fontId="40" fillId="0" borderId="12" xfId="8" applyBorder="1"/>
    <xf numFmtId="40" fontId="0" fillId="0" borderId="0" xfId="0" applyNumberFormat="1"/>
    <xf numFmtId="0" fontId="0" fillId="0" borderId="12" xfId="0" applyFill="1" applyBorder="1"/>
    <xf numFmtId="43" fontId="10" fillId="0" borderId="0" xfId="6" applyFont="1"/>
    <xf numFmtId="41" fontId="10" fillId="11" borderId="104" xfId="2" applyNumberFormat="1" applyFont="1" applyFill="1" applyBorder="1" applyAlignment="1">
      <alignment horizontal="center" vertical="center"/>
    </xf>
    <xf numFmtId="41" fontId="11" fillId="10" borderId="4" xfId="1" applyNumberFormat="1" applyFont="1" applyFill="1" applyBorder="1"/>
    <xf numFmtId="41" fontId="10" fillId="11" borderId="104" xfId="2" applyNumberFormat="1" applyFont="1" applyFill="1" applyBorder="1" applyAlignment="1">
      <alignment vertical="center"/>
    </xf>
    <xf numFmtId="41" fontId="14" fillId="11" borderId="6" xfId="1" applyNumberFormat="1" applyFont="1" applyFill="1" applyBorder="1" applyAlignment="1">
      <alignment horizontal="center" vertical="center"/>
    </xf>
    <xf numFmtId="0" fontId="0" fillId="0" borderId="102" xfId="0" applyBorder="1"/>
    <xf numFmtId="41" fontId="10" fillId="10" borderId="73" xfId="1" applyNumberFormat="1" applyFont="1" applyFill="1" applyBorder="1"/>
    <xf numFmtId="3" fontId="11" fillId="10" borderId="24" xfId="1" applyNumberFormat="1" applyFont="1" applyFill="1" applyBorder="1" applyAlignment="1">
      <alignment horizontal="right"/>
    </xf>
    <xf numFmtId="41" fontId="14" fillId="11" borderId="20" xfId="1" applyNumberFormat="1" applyFont="1" applyFill="1" applyBorder="1" applyAlignment="1">
      <alignment horizontal="center" vertical="center"/>
    </xf>
    <xf numFmtId="3" fontId="10" fillId="0" borderId="12" xfId="0" applyNumberFormat="1" applyFont="1" applyBorder="1" applyAlignment="1">
      <alignment horizontal="right"/>
    </xf>
    <xf numFmtId="37" fontId="0" fillId="0" borderId="89" xfId="0" applyNumberFormat="1" applyBorder="1"/>
    <xf numFmtId="41" fontId="11" fillId="10" borderId="7" xfId="1" applyNumberFormat="1" applyFont="1" applyFill="1" applyBorder="1"/>
    <xf numFmtId="0" fontId="41" fillId="0" borderId="12" xfId="9" applyBorder="1"/>
    <xf numFmtId="0" fontId="41" fillId="0" borderId="13" xfId="9" applyBorder="1"/>
    <xf numFmtId="0" fontId="41" fillId="0" borderId="14" xfId="9" applyBorder="1"/>
    <xf numFmtId="37" fontId="0" fillId="0" borderId="88" xfId="0" applyNumberFormat="1" applyBorder="1"/>
    <xf numFmtId="38" fontId="10" fillId="11" borderId="73" xfId="1" applyNumberFormat="1" applyFont="1" applyFill="1" applyBorder="1" applyAlignment="1">
      <alignment horizontal="center" vertical="center" wrapText="1"/>
    </xf>
    <xf numFmtId="0" fontId="37" fillId="0" borderId="14" xfId="4" applyBorder="1"/>
    <xf numFmtId="0" fontId="37" fillId="0" borderId="13" xfId="4" applyBorder="1"/>
    <xf numFmtId="41" fontId="11" fillId="10" borderId="2" xfId="1" applyNumberFormat="1" applyFont="1" applyFill="1" applyBorder="1"/>
    <xf numFmtId="0" fontId="37" fillId="0" borderId="0" xfId="4" applyFill="1"/>
    <xf numFmtId="0" fontId="37" fillId="0" borderId="12" xfId="4" applyFill="1" applyBorder="1"/>
    <xf numFmtId="0" fontId="37" fillId="0" borderId="14" xfId="4" applyFill="1" applyBorder="1"/>
    <xf numFmtId="0" fontId="10" fillId="0" borderId="12" xfId="4" applyFont="1" applyFill="1" applyBorder="1"/>
    <xf numFmtId="0" fontId="2" fillId="0" borderId="16" xfId="2" applyFont="1" applyFill="1" applyBorder="1" applyAlignment="1">
      <alignment wrapText="1"/>
    </xf>
    <xf numFmtId="38" fontId="17" fillId="11" borderId="42" xfId="2" applyNumberFormat="1" applyFont="1" applyFill="1" applyBorder="1" applyAlignment="1">
      <alignment horizontal="center" vertical="center"/>
    </xf>
    <xf numFmtId="0" fontId="0" fillId="0" borderId="16" xfId="2" applyFont="1" applyFill="1" applyBorder="1" applyAlignment="1">
      <alignment wrapText="1"/>
    </xf>
    <xf numFmtId="41" fontId="13" fillId="10" borderId="117" xfId="1" applyNumberFormat="1" applyFont="1" applyFill="1" applyBorder="1" applyAlignment="1">
      <alignment horizontal="right"/>
    </xf>
    <xf numFmtId="41" fontId="13" fillId="10" borderId="116" xfId="1" applyNumberFormat="1" applyFont="1" applyFill="1" applyBorder="1" applyAlignment="1">
      <alignment horizontal="right"/>
    </xf>
    <xf numFmtId="3" fontId="0" fillId="0" borderId="91" xfId="0" applyNumberFormat="1" applyBorder="1"/>
    <xf numFmtId="41" fontId="13" fillId="10" borderId="118" xfId="1" applyNumberFormat="1" applyFont="1" applyFill="1" applyBorder="1" applyAlignment="1">
      <alignment horizontal="right"/>
    </xf>
    <xf numFmtId="3" fontId="0" fillId="0" borderId="91" xfId="0" applyNumberFormat="1" applyBorder="1" applyAlignment="1">
      <alignment horizontal="right"/>
    </xf>
    <xf numFmtId="3" fontId="0" fillId="0" borderId="94" xfId="0" applyNumberFormat="1" applyBorder="1" applyAlignment="1">
      <alignment horizontal="right"/>
    </xf>
    <xf numFmtId="3" fontId="0" fillId="0" borderId="93" xfId="0" applyNumberFormat="1" applyBorder="1" applyAlignment="1">
      <alignment horizontal="right"/>
    </xf>
    <xf numFmtId="41" fontId="13" fillId="10" borderId="119" xfId="1" applyNumberFormat="1" applyFont="1" applyFill="1" applyBorder="1" applyAlignment="1">
      <alignment horizontal="right"/>
    </xf>
    <xf numFmtId="0" fontId="0" fillId="0" borderId="81" xfId="0" applyBorder="1"/>
    <xf numFmtId="0" fontId="0" fillId="0" borderId="80" xfId="0" applyBorder="1"/>
    <xf numFmtId="0" fontId="0" fillId="0" borderId="82" xfId="0" applyBorder="1"/>
    <xf numFmtId="41" fontId="9" fillId="0" borderId="108" xfId="1" applyNumberFormat="1" applyFont="1" applyFill="1" applyBorder="1" applyAlignment="1"/>
    <xf numFmtId="41" fontId="9" fillId="9" borderId="68" xfId="1" applyNumberFormat="1" applyFont="1" applyFill="1" applyBorder="1" applyAlignment="1"/>
    <xf numFmtId="3" fontId="10" fillId="0" borderId="83" xfId="1" applyNumberFormat="1" applyFont="1" applyFill="1" applyBorder="1" applyAlignment="1">
      <alignment horizontal="right"/>
    </xf>
    <xf numFmtId="3" fontId="11" fillId="10" borderId="4" xfId="1" applyNumberFormat="1" applyFont="1" applyFill="1" applyBorder="1" applyAlignment="1">
      <alignment horizontal="right"/>
    </xf>
    <xf numFmtId="3" fontId="11" fillId="10" borderId="107" xfId="1" applyNumberFormat="1" applyFont="1" applyFill="1" applyBorder="1"/>
    <xf numFmtId="3" fontId="11" fillId="10" borderId="102" xfId="1" applyNumberFormat="1" applyFont="1" applyFill="1" applyBorder="1"/>
    <xf numFmtId="3" fontId="2" fillId="0" borderId="12" xfId="1" applyNumberFormat="1" applyFont="1" applyFill="1" applyBorder="1" applyAlignment="1">
      <alignment horizontal="right"/>
    </xf>
    <xf numFmtId="3" fontId="2" fillId="0" borderId="81" xfId="1" applyNumberFormat="1" applyFont="1" applyFill="1" applyBorder="1" applyAlignment="1">
      <alignment horizontal="right"/>
    </xf>
    <xf numFmtId="3" fontId="2" fillId="0" borderId="80" xfId="1" applyNumberFormat="1" applyFont="1" applyFill="1" applyBorder="1" applyAlignment="1">
      <alignment horizontal="right"/>
    </xf>
    <xf numFmtId="3" fontId="2" fillId="0" borderId="77" xfId="1" applyNumberFormat="1" applyFont="1" applyFill="1" applyBorder="1" applyAlignment="1">
      <alignment horizontal="right"/>
    </xf>
    <xf numFmtId="3" fontId="2" fillId="0" borderId="82" xfId="1" applyNumberFormat="1" applyFont="1" applyFill="1" applyBorder="1" applyAlignment="1">
      <alignment horizontal="right"/>
    </xf>
    <xf numFmtId="3" fontId="2" fillId="0" borderId="13" xfId="1" applyNumberFormat="1" applyFont="1" applyFill="1" applyBorder="1" applyAlignment="1">
      <alignment horizontal="right"/>
    </xf>
    <xf numFmtId="3" fontId="0" fillId="0" borderId="12" xfId="0" applyNumberFormat="1" applyFill="1" applyBorder="1"/>
    <xf numFmtId="3" fontId="0" fillId="0" borderId="114" xfId="0" applyNumberFormat="1" applyBorder="1" applyAlignment="1">
      <alignment horizontal="right"/>
    </xf>
    <xf numFmtId="41" fontId="2" fillId="12" borderId="52" xfId="1" applyNumberFormat="1" applyFont="1" applyFill="1" applyBorder="1"/>
    <xf numFmtId="41" fontId="2" fillId="12" borderId="79" xfId="1" applyNumberFormat="1" applyFont="1" applyFill="1" applyBorder="1"/>
    <xf numFmtId="0" fontId="42" fillId="0" borderId="12" xfId="10" applyBorder="1"/>
    <xf numFmtId="0" fontId="42" fillId="0" borderId="13" xfId="10" applyBorder="1"/>
    <xf numFmtId="41" fontId="11" fillId="10" borderId="8" xfId="1" applyNumberFormat="1" applyFont="1" applyFill="1" applyBorder="1" applyAlignment="1">
      <alignment horizontal="center"/>
    </xf>
    <xf numFmtId="41" fontId="11" fillId="10" borderId="106" xfId="1" applyNumberFormat="1" applyFont="1" applyFill="1" applyBorder="1"/>
    <xf numFmtId="41" fontId="11" fillId="10" borderId="18" xfId="1" applyNumberFormat="1" applyFont="1" applyFill="1" applyBorder="1" applyAlignment="1">
      <alignment horizontal="center"/>
    </xf>
    <xf numFmtId="0" fontId="42" fillId="0" borderId="14" xfId="10" applyBorder="1"/>
    <xf numFmtId="41" fontId="13" fillId="10" borderId="106" xfId="1" applyNumberFormat="1" applyFont="1" applyFill="1" applyBorder="1" applyAlignment="1">
      <alignment horizontal="right"/>
    </xf>
    <xf numFmtId="41" fontId="13" fillId="10" borderId="115" xfId="1" applyNumberFormat="1" applyFont="1" applyFill="1" applyBorder="1" applyAlignment="1">
      <alignment horizontal="right"/>
    </xf>
    <xf numFmtId="41" fontId="13" fillId="10" borderId="24" xfId="1" applyNumberFormat="1" applyFont="1" applyFill="1" applyBorder="1" applyAlignment="1">
      <alignment horizontal="right"/>
    </xf>
    <xf numFmtId="41" fontId="13" fillId="10" borderId="120" xfId="1" applyNumberFormat="1" applyFont="1" applyFill="1" applyBorder="1" applyAlignment="1">
      <alignment horizontal="right"/>
    </xf>
    <xf numFmtId="1" fontId="11" fillId="10" borderId="24" xfId="1" applyNumberFormat="1" applyFont="1" applyFill="1" applyBorder="1"/>
    <xf numFmtId="0" fontId="0" fillId="0" borderId="16" xfId="0" applyBorder="1"/>
    <xf numFmtId="38" fontId="10" fillId="11" borderId="105" xfId="1" applyNumberFormat="1" applyFont="1" applyFill="1" applyBorder="1" applyAlignment="1">
      <alignment horizontal="center" vertical="center" wrapText="1"/>
    </xf>
    <xf numFmtId="38" fontId="10" fillId="11" borderId="104" xfId="1" applyNumberFormat="1" applyFont="1" applyFill="1" applyBorder="1" applyAlignment="1">
      <alignment horizontal="center" vertical="center" wrapText="1"/>
    </xf>
    <xf numFmtId="3" fontId="11" fillId="10" borderId="121" xfId="1" applyNumberFormat="1" applyFont="1" applyFill="1" applyBorder="1"/>
    <xf numFmtId="3" fontId="11" fillId="10" borderId="24" xfId="1" applyNumberFormat="1" applyFont="1" applyFill="1" applyBorder="1"/>
    <xf numFmtId="3" fontId="10" fillId="0" borderId="89" xfId="1" applyNumberFormat="1" applyFont="1" applyFill="1" applyBorder="1" applyAlignment="1">
      <alignment horizontal="right"/>
    </xf>
    <xf numFmtId="3" fontId="11" fillId="10" borderId="120" xfId="1" applyNumberFormat="1" applyFont="1" applyFill="1" applyBorder="1" applyAlignment="1">
      <alignment horizontal="right"/>
    </xf>
    <xf numFmtId="0" fontId="10" fillId="0" borderId="101" xfId="0" applyFont="1" applyBorder="1"/>
    <xf numFmtId="41" fontId="14" fillId="11" borderId="7" xfId="1" applyNumberFormat="1" applyFont="1" applyFill="1" applyBorder="1" applyAlignment="1">
      <alignment horizontal="center" vertical="center"/>
    </xf>
    <xf numFmtId="41" fontId="10" fillId="0" borderId="64" xfId="0" applyNumberFormat="1" applyFont="1" applyFill="1" applyBorder="1"/>
    <xf numFmtId="3" fontId="11" fillId="10" borderId="18" xfId="1" applyNumberFormat="1" applyFont="1" applyFill="1" applyBorder="1" applyAlignment="1">
      <alignment horizontal="right"/>
    </xf>
    <xf numFmtId="41" fontId="9" fillId="0" borderId="83" xfId="1" applyNumberFormat="1" applyFont="1" applyFill="1" applyBorder="1" applyAlignment="1"/>
    <xf numFmtId="41" fontId="2" fillId="9" borderId="12" xfId="1" applyNumberFormat="1" applyFont="1" applyFill="1" applyBorder="1" applyAlignment="1"/>
    <xf numFmtId="41" fontId="2" fillId="0" borderId="12" xfId="1" applyNumberFormat="1" applyFont="1" applyFill="1" applyBorder="1" applyAlignment="1"/>
    <xf numFmtId="41" fontId="2" fillId="0" borderId="13" xfId="1" applyNumberFormat="1" applyFont="1" applyFill="1" applyBorder="1" applyAlignment="1"/>
    <xf numFmtId="41" fontId="2" fillId="9" borderId="13" xfId="1" applyNumberFormat="1" applyFont="1" applyFill="1" applyBorder="1" applyAlignment="1"/>
    <xf numFmtId="41" fontId="2" fillId="0" borderId="14" xfId="1" applyNumberFormat="1" applyFont="1" applyFill="1" applyBorder="1" applyAlignment="1"/>
    <xf numFmtId="41" fontId="10" fillId="10" borderId="8" xfId="1" applyNumberFormat="1" applyFont="1" applyFill="1" applyBorder="1"/>
    <xf numFmtId="38" fontId="10" fillId="11" borderId="12" xfId="1" applyNumberFormat="1" applyFont="1" applyFill="1" applyBorder="1" applyAlignment="1">
      <alignment horizontal="center" vertical="center" wrapText="1"/>
    </xf>
    <xf numFmtId="41" fontId="10" fillId="11" borderId="12" xfId="2" applyNumberFormat="1" applyFont="1" applyFill="1" applyBorder="1" applyAlignment="1">
      <alignment horizontal="center" vertical="center"/>
    </xf>
    <xf numFmtId="0" fontId="10" fillId="11" borderId="12" xfId="2" applyFont="1" applyFill="1" applyBorder="1" applyAlignment="1">
      <alignment horizontal="center" vertical="center"/>
    </xf>
    <xf numFmtId="41" fontId="10" fillId="11" borderId="35" xfId="2" applyNumberFormat="1" applyFont="1" applyFill="1" applyBorder="1" applyAlignment="1">
      <alignment horizontal="center"/>
    </xf>
    <xf numFmtId="41" fontId="13" fillId="11" borderId="12" xfId="2" applyNumberFormat="1" applyFont="1" applyFill="1" applyBorder="1" applyAlignment="1">
      <alignment horizontal="center" vertical="center"/>
    </xf>
    <xf numFmtId="41" fontId="13" fillId="10" borderId="122" xfId="1" applyNumberFormat="1" applyFont="1" applyFill="1" applyBorder="1" applyAlignment="1">
      <alignment horizontal="right"/>
    </xf>
    <xf numFmtId="41" fontId="11" fillId="10" borderId="24" xfId="1" applyNumberFormat="1" applyFont="1" applyFill="1" applyBorder="1"/>
    <xf numFmtId="3" fontId="11" fillId="10" borderId="16" xfId="1" applyNumberFormat="1" applyFont="1" applyFill="1" applyBorder="1" applyAlignment="1">
      <alignment horizontal="right"/>
    </xf>
    <xf numFmtId="3" fontId="11" fillId="10" borderId="123" xfId="1" applyNumberFormat="1" applyFont="1" applyFill="1" applyBorder="1" applyAlignment="1">
      <alignment horizontal="right"/>
    </xf>
    <xf numFmtId="41" fontId="10" fillId="11" borderId="12" xfId="2" applyNumberFormat="1" applyFont="1" applyFill="1" applyBorder="1" applyAlignment="1">
      <alignment vertical="center"/>
    </xf>
    <xf numFmtId="41" fontId="14" fillId="11" borderId="24" xfId="1" applyNumberFormat="1" applyFont="1" applyFill="1" applyBorder="1" applyAlignment="1">
      <alignment horizontal="center" vertical="center"/>
    </xf>
    <xf numFmtId="0" fontId="0" fillId="0" borderId="124" xfId="0" applyBorder="1"/>
    <xf numFmtId="0" fontId="0" fillId="0" borderId="125" xfId="0" applyBorder="1"/>
    <xf numFmtId="0" fontId="0" fillId="0" borderId="90" xfId="0" applyBorder="1"/>
    <xf numFmtId="0" fontId="0" fillId="0" borderId="14" xfId="0" applyFont="1" applyBorder="1"/>
    <xf numFmtId="3" fontId="11" fillId="10" borderId="104" xfId="1" applyNumberFormat="1" applyFont="1" applyFill="1" applyBorder="1"/>
    <xf numFmtId="3" fontId="11" fillId="10" borderId="98" xfId="1" applyNumberFormat="1" applyFont="1" applyFill="1" applyBorder="1"/>
    <xf numFmtId="3" fontId="11" fillId="10" borderId="115" xfId="1" applyNumberFormat="1" applyFont="1" applyFill="1" applyBorder="1"/>
    <xf numFmtId="3" fontId="11" fillId="10" borderId="105" xfId="1" applyNumberFormat="1" applyFont="1" applyFill="1" applyBorder="1"/>
    <xf numFmtId="3" fontId="11" fillId="10" borderId="97" xfId="1" applyNumberFormat="1" applyFont="1" applyFill="1" applyBorder="1"/>
    <xf numFmtId="41" fontId="11" fillId="10" borderId="12" xfId="1" applyNumberFormat="1" applyFont="1" applyFill="1" applyBorder="1"/>
    <xf numFmtId="3" fontId="11" fillId="10" borderId="12" xfId="1" applyNumberFormat="1" applyFont="1" applyFill="1" applyBorder="1"/>
    <xf numFmtId="3" fontId="11" fillId="10" borderId="11" xfId="1" applyNumberFormat="1" applyFont="1" applyFill="1" applyBorder="1"/>
    <xf numFmtId="0" fontId="2" fillId="0" borderId="29" xfId="2" applyFont="1" applyFill="1" applyBorder="1" applyAlignment="1">
      <alignment wrapText="1"/>
    </xf>
    <xf numFmtId="3" fontId="11" fillId="10" borderId="11" xfId="1" applyNumberFormat="1" applyFont="1" applyFill="1" applyBorder="1" applyAlignment="1">
      <alignment horizontal="right"/>
    </xf>
    <xf numFmtId="3" fontId="0" fillId="0" borderId="12" xfId="0" applyNumberFormat="1" applyFill="1" applyBorder="1" applyAlignment="1">
      <alignment horizontal="right"/>
    </xf>
    <xf numFmtId="41" fontId="2" fillId="9" borderId="14" xfId="1" applyNumberFormat="1" applyFont="1" applyFill="1" applyBorder="1" applyAlignment="1"/>
    <xf numFmtId="17" fontId="0" fillId="0" borderId="0" xfId="0" applyNumberFormat="1"/>
    <xf numFmtId="17" fontId="10" fillId="0" borderId="0" xfId="0" applyNumberFormat="1" applyFont="1"/>
    <xf numFmtId="0" fontId="0" fillId="0" borderId="0" xfId="0" applyBorder="1"/>
    <xf numFmtId="1" fontId="0" fillId="0" borderId="0" xfId="0" applyNumberFormat="1" applyBorder="1"/>
    <xf numFmtId="0" fontId="37" fillId="9" borderId="12" xfId="4" applyFill="1" applyBorder="1"/>
    <xf numFmtId="3" fontId="11" fillId="10" borderId="92" xfId="1" applyNumberFormat="1" applyFont="1" applyFill="1" applyBorder="1"/>
    <xf numFmtId="41" fontId="10" fillId="11" borderId="96" xfId="2" applyNumberFormat="1" applyFont="1" applyFill="1" applyBorder="1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horizontal="right"/>
    </xf>
    <xf numFmtId="0" fontId="43" fillId="0" borderId="0" xfId="0" applyFont="1"/>
    <xf numFmtId="0" fontId="44" fillId="0" borderId="0" xfId="0" applyFont="1" applyAlignment="1">
      <alignment vertical="center"/>
    </xf>
    <xf numFmtId="0" fontId="44" fillId="0" borderId="0" xfId="0" applyFont="1" applyAlignment="1">
      <alignment horizontal="right" vertical="center"/>
    </xf>
    <xf numFmtId="0" fontId="44" fillId="13" borderId="0" xfId="0" applyFont="1" applyFill="1" applyAlignment="1">
      <alignment horizontal="right" vertical="center"/>
    </xf>
    <xf numFmtId="0" fontId="44" fillId="13" borderId="0" xfId="0" applyFont="1" applyFill="1" applyAlignment="1">
      <alignment vertical="center"/>
    </xf>
    <xf numFmtId="41" fontId="9" fillId="14" borderId="64" xfId="1" applyNumberFormat="1" applyFont="1" applyFill="1" applyBorder="1" applyAlignment="1"/>
    <xf numFmtId="38" fontId="10" fillId="11" borderId="6" xfId="1" applyNumberFormat="1" applyFont="1" applyFill="1" applyBorder="1" applyAlignment="1">
      <alignment horizontal="center" vertical="center" wrapText="1"/>
    </xf>
    <xf numFmtId="0" fontId="45" fillId="0" borderId="0" xfId="11"/>
    <xf numFmtId="0" fontId="45" fillId="0" borderId="12" xfId="11" applyBorder="1"/>
    <xf numFmtId="0" fontId="45" fillId="0" borderId="13" xfId="11" applyBorder="1"/>
    <xf numFmtId="0" fontId="45" fillId="0" borderId="14" xfId="11" applyBorder="1"/>
    <xf numFmtId="3" fontId="11" fillId="10" borderId="106" xfId="1" applyNumberFormat="1" applyFont="1" applyFill="1" applyBorder="1"/>
    <xf numFmtId="0" fontId="38" fillId="0" borderId="83" xfId="5" applyBorder="1"/>
    <xf numFmtId="0" fontId="38" fillId="0" borderId="88" xfId="5" applyBorder="1"/>
    <xf numFmtId="41" fontId="11" fillId="10" borderId="6" xfId="1" applyNumberFormat="1" applyFont="1" applyFill="1" applyBorder="1" applyAlignment="1">
      <alignment horizontal="center"/>
    </xf>
    <xf numFmtId="0" fontId="39" fillId="0" borderId="13" xfId="7" applyBorder="1"/>
    <xf numFmtId="41" fontId="9" fillId="15" borderId="64" xfId="1" applyNumberFormat="1" applyFont="1" applyFill="1" applyBorder="1" applyAlignment="1"/>
    <xf numFmtId="3" fontId="11" fillId="10" borderId="115" xfId="1" applyNumberFormat="1" applyFont="1" applyFill="1" applyBorder="1" applyAlignment="1">
      <alignment horizontal="right"/>
    </xf>
    <xf numFmtId="0" fontId="40" fillId="0" borderId="13" xfId="8" applyBorder="1"/>
    <xf numFmtId="3" fontId="10" fillId="0" borderId="126" xfId="1" applyNumberFormat="1" applyFont="1" applyFill="1" applyBorder="1" applyAlignment="1">
      <alignment horizontal="right"/>
    </xf>
    <xf numFmtId="3" fontId="11" fillId="10" borderId="92" xfId="1" applyNumberFormat="1" applyFont="1" applyFill="1" applyBorder="1" applyAlignment="1">
      <alignment horizontal="right"/>
    </xf>
    <xf numFmtId="3" fontId="11" fillId="10" borderId="101" xfId="1" applyNumberFormat="1" applyFont="1" applyFill="1" applyBorder="1" applyAlignment="1">
      <alignment horizontal="right"/>
    </xf>
    <xf numFmtId="3" fontId="10" fillId="0" borderId="35" xfId="1" applyNumberFormat="1" applyFont="1" applyFill="1" applyBorder="1" applyAlignment="1">
      <alignment horizontal="right"/>
    </xf>
    <xf numFmtId="38" fontId="17" fillId="2" borderId="20" xfId="2" applyNumberFormat="1" applyFont="1" applyFill="1" applyBorder="1" applyAlignment="1">
      <alignment horizontal="center" vertical="center"/>
    </xf>
    <xf numFmtId="38" fontId="17" fillId="2" borderId="7" xfId="2" applyNumberFormat="1" applyFont="1" applyFill="1" applyBorder="1" applyAlignment="1">
      <alignment horizontal="center" vertical="center"/>
    </xf>
    <xf numFmtId="17" fontId="16" fillId="7" borderId="20" xfId="1" quotePrefix="1" applyNumberFormat="1" applyFont="1" applyFill="1" applyBorder="1" applyAlignment="1">
      <alignment horizontal="center" vertical="center" wrapText="1"/>
    </xf>
    <xf numFmtId="17" fontId="16" fillId="7" borderId="7" xfId="1" quotePrefix="1" applyNumberFormat="1" applyFont="1" applyFill="1" applyBorder="1" applyAlignment="1">
      <alignment horizontal="center" vertical="center" wrapText="1"/>
    </xf>
    <xf numFmtId="17" fontId="16" fillId="7" borderId="24" xfId="1" quotePrefix="1" applyNumberFormat="1" applyFont="1" applyFill="1" applyBorder="1" applyAlignment="1">
      <alignment horizontal="center" vertical="center" wrapText="1"/>
    </xf>
    <xf numFmtId="17" fontId="16" fillId="8" borderId="20" xfId="1" quotePrefix="1" applyNumberFormat="1" applyFont="1" applyFill="1" applyBorder="1" applyAlignment="1">
      <alignment horizontal="center" vertical="center" wrapText="1"/>
    </xf>
    <xf numFmtId="17" fontId="16" fillId="8" borderId="7" xfId="1" quotePrefix="1" applyNumberFormat="1" applyFont="1" applyFill="1" applyBorder="1" applyAlignment="1">
      <alignment horizontal="center" vertical="center" wrapText="1"/>
    </xf>
    <xf numFmtId="17" fontId="16" fillId="8" borderId="24" xfId="1" quotePrefix="1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31" fillId="0" borderId="2" xfId="0" applyFont="1" applyBorder="1" applyAlignment="1">
      <alignment horizontal="center"/>
    </xf>
    <xf numFmtId="0" fontId="34" fillId="2" borderId="0" xfId="2" applyFont="1" applyFill="1" applyBorder="1" applyAlignment="1">
      <alignment horizontal="center" vertical="top"/>
    </xf>
    <xf numFmtId="17" fontId="14" fillId="11" borderId="40" xfId="1" applyNumberFormat="1" applyFont="1" applyFill="1" applyBorder="1" applyAlignment="1">
      <alignment horizontal="center" vertical="center" wrapText="1"/>
    </xf>
    <xf numFmtId="17" fontId="14" fillId="11" borderId="41" xfId="1" applyNumberFormat="1" applyFont="1" applyFill="1" applyBorder="1" applyAlignment="1">
      <alignment horizontal="center" vertical="center" wrapText="1"/>
    </xf>
    <xf numFmtId="17" fontId="14" fillId="11" borderId="42" xfId="1" applyNumberFormat="1" applyFont="1" applyFill="1" applyBorder="1" applyAlignment="1">
      <alignment horizontal="center" vertical="center" wrapText="1"/>
    </xf>
    <xf numFmtId="0" fontId="32" fillId="2" borderId="0" xfId="2" applyFont="1" applyFill="1" applyBorder="1" applyAlignment="1">
      <alignment horizontal="center" vertical="top"/>
    </xf>
    <xf numFmtId="38" fontId="16" fillId="11" borderId="56" xfId="2" applyNumberFormat="1" applyFont="1" applyFill="1" applyBorder="1" applyAlignment="1">
      <alignment horizontal="center" vertical="center"/>
    </xf>
    <xf numFmtId="38" fontId="16" fillId="11" borderId="24" xfId="2" applyNumberFormat="1" applyFont="1" applyFill="1" applyBorder="1" applyAlignment="1">
      <alignment horizontal="center" vertical="center"/>
    </xf>
    <xf numFmtId="38" fontId="17" fillId="11" borderId="40" xfId="2" applyNumberFormat="1" applyFont="1" applyFill="1" applyBorder="1" applyAlignment="1">
      <alignment horizontal="center" vertical="center"/>
    </xf>
    <xf numFmtId="38" fontId="17" fillId="11" borderId="42" xfId="2" applyNumberFormat="1" applyFont="1" applyFill="1" applyBorder="1" applyAlignment="1">
      <alignment horizontal="center" vertical="center"/>
    </xf>
    <xf numFmtId="17" fontId="14" fillId="11" borderId="72" xfId="1" applyNumberFormat="1" applyFont="1" applyFill="1" applyBorder="1" applyAlignment="1">
      <alignment horizontal="center" vertical="center" wrapText="1"/>
    </xf>
    <xf numFmtId="17" fontId="14" fillId="11" borderId="70" xfId="1" applyNumberFormat="1" applyFont="1" applyFill="1" applyBorder="1" applyAlignment="1">
      <alignment horizontal="center" vertical="center" wrapText="1"/>
    </xf>
    <xf numFmtId="17" fontId="14" fillId="11" borderId="71" xfId="1" applyNumberFormat="1" applyFont="1" applyFill="1" applyBorder="1" applyAlignment="1">
      <alignment horizontal="center" vertical="center" wrapText="1"/>
    </xf>
  </cellXfs>
  <cellStyles count="12">
    <cellStyle name="Comma" xfId="1" builtinId="3"/>
    <cellStyle name="Comma 2" xfId="6" xr:uid="{00000000-0005-0000-0000-000001000000}"/>
    <cellStyle name="Normal" xfId="0" builtinId="0"/>
    <cellStyle name="Normal 2" xfId="4" xr:uid="{00000000-0005-0000-0000-000003000000}"/>
    <cellStyle name="Normal 3" xfId="5" xr:uid="{00000000-0005-0000-0000-000004000000}"/>
    <cellStyle name="Normal 4" xfId="7" xr:uid="{00000000-0005-0000-0000-000005000000}"/>
    <cellStyle name="Normal 5" xfId="8" xr:uid="{00000000-0005-0000-0000-000006000000}"/>
    <cellStyle name="Normal 6" xfId="9" xr:uid="{00000000-0005-0000-0000-000007000000}"/>
    <cellStyle name="Normal 7" xfId="10" xr:uid="{00000000-0005-0000-0000-000008000000}"/>
    <cellStyle name="Normal 8" xfId="11" xr:uid="{00000000-0005-0000-0000-000009000000}"/>
    <cellStyle name="Normal_fy05 12-Dec Mo rev3" xfId="2" xr:uid="{00000000-0005-0000-0000-00000A000000}"/>
    <cellStyle name="Normal_FY05 Parks Rev 12.04 rev1" xfId="3" xr:uid="{00000000-0005-0000-0000-00000B000000}"/>
  </cellStyles>
  <dxfs count="100"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121</xdr:row>
      <xdr:rowOff>0</xdr:rowOff>
    </xdr:from>
    <xdr:to>
      <xdr:col>19</xdr:col>
      <xdr:colOff>104775</xdr:colOff>
      <xdr:row>122</xdr:row>
      <xdr:rowOff>9525</xdr:rowOff>
    </xdr:to>
    <xdr:sp macro="" textlink="">
      <xdr:nvSpPr>
        <xdr:cNvPr id="160327" name="Text Box 1">
          <a:extLst>
            <a:ext uri="{FF2B5EF4-FFF2-40B4-BE49-F238E27FC236}">
              <a16:creationId xmlns:a16="http://schemas.microsoft.com/office/drawing/2014/main" id="{00000000-0008-0000-0000-000047720200}"/>
            </a:ext>
          </a:extLst>
        </xdr:cNvPr>
        <xdr:cNvSpPr txBox="1">
          <a:spLocks noChangeArrowheads="1"/>
        </xdr:cNvSpPr>
      </xdr:nvSpPr>
      <xdr:spPr bwMode="auto">
        <a:xfrm>
          <a:off x="128016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28" name="Text Box 2">
          <a:extLst>
            <a:ext uri="{FF2B5EF4-FFF2-40B4-BE49-F238E27FC236}">
              <a16:creationId xmlns:a16="http://schemas.microsoft.com/office/drawing/2014/main" id="{00000000-0008-0000-0000-000048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29" name="Text Box 3">
          <a:extLst>
            <a:ext uri="{FF2B5EF4-FFF2-40B4-BE49-F238E27FC236}">
              <a16:creationId xmlns:a16="http://schemas.microsoft.com/office/drawing/2014/main" id="{00000000-0008-0000-0000-00004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0" name="Text Box 4">
          <a:extLst>
            <a:ext uri="{FF2B5EF4-FFF2-40B4-BE49-F238E27FC236}">
              <a16:creationId xmlns:a16="http://schemas.microsoft.com/office/drawing/2014/main" id="{00000000-0008-0000-0000-00004A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1" name="Text Box 5">
          <a:extLst>
            <a:ext uri="{FF2B5EF4-FFF2-40B4-BE49-F238E27FC236}">
              <a16:creationId xmlns:a16="http://schemas.microsoft.com/office/drawing/2014/main" id="{00000000-0008-0000-0000-00004B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2" name="Text Box 6">
          <a:extLst>
            <a:ext uri="{FF2B5EF4-FFF2-40B4-BE49-F238E27FC236}">
              <a16:creationId xmlns:a16="http://schemas.microsoft.com/office/drawing/2014/main" id="{00000000-0008-0000-0000-00004C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3" name="Text Box 7">
          <a:extLst>
            <a:ext uri="{FF2B5EF4-FFF2-40B4-BE49-F238E27FC236}">
              <a16:creationId xmlns:a16="http://schemas.microsoft.com/office/drawing/2014/main" id="{00000000-0008-0000-0000-00004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4" name="Text Box 8">
          <a:extLst>
            <a:ext uri="{FF2B5EF4-FFF2-40B4-BE49-F238E27FC236}">
              <a16:creationId xmlns:a16="http://schemas.microsoft.com/office/drawing/2014/main" id="{00000000-0008-0000-0000-00004E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5" name="Text Box 9">
          <a:extLst>
            <a:ext uri="{FF2B5EF4-FFF2-40B4-BE49-F238E27FC236}">
              <a16:creationId xmlns:a16="http://schemas.microsoft.com/office/drawing/2014/main" id="{00000000-0008-0000-0000-00004F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6" name="Text Box 10">
          <a:extLst>
            <a:ext uri="{FF2B5EF4-FFF2-40B4-BE49-F238E27FC236}">
              <a16:creationId xmlns:a16="http://schemas.microsoft.com/office/drawing/2014/main" id="{00000000-0008-0000-0000-000050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7" name="Text Box 11">
          <a:extLst>
            <a:ext uri="{FF2B5EF4-FFF2-40B4-BE49-F238E27FC236}">
              <a16:creationId xmlns:a16="http://schemas.microsoft.com/office/drawing/2014/main" id="{00000000-0008-0000-0000-00005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120</xdr:row>
      <xdr:rowOff>0</xdr:rowOff>
    </xdr:from>
    <xdr:to>
      <xdr:col>21</xdr:col>
      <xdr:colOff>104775</xdr:colOff>
      <xdr:row>121</xdr:row>
      <xdr:rowOff>47625</xdr:rowOff>
    </xdr:to>
    <xdr:sp macro="" textlink="">
      <xdr:nvSpPr>
        <xdr:cNvPr id="160338" name="Text Box 12">
          <a:extLst>
            <a:ext uri="{FF2B5EF4-FFF2-40B4-BE49-F238E27FC236}">
              <a16:creationId xmlns:a16="http://schemas.microsoft.com/office/drawing/2014/main" id="{00000000-0008-0000-0000-000052720200}"/>
            </a:ext>
          </a:extLst>
        </xdr:cNvPr>
        <xdr:cNvSpPr txBox="1">
          <a:spLocks noChangeArrowheads="1"/>
        </xdr:cNvSpPr>
      </xdr:nvSpPr>
      <xdr:spPr bwMode="auto">
        <a:xfrm>
          <a:off x="14249400" y="219360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39" name="Text Box 13">
          <a:extLst>
            <a:ext uri="{FF2B5EF4-FFF2-40B4-BE49-F238E27FC236}">
              <a16:creationId xmlns:a16="http://schemas.microsoft.com/office/drawing/2014/main" id="{00000000-0008-0000-0000-00005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104775</xdr:colOff>
      <xdr:row>6</xdr:row>
      <xdr:rowOff>38100</xdr:rowOff>
    </xdr:to>
    <xdr:sp macro="" textlink="">
      <xdr:nvSpPr>
        <xdr:cNvPr id="160340" name="Text Box 14">
          <a:extLst>
            <a:ext uri="{FF2B5EF4-FFF2-40B4-BE49-F238E27FC236}">
              <a16:creationId xmlns:a16="http://schemas.microsoft.com/office/drawing/2014/main" id="{00000000-0008-0000-0000-000054720200}"/>
            </a:ext>
          </a:extLst>
        </xdr:cNvPr>
        <xdr:cNvSpPr txBox="1">
          <a:spLocks noChangeArrowheads="1"/>
        </xdr:cNvSpPr>
      </xdr:nvSpPr>
      <xdr:spPr bwMode="auto">
        <a:xfrm>
          <a:off x="14249400" y="13811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104775</xdr:colOff>
      <xdr:row>6</xdr:row>
      <xdr:rowOff>38100</xdr:rowOff>
    </xdr:to>
    <xdr:sp macro="" textlink="">
      <xdr:nvSpPr>
        <xdr:cNvPr id="160341" name="Text Box 15">
          <a:extLst>
            <a:ext uri="{FF2B5EF4-FFF2-40B4-BE49-F238E27FC236}">
              <a16:creationId xmlns:a16="http://schemas.microsoft.com/office/drawing/2014/main" id="{00000000-0008-0000-0000-000055720200}"/>
            </a:ext>
          </a:extLst>
        </xdr:cNvPr>
        <xdr:cNvSpPr txBox="1">
          <a:spLocks noChangeArrowheads="1"/>
        </xdr:cNvSpPr>
      </xdr:nvSpPr>
      <xdr:spPr bwMode="auto">
        <a:xfrm>
          <a:off x="14249400" y="13811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42" name="Text Box 16">
          <a:extLst>
            <a:ext uri="{FF2B5EF4-FFF2-40B4-BE49-F238E27FC236}">
              <a16:creationId xmlns:a16="http://schemas.microsoft.com/office/drawing/2014/main" id="{00000000-0008-0000-0000-00005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43" name="Text Box 17">
          <a:extLst>
            <a:ext uri="{FF2B5EF4-FFF2-40B4-BE49-F238E27FC236}">
              <a16:creationId xmlns:a16="http://schemas.microsoft.com/office/drawing/2014/main" id="{00000000-0008-0000-0000-000057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44" name="Text Box 18">
          <a:extLst>
            <a:ext uri="{FF2B5EF4-FFF2-40B4-BE49-F238E27FC236}">
              <a16:creationId xmlns:a16="http://schemas.microsoft.com/office/drawing/2014/main" id="{00000000-0008-0000-0000-000058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104775</xdr:colOff>
      <xdr:row>8</xdr:row>
      <xdr:rowOff>38100</xdr:rowOff>
    </xdr:to>
    <xdr:sp macro="" textlink="">
      <xdr:nvSpPr>
        <xdr:cNvPr id="160345" name="Text Box 19">
          <a:extLst>
            <a:ext uri="{FF2B5EF4-FFF2-40B4-BE49-F238E27FC236}">
              <a16:creationId xmlns:a16="http://schemas.microsoft.com/office/drawing/2014/main" id="{00000000-0008-0000-0000-000059720200}"/>
            </a:ext>
          </a:extLst>
        </xdr:cNvPr>
        <xdr:cNvSpPr txBox="1">
          <a:spLocks noChangeArrowheads="1"/>
        </xdr:cNvSpPr>
      </xdr:nvSpPr>
      <xdr:spPr bwMode="auto">
        <a:xfrm>
          <a:off x="14249400" y="17049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46" name="Text Box 20">
          <a:extLst>
            <a:ext uri="{FF2B5EF4-FFF2-40B4-BE49-F238E27FC236}">
              <a16:creationId xmlns:a16="http://schemas.microsoft.com/office/drawing/2014/main" id="{00000000-0008-0000-0000-00005A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47" name="Text Box 21">
          <a:extLst>
            <a:ext uri="{FF2B5EF4-FFF2-40B4-BE49-F238E27FC236}">
              <a16:creationId xmlns:a16="http://schemas.microsoft.com/office/drawing/2014/main" id="{00000000-0008-0000-0000-00005B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48" name="Text Box 22">
          <a:extLst>
            <a:ext uri="{FF2B5EF4-FFF2-40B4-BE49-F238E27FC236}">
              <a16:creationId xmlns:a16="http://schemas.microsoft.com/office/drawing/2014/main" id="{00000000-0008-0000-0000-00005C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49" name="Text Box 23">
          <a:extLst>
            <a:ext uri="{FF2B5EF4-FFF2-40B4-BE49-F238E27FC236}">
              <a16:creationId xmlns:a16="http://schemas.microsoft.com/office/drawing/2014/main" id="{00000000-0008-0000-0000-00005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0" name="Text Box 24">
          <a:extLst>
            <a:ext uri="{FF2B5EF4-FFF2-40B4-BE49-F238E27FC236}">
              <a16:creationId xmlns:a16="http://schemas.microsoft.com/office/drawing/2014/main" id="{00000000-0008-0000-0000-00005E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1" name="Text Box 25">
          <a:extLst>
            <a:ext uri="{FF2B5EF4-FFF2-40B4-BE49-F238E27FC236}">
              <a16:creationId xmlns:a16="http://schemas.microsoft.com/office/drawing/2014/main" id="{00000000-0008-0000-0000-00005F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2" name="Text Box 26">
          <a:extLst>
            <a:ext uri="{FF2B5EF4-FFF2-40B4-BE49-F238E27FC236}">
              <a16:creationId xmlns:a16="http://schemas.microsoft.com/office/drawing/2014/main" id="{00000000-0008-0000-0000-000060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3" name="Text Box 27">
          <a:extLst>
            <a:ext uri="{FF2B5EF4-FFF2-40B4-BE49-F238E27FC236}">
              <a16:creationId xmlns:a16="http://schemas.microsoft.com/office/drawing/2014/main" id="{00000000-0008-0000-0000-00006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4" name="Text Box 28">
          <a:extLst>
            <a:ext uri="{FF2B5EF4-FFF2-40B4-BE49-F238E27FC236}">
              <a16:creationId xmlns:a16="http://schemas.microsoft.com/office/drawing/2014/main" id="{00000000-0008-0000-0000-000062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5" name="Text Box 29">
          <a:extLst>
            <a:ext uri="{FF2B5EF4-FFF2-40B4-BE49-F238E27FC236}">
              <a16:creationId xmlns:a16="http://schemas.microsoft.com/office/drawing/2014/main" id="{00000000-0008-0000-0000-00006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6" name="Text Box 30">
          <a:extLst>
            <a:ext uri="{FF2B5EF4-FFF2-40B4-BE49-F238E27FC236}">
              <a16:creationId xmlns:a16="http://schemas.microsoft.com/office/drawing/2014/main" id="{00000000-0008-0000-0000-000064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7" name="Text Box 31">
          <a:extLst>
            <a:ext uri="{FF2B5EF4-FFF2-40B4-BE49-F238E27FC236}">
              <a16:creationId xmlns:a16="http://schemas.microsoft.com/office/drawing/2014/main" id="{00000000-0008-0000-0000-000065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8" name="Text Box 32">
          <a:extLst>
            <a:ext uri="{FF2B5EF4-FFF2-40B4-BE49-F238E27FC236}">
              <a16:creationId xmlns:a16="http://schemas.microsoft.com/office/drawing/2014/main" id="{00000000-0008-0000-0000-00006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59" name="Text Box 33">
          <a:extLst>
            <a:ext uri="{FF2B5EF4-FFF2-40B4-BE49-F238E27FC236}">
              <a16:creationId xmlns:a16="http://schemas.microsoft.com/office/drawing/2014/main" id="{00000000-0008-0000-0000-000067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0" name="Text Box 34">
          <a:extLst>
            <a:ext uri="{FF2B5EF4-FFF2-40B4-BE49-F238E27FC236}">
              <a16:creationId xmlns:a16="http://schemas.microsoft.com/office/drawing/2014/main" id="{00000000-0008-0000-0000-000068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1" name="Text Box 35">
          <a:extLst>
            <a:ext uri="{FF2B5EF4-FFF2-40B4-BE49-F238E27FC236}">
              <a16:creationId xmlns:a16="http://schemas.microsoft.com/office/drawing/2014/main" id="{00000000-0008-0000-0000-00006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2" name="Text Box 36">
          <a:extLst>
            <a:ext uri="{FF2B5EF4-FFF2-40B4-BE49-F238E27FC236}">
              <a16:creationId xmlns:a16="http://schemas.microsoft.com/office/drawing/2014/main" id="{00000000-0008-0000-0000-00006A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3" name="Text Box 37">
          <a:extLst>
            <a:ext uri="{FF2B5EF4-FFF2-40B4-BE49-F238E27FC236}">
              <a16:creationId xmlns:a16="http://schemas.microsoft.com/office/drawing/2014/main" id="{00000000-0008-0000-0000-00006B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4" name="Text Box 38">
          <a:extLst>
            <a:ext uri="{FF2B5EF4-FFF2-40B4-BE49-F238E27FC236}">
              <a16:creationId xmlns:a16="http://schemas.microsoft.com/office/drawing/2014/main" id="{00000000-0008-0000-0000-00006C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5" name="Text Box 39">
          <a:extLst>
            <a:ext uri="{FF2B5EF4-FFF2-40B4-BE49-F238E27FC236}">
              <a16:creationId xmlns:a16="http://schemas.microsoft.com/office/drawing/2014/main" id="{00000000-0008-0000-0000-00006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8</xdr:row>
      <xdr:rowOff>0</xdr:rowOff>
    </xdr:from>
    <xdr:to>
      <xdr:col>21</xdr:col>
      <xdr:colOff>104775</xdr:colOff>
      <xdr:row>9</xdr:row>
      <xdr:rowOff>38100</xdr:rowOff>
    </xdr:to>
    <xdr:sp macro="" textlink="">
      <xdr:nvSpPr>
        <xdr:cNvPr id="160366" name="Text Box 40">
          <a:extLst>
            <a:ext uri="{FF2B5EF4-FFF2-40B4-BE49-F238E27FC236}">
              <a16:creationId xmlns:a16="http://schemas.microsoft.com/office/drawing/2014/main" id="{00000000-0008-0000-0000-00006E720200}"/>
            </a:ext>
          </a:extLst>
        </xdr:cNvPr>
        <xdr:cNvSpPr txBox="1">
          <a:spLocks noChangeArrowheads="1"/>
        </xdr:cNvSpPr>
      </xdr:nvSpPr>
      <xdr:spPr bwMode="auto">
        <a:xfrm>
          <a:off x="14249400" y="18669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9</xdr:row>
      <xdr:rowOff>0</xdr:rowOff>
    </xdr:from>
    <xdr:to>
      <xdr:col>21</xdr:col>
      <xdr:colOff>104775</xdr:colOff>
      <xdr:row>10</xdr:row>
      <xdr:rowOff>38100</xdr:rowOff>
    </xdr:to>
    <xdr:sp macro="" textlink="">
      <xdr:nvSpPr>
        <xdr:cNvPr id="160367" name="Text Box 41">
          <a:extLst>
            <a:ext uri="{FF2B5EF4-FFF2-40B4-BE49-F238E27FC236}">
              <a16:creationId xmlns:a16="http://schemas.microsoft.com/office/drawing/2014/main" id="{00000000-0008-0000-0000-00006F720200}"/>
            </a:ext>
          </a:extLst>
        </xdr:cNvPr>
        <xdr:cNvSpPr txBox="1">
          <a:spLocks noChangeArrowheads="1"/>
        </xdr:cNvSpPr>
      </xdr:nvSpPr>
      <xdr:spPr bwMode="auto">
        <a:xfrm>
          <a:off x="14249400" y="20288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8" name="Text Box 42">
          <a:extLst>
            <a:ext uri="{FF2B5EF4-FFF2-40B4-BE49-F238E27FC236}">
              <a16:creationId xmlns:a16="http://schemas.microsoft.com/office/drawing/2014/main" id="{00000000-0008-0000-0000-000070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69" name="Text Box 43">
          <a:extLst>
            <a:ext uri="{FF2B5EF4-FFF2-40B4-BE49-F238E27FC236}">
              <a16:creationId xmlns:a16="http://schemas.microsoft.com/office/drawing/2014/main" id="{00000000-0008-0000-0000-00007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0" name="Text Box 44">
          <a:extLst>
            <a:ext uri="{FF2B5EF4-FFF2-40B4-BE49-F238E27FC236}">
              <a16:creationId xmlns:a16="http://schemas.microsoft.com/office/drawing/2014/main" id="{00000000-0008-0000-0000-000072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1" name="Text Box 45">
          <a:extLst>
            <a:ext uri="{FF2B5EF4-FFF2-40B4-BE49-F238E27FC236}">
              <a16:creationId xmlns:a16="http://schemas.microsoft.com/office/drawing/2014/main" id="{00000000-0008-0000-0000-00007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2" name="Text Box 46">
          <a:extLst>
            <a:ext uri="{FF2B5EF4-FFF2-40B4-BE49-F238E27FC236}">
              <a16:creationId xmlns:a16="http://schemas.microsoft.com/office/drawing/2014/main" id="{00000000-0008-0000-0000-000074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3" name="Text Box 47">
          <a:extLst>
            <a:ext uri="{FF2B5EF4-FFF2-40B4-BE49-F238E27FC236}">
              <a16:creationId xmlns:a16="http://schemas.microsoft.com/office/drawing/2014/main" id="{00000000-0008-0000-0000-000075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4" name="Text Box 48">
          <a:extLst>
            <a:ext uri="{FF2B5EF4-FFF2-40B4-BE49-F238E27FC236}">
              <a16:creationId xmlns:a16="http://schemas.microsoft.com/office/drawing/2014/main" id="{00000000-0008-0000-0000-00007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5" name="Text Box 49">
          <a:extLst>
            <a:ext uri="{FF2B5EF4-FFF2-40B4-BE49-F238E27FC236}">
              <a16:creationId xmlns:a16="http://schemas.microsoft.com/office/drawing/2014/main" id="{00000000-0008-0000-0000-000077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6" name="Text Box 50">
          <a:extLst>
            <a:ext uri="{FF2B5EF4-FFF2-40B4-BE49-F238E27FC236}">
              <a16:creationId xmlns:a16="http://schemas.microsoft.com/office/drawing/2014/main" id="{00000000-0008-0000-0000-000078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77" name="Text Box 51">
          <a:extLst>
            <a:ext uri="{FF2B5EF4-FFF2-40B4-BE49-F238E27FC236}">
              <a16:creationId xmlns:a16="http://schemas.microsoft.com/office/drawing/2014/main" id="{00000000-0008-0000-0000-00007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104775</xdr:colOff>
      <xdr:row>6</xdr:row>
      <xdr:rowOff>38100</xdr:rowOff>
    </xdr:to>
    <xdr:sp macro="" textlink="">
      <xdr:nvSpPr>
        <xdr:cNvPr id="160378" name="Text Box 52">
          <a:extLst>
            <a:ext uri="{FF2B5EF4-FFF2-40B4-BE49-F238E27FC236}">
              <a16:creationId xmlns:a16="http://schemas.microsoft.com/office/drawing/2014/main" id="{00000000-0008-0000-0000-00007A720200}"/>
            </a:ext>
          </a:extLst>
        </xdr:cNvPr>
        <xdr:cNvSpPr txBox="1">
          <a:spLocks noChangeArrowheads="1"/>
        </xdr:cNvSpPr>
      </xdr:nvSpPr>
      <xdr:spPr bwMode="auto">
        <a:xfrm>
          <a:off x="14249400" y="13811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104775</xdr:colOff>
      <xdr:row>6</xdr:row>
      <xdr:rowOff>38100</xdr:rowOff>
    </xdr:to>
    <xdr:sp macro="" textlink="">
      <xdr:nvSpPr>
        <xdr:cNvPr id="160379" name="Text Box 53">
          <a:extLst>
            <a:ext uri="{FF2B5EF4-FFF2-40B4-BE49-F238E27FC236}">
              <a16:creationId xmlns:a16="http://schemas.microsoft.com/office/drawing/2014/main" id="{00000000-0008-0000-0000-00007B720200}"/>
            </a:ext>
          </a:extLst>
        </xdr:cNvPr>
        <xdr:cNvSpPr txBox="1">
          <a:spLocks noChangeArrowheads="1"/>
        </xdr:cNvSpPr>
      </xdr:nvSpPr>
      <xdr:spPr bwMode="auto">
        <a:xfrm>
          <a:off x="14249400" y="13811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0" name="Text Box 54">
          <a:extLst>
            <a:ext uri="{FF2B5EF4-FFF2-40B4-BE49-F238E27FC236}">
              <a16:creationId xmlns:a16="http://schemas.microsoft.com/office/drawing/2014/main" id="{00000000-0008-0000-0000-00007C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1" name="Text Box 55">
          <a:extLst>
            <a:ext uri="{FF2B5EF4-FFF2-40B4-BE49-F238E27FC236}">
              <a16:creationId xmlns:a16="http://schemas.microsoft.com/office/drawing/2014/main" id="{00000000-0008-0000-0000-00007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2" name="Text Box 56">
          <a:extLst>
            <a:ext uri="{FF2B5EF4-FFF2-40B4-BE49-F238E27FC236}">
              <a16:creationId xmlns:a16="http://schemas.microsoft.com/office/drawing/2014/main" id="{00000000-0008-0000-0000-00007E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104775</xdr:colOff>
      <xdr:row>6</xdr:row>
      <xdr:rowOff>38100</xdr:rowOff>
    </xdr:to>
    <xdr:sp macro="" textlink="">
      <xdr:nvSpPr>
        <xdr:cNvPr id="160383" name="Text Box 57">
          <a:extLst>
            <a:ext uri="{FF2B5EF4-FFF2-40B4-BE49-F238E27FC236}">
              <a16:creationId xmlns:a16="http://schemas.microsoft.com/office/drawing/2014/main" id="{00000000-0008-0000-0000-00007F720200}"/>
            </a:ext>
          </a:extLst>
        </xdr:cNvPr>
        <xdr:cNvSpPr txBox="1">
          <a:spLocks noChangeArrowheads="1"/>
        </xdr:cNvSpPr>
      </xdr:nvSpPr>
      <xdr:spPr bwMode="auto">
        <a:xfrm>
          <a:off x="14249400" y="13811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4" name="Text Box 58">
          <a:extLst>
            <a:ext uri="{FF2B5EF4-FFF2-40B4-BE49-F238E27FC236}">
              <a16:creationId xmlns:a16="http://schemas.microsoft.com/office/drawing/2014/main" id="{00000000-0008-0000-0000-000080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5" name="Text Box 59">
          <a:extLst>
            <a:ext uri="{FF2B5EF4-FFF2-40B4-BE49-F238E27FC236}">
              <a16:creationId xmlns:a16="http://schemas.microsoft.com/office/drawing/2014/main" id="{00000000-0008-0000-0000-00008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6" name="Text Box 60">
          <a:extLst>
            <a:ext uri="{FF2B5EF4-FFF2-40B4-BE49-F238E27FC236}">
              <a16:creationId xmlns:a16="http://schemas.microsoft.com/office/drawing/2014/main" id="{00000000-0008-0000-0000-000082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7" name="Text Box 61">
          <a:extLst>
            <a:ext uri="{FF2B5EF4-FFF2-40B4-BE49-F238E27FC236}">
              <a16:creationId xmlns:a16="http://schemas.microsoft.com/office/drawing/2014/main" id="{00000000-0008-0000-0000-00008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8" name="Text Box 62">
          <a:extLst>
            <a:ext uri="{FF2B5EF4-FFF2-40B4-BE49-F238E27FC236}">
              <a16:creationId xmlns:a16="http://schemas.microsoft.com/office/drawing/2014/main" id="{00000000-0008-0000-0000-000084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89" name="Text Box 63">
          <a:extLst>
            <a:ext uri="{FF2B5EF4-FFF2-40B4-BE49-F238E27FC236}">
              <a16:creationId xmlns:a16="http://schemas.microsoft.com/office/drawing/2014/main" id="{00000000-0008-0000-0000-000085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90" name="Text Box 64">
          <a:extLst>
            <a:ext uri="{FF2B5EF4-FFF2-40B4-BE49-F238E27FC236}">
              <a16:creationId xmlns:a16="http://schemas.microsoft.com/office/drawing/2014/main" id="{00000000-0008-0000-0000-00008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91" name="Text Box 65">
          <a:extLst>
            <a:ext uri="{FF2B5EF4-FFF2-40B4-BE49-F238E27FC236}">
              <a16:creationId xmlns:a16="http://schemas.microsoft.com/office/drawing/2014/main" id="{00000000-0008-0000-0000-000087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13</xdr:row>
      <xdr:rowOff>0</xdr:rowOff>
    </xdr:from>
    <xdr:to>
      <xdr:col>21</xdr:col>
      <xdr:colOff>104775</xdr:colOff>
      <xdr:row>14</xdr:row>
      <xdr:rowOff>38100</xdr:rowOff>
    </xdr:to>
    <xdr:sp macro="" textlink="">
      <xdr:nvSpPr>
        <xdr:cNvPr id="160392" name="Text Box 66">
          <a:extLst>
            <a:ext uri="{FF2B5EF4-FFF2-40B4-BE49-F238E27FC236}">
              <a16:creationId xmlns:a16="http://schemas.microsoft.com/office/drawing/2014/main" id="{00000000-0008-0000-0000-000088720200}"/>
            </a:ext>
          </a:extLst>
        </xdr:cNvPr>
        <xdr:cNvSpPr txBox="1">
          <a:spLocks noChangeArrowheads="1"/>
        </xdr:cNvSpPr>
      </xdr:nvSpPr>
      <xdr:spPr bwMode="auto">
        <a:xfrm>
          <a:off x="14249400" y="26765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93" name="Text Box 67">
          <a:extLst>
            <a:ext uri="{FF2B5EF4-FFF2-40B4-BE49-F238E27FC236}">
              <a16:creationId xmlns:a16="http://schemas.microsoft.com/office/drawing/2014/main" id="{00000000-0008-0000-0000-00008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104775</xdr:colOff>
      <xdr:row>6</xdr:row>
      <xdr:rowOff>38100</xdr:rowOff>
    </xdr:to>
    <xdr:sp macro="" textlink="">
      <xdr:nvSpPr>
        <xdr:cNvPr id="160394" name="Text Box 68">
          <a:extLst>
            <a:ext uri="{FF2B5EF4-FFF2-40B4-BE49-F238E27FC236}">
              <a16:creationId xmlns:a16="http://schemas.microsoft.com/office/drawing/2014/main" id="{00000000-0008-0000-0000-00008A720200}"/>
            </a:ext>
          </a:extLst>
        </xdr:cNvPr>
        <xdr:cNvSpPr txBox="1">
          <a:spLocks noChangeArrowheads="1"/>
        </xdr:cNvSpPr>
      </xdr:nvSpPr>
      <xdr:spPr bwMode="auto">
        <a:xfrm>
          <a:off x="14249400" y="13811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95" name="Text Box 69">
          <a:extLst>
            <a:ext uri="{FF2B5EF4-FFF2-40B4-BE49-F238E27FC236}">
              <a16:creationId xmlns:a16="http://schemas.microsoft.com/office/drawing/2014/main" id="{00000000-0008-0000-0000-00008B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104775</xdr:colOff>
      <xdr:row>16</xdr:row>
      <xdr:rowOff>38100</xdr:rowOff>
    </xdr:to>
    <xdr:sp macro="" textlink="">
      <xdr:nvSpPr>
        <xdr:cNvPr id="160396" name="Text Box 70">
          <a:extLst>
            <a:ext uri="{FF2B5EF4-FFF2-40B4-BE49-F238E27FC236}">
              <a16:creationId xmlns:a16="http://schemas.microsoft.com/office/drawing/2014/main" id="{00000000-0008-0000-0000-00008C720200}"/>
            </a:ext>
          </a:extLst>
        </xdr:cNvPr>
        <xdr:cNvSpPr txBox="1">
          <a:spLocks noChangeArrowheads="1"/>
        </xdr:cNvSpPr>
      </xdr:nvSpPr>
      <xdr:spPr bwMode="auto">
        <a:xfrm>
          <a:off x="14249400" y="30003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97" name="Text Box 71">
          <a:extLst>
            <a:ext uri="{FF2B5EF4-FFF2-40B4-BE49-F238E27FC236}">
              <a16:creationId xmlns:a16="http://schemas.microsoft.com/office/drawing/2014/main" id="{00000000-0008-0000-0000-00008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98" name="Text Box 72">
          <a:extLst>
            <a:ext uri="{FF2B5EF4-FFF2-40B4-BE49-F238E27FC236}">
              <a16:creationId xmlns:a16="http://schemas.microsoft.com/office/drawing/2014/main" id="{00000000-0008-0000-0000-00008E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399" name="Text Box 73">
          <a:extLst>
            <a:ext uri="{FF2B5EF4-FFF2-40B4-BE49-F238E27FC236}">
              <a16:creationId xmlns:a16="http://schemas.microsoft.com/office/drawing/2014/main" id="{00000000-0008-0000-0000-00008F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0" name="Text Box 74">
          <a:extLst>
            <a:ext uri="{FF2B5EF4-FFF2-40B4-BE49-F238E27FC236}">
              <a16:creationId xmlns:a16="http://schemas.microsoft.com/office/drawing/2014/main" id="{00000000-0008-0000-0000-000090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1" name="Text Box 75">
          <a:extLst>
            <a:ext uri="{FF2B5EF4-FFF2-40B4-BE49-F238E27FC236}">
              <a16:creationId xmlns:a16="http://schemas.microsoft.com/office/drawing/2014/main" id="{00000000-0008-0000-0000-00009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2" name="Text Box 76">
          <a:extLst>
            <a:ext uri="{FF2B5EF4-FFF2-40B4-BE49-F238E27FC236}">
              <a16:creationId xmlns:a16="http://schemas.microsoft.com/office/drawing/2014/main" id="{00000000-0008-0000-0000-000092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3" name="Text Box 77">
          <a:extLst>
            <a:ext uri="{FF2B5EF4-FFF2-40B4-BE49-F238E27FC236}">
              <a16:creationId xmlns:a16="http://schemas.microsoft.com/office/drawing/2014/main" id="{00000000-0008-0000-0000-00009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4" name="Text Box 78">
          <a:extLst>
            <a:ext uri="{FF2B5EF4-FFF2-40B4-BE49-F238E27FC236}">
              <a16:creationId xmlns:a16="http://schemas.microsoft.com/office/drawing/2014/main" id="{00000000-0008-0000-0000-000094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5" name="Text Box 79">
          <a:extLst>
            <a:ext uri="{FF2B5EF4-FFF2-40B4-BE49-F238E27FC236}">
              <a16:creationId xmlns:a16="http://schemas.microsoft.com/office/drawing/2014/main" id="{00000000-0008-0000-0000-000095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6" name="Text Box 80">
          <a:extLst>
            <a:ext uri="{FF2B5EF4-FFF2-40B4-BE49-F238E27FC236}">
              <a16:creationId xmlns:a16="http://schemas.microsoft.com/office/drawing/2014/main" id="{00000000-0008-0000-0000-00009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7" name="Text Box 81">
          <a:extLst>
            <a:ext uri="{FF2B5EF4-FFF2-40B4-BE49-F238E27FC236}">
              <a16:creationId xmlns:a16="http://schemas.microsoft.com/office/drawing/2014/main" id="{00000000-0008-0000-0000-000097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8" name="Text Box 82">
          <a:extLst>
            <a:ext uri="{FF2B5EF4-FFF2-40B4-BE49-F238E27FC236}">
              <a16:creationId xmlns:a16="http://schemas.microsoft.com/office/drawing/2014/main" id="{00000000-0008-0000-0000-000098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09" name="Text Box 83">
          <a:extLst>
            <a:ext uri="{FF2B5EF4-FFF2-40B4-BE49-F238E27FC236}">
              <a16:creationId xmlns:a16="http://schemas.microsoft.com/office/drawing/2014/main" id="{00000000-0008-0000-0000-00009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0" name="Text Box 84">
          <a:extLst>
            <a:ext uri="{FF2B5EF4-FFF2-40B4-BE49-F238E27FC236}">
              <a16:creationId xmlns:a16="http://schemas.microsoft.com/office/drawing/2014/main" id="{00000000-0008-0000-0000-00009A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1" name="Text Box 85">
          <a:extLst>
            <a:ext uri="{FF2B5EF4-FFF2-40B4-BE49-F238E27FC236}">
              <a16:creationId xmlns:a16="http://schemas.microsoft.com/office/drawing/2014/main" id="{00000000-0008-0000-0000-00009B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2" name="Text Box 86">
          <a:extLst>
            <a:ext uri="{FF2B5EF4-FFF2-40B4-BE49-F238E27FC236}">
              <a16:creationId xmlns:a16="http://schemas.microsoft.com/office/drawing/2014/main" id="{00000000-0008-0000-0000-00009C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3" name="Text Box 87">
          <a:extLst>
            <a:ext uri="{FF2B5EF4-FFF2-40B4-BE49-F238E27FC236}">
              <a16:creationId xmlns:a16="http://schemas.microsoft.com/office/drawing/2014/main" id="{00000000-0008-0000-0000-00009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4" name="Text Box 88">
          <a:extLst>
            <a:ext uri="{FF2B5EF4-FFF2-40B4-BE49-F238E27FC236}">
              <a16:creationId xmlns:a16="http://schemas.microsoft.com/office/drawing/2014/main" id="{00000000-0008-0000-0000-00009E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5" name="Text Box 89">
          <a:extLst>
            <a:ext uri="{FF2B5EF4-FFF2-40B4-BE49-F238E27FC236}">
              <a16:creationId xmlns:a16="http://schemas.microsoft.com/office/drawing/2014/main" id="{00000000-0008-0000-0000-00009F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16</xdr:row>
      <xdr:rowOff>0</xdr:rowOff>
    </xdr:from>
    <xdr:to>
      <xdr:col>21</xdr:col>
      <xdr:colOff>104775</xdr:colOff>
      <xdr:row>17</xdr:row>
      <xdr:rowOff>38100</xdr:rowOff>
    </xdr:to>
    <xdr:sp macro="" textlink="">
      <xdr:nvSpPr>
        <xdr:cNvPr id="160416" name="Text Box 90">
          <a:extLst>
            <a:ext uri="{FF2B5EF4-FFF2-40B4-BE49-F238E27FC236}">
              <a16:creationId xmlns:a16="http://schemas.microsoft.com/office/drawing/2014/main" id="{00000000-0008-0000-0000-0000A0720200}"/>
            </a:ext>
          </a:extLst>
        </xdr:cNvPr>
        <xdr:cNvSpPr txBox="1">
          <a:spLocks noChangeArrowheads="1"/>
        </xdr:cNvSpPr>
      </xdr:nvSpPr>
      <xdr:spPr bwMode="auto">
        <a:xfrm>
          <a:off x="14249400" y="31623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7" name="Text Box 91">
          <a:extLst>
            <a:ext uri="{FF2B5EF4-FFF2-40B4-BE49-F238E27FC236}">
              <a16:creationId xmlns:a16="http://schemas.microsoft.com/office/drawing/2014/main" id="{00000000-0008-0000-0000-0000A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8" name="Text Box 92">
          <a:extLst>
            <a:ext uri="{FF2B5EF4-FFF2-40B4-BE49-F238E27FC236}">
              <a16:creationId xmlns:a16="http://schemas.microsoft.com/office/drawing/2014/main" id="{00000000-0008-0000-0000-0000A2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19" name="Text Box 93">
          <a:extLst>
            <a:ext uri="{FF2B5EF4-FFF2-40B4-BE49-F238E27FC236}">
              <a16:creationId xmlns:a16="http://schemas.microsoft.com/office/drawing/2014/main" id="{00000000-0008-0000-0000-0000A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0" name="Text Box 94">
          <a:extLst>
            <a:ext uri="{FF2B5EF4-FFF2-40B4-BE49-F238E27FC236}">
              <a16:creationId xmlns:a16="http://schemas.microsoft.com/office/drawing/2014/main" id="{00000000-0008-0000-0000-0000A4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1" name="Text Box 95">
          <a:extLst>
            <a:ext uri="{FF2B5EF4-FFF2-40B4-BE49-F238E27FC236}">
              <a16:creationId xmlns:a16="http://schemas.microsoft.com/office/drawing/2014/main" id="{00000000-0008-0000-0000-0000A5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2" name="Text Box 96">
          <a:extLst>
            <a:ext uri="{FF2B5EF4-FFF2-40B4-BE49-F238E27FC236}">
              <a16:creationId xmlns:a16="http://schemas.microsoft.com/office/drawing/2014/main" id="{00000000-0008-0000-0000-0000A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104775</xdr:colOff>
      <xdr:row>6</xdr:row>
      <xdr:rowOff>38100</xdr:rowOff>
    </xdr:to>
    <xdr:sp macro="" textlink="">
      <xdr:nvSpPr>
        <xdr:cNvPr id="160423" name="Text Box 97">
          <a:extLst>
            <a:ext uri="{FF2B5EF4-FFF2-40B4-BE49-F238E27FC236}">
              <a16:creationId xmlns:a16="http://schemas.microsoft.com/office/drawing/2014/main" id="{00000000-0008-0000-0000-0000A7720200}"/>
            </a:ext>
          </a:extLst>
        </xdr:cNvPr>
        <xdr:cNvSpPr txBox="1">
          <a:spLocks noChangeArrowheads="1"/>
        </xdr:cNvSpPr>
      </xdr:nvSpPr>
      <xdr:spPr bwMode="auto">
        <a:xfrm>
          <a:off x="14249400" y="13811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4" name="Text Box 98">
          <a:extLst>
            <a:ext uri="{FF2B5EF4-FFF2-40B4-BE49-F238E27FC236}">
              <a16:creationId xmlns:a16="http://schemas.microsoft.com/office/drawing/2014/main" id="{00000000-0008-0000-0000-0000A8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5" name="Text Box 99">
          <a:extLst>
            <a:ext uri="{FF2B5EF4-FFF2-40B4-BE49-F238E27FC236}">
              <a16:creationId xmlns:a16="http://schemas.microsoft.com/office/drawing/2014/main" id="{00000000-0008-0000-0000-0000A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6" name="Text Box 100">
          <a:extLst>
            <a:ext uri="{FF2B5EF4-FFF2-40B4-BE49-F238E27FC236}">
              <a16:creationId xmlns:a16="http://schemas.microsoft.com/office/drawing/2014/main" id="{00000000-0008-0000-0000-0000AA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7" name="Text Box 101">
          <a:extLst>
            <a:ext uri="{FF2B5EF4-FFF2-40B4-BE49-F238E27FC236}">
              <a16:creationId xmlns:a16="http://schemas.microsoft.com/office/drawing/2014/main" id="{00000000-0008-0000-0000-0000AB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8" name="Text Box 102">
          <a:extLst>
            <a:ext uri="{FF2B5EF4-FFF2-40B4-BE49-F238E27FC236}">
              <a16:creationId xmlns:a16="http://schemas.microsoft.com/office/drawing/2014/main" id="{00000000-0008-0000-0000-0000AC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29" name="Text Box 103">
          <a:extLst>
            <a:ext uri="{FF2B5EF4-FFF2-40B4-BE49-F238E27FC236}">
              <a16:creationId xmlns:a16="http://schemas.microsoft.com/office/drawing/2014/main" id="{00000000-0008-0000-0000-0000A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0" name="Text Box 104">
          <a:extLst>
            <a:ext uri="{FF2B5EF4-FFF2-40B4-BE49-F238E27FC236}">
              <a16:creationId xmlns:a16="http://schemas.microsoft.com/office/drawing/2014/main" id="{00000000-0008-0000-0000-0000AE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1" name="Text Box 105">
          <a:extLst>
            <a:ext uri="{FF2B5EF4-FFF2-40B4-BE49-F238E27FC236}">
              <a16:creationId xmlns:a16="http://schemas.microsoft.com/office/drawing/2014/main" id="{00000000-0008-0000-0000-0000AF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2" name="Text Box 106">
          <a:extLst>
            <a:ext uri="{FF2B5EF4-FFF2-40B4-BE49-F238E27FC236}">
              <a16:creationId xmlns:a16="http://schemas.microsoft.com/office/drawing/2014/main" id="{00000000-0008-0000-0000-0000B0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3" name="Text Box 107">
          <a:extLst>
            <a:ext uri="{FF2B5EF4-FFF2-40B4-BE49-F238E27FC236}">
              <a16:creationId xmlns:a16="http://schemas.microsoft.com/office/drawing/2014/main" id="{00000000-0008-0000-0000-0000B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4" name="Text Box 108">
          <a:extLst>
            <a:ext uri="{FF2B5EF4-FFF2-40B4-BE49-F238E27FC236}">
              <a16:creationId xmlns:a16="http://schemas.microsoft.com/office/drawing/2014/main" id="{00000000-0008-0000-0000-0000B2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5" name="Text Box 109">
          <a:extLst>
            <a:ext uri="{FF2B5EF4-FFF2-40B4-BE49-F238E27FC236}">
              <a16:creationId xmlns:a16="http://schemas.microsoft.com/office/drawing/2014/main" id="{00000000-0008-0000-0000-0000B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6" name="Text Box 110">
          <a:extLst>
            <a:ext uri="{FF2B5EF4-FFF2-40B4-BE49-F238E27FC236}">
              <a16:creationId xmlns:a16="http://schemas.microsoft.com/office/drawing/2014/main" id="{00000000-0008-0000-0000-0000B4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7" name="Text Box 111">
          <a:extLst>
            <a:ext uri="{FF2B5EF4-FFF2-40B4-BE49-F238E27FC236}">
              <a16:creationId xmlns:a16="http://schemas.microsoft.com/office/drawing/2014/main" id="{00000000-0008-0000-0000-0000B5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8" name="Text Box 112">
          <a:extLst>
            <a:ext uri="{FF2B5EF4-FFF2-40B4-BE49-F238E27FC236}">
              <a16:creationId xmlns:a16="http://schemas.microsoft.com/office/drawing/2014/main" id="{00000000-0008-0000-0000-0000B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39" name="Text Box 113">
          <a:extLst>
            <a:ext uri="{FF2B5EF4-FFF2-40B4-BE49-F238E27FC236}">
              <a16:creationId xmlns:a16="http://schemas.microsoft.com/office/drawing/2014/main" id="{00000000-0008-0000-0000-0000B7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18</xdr:row>
      <xdr:rowOff>0</xdr:rowOff>
    </xdr:from>
    <xdr:to>
      <xdr:col>21</xdr:col>
      <xdr:colOff>104775</xdr:colOff>
      <xdr:row>19</xdr:row>
      <xdr:rowOff>38100</xdr:rowOff>
    </xdr:to>
    <xdr:sp macro="" textlink="">
      <xdr:nvSpPr>
        <xdr:cNvPr id="160440" name="Text Box 114">
          <a:extLst>
            <a:ext uri="{FF2B5EF4-FFF2-40B4-BE49-F238E27FC236}">
              <a16:creationId xmlns:a16="http://schemas.microsoft.com/office/drawing/2014/main" id="{00000000-0008-0000-0000-0000B8720200}"/>
            </a:ext>
          </a:extLst>
        </xdr:cNvPr>
        <xdr:cNvSpPr txBox="1">
          <a:spLocks noChangeArrowheads="1"/>
        </xdr:cNvSpPr>
      </xdr:nvSpPr>
      <xdr:spPr bwMode="auto">
        <a:xfrm>
          <a:off x="14249400" y="34861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1" name="Text Box 115">
          <a:extLst>
            <a:ext uri="{FF2B5EF4-FFF2-40B4-BE49-F238E27FC236}">
              <a16:creationId xmlns:a16="http://schemas.microsoft.com/office/drawing/2014/main" id="{00000000-0008-0000-0000-0000B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2" name="Text Box 116">
          <a:extLst>
            <a:ext uri="{FF2B5EF4-FFF2-40B4-BE49-F238E27FC236}">
              <a16:creationId xmlns:a16="http://schemas.microsoft.com/office/drawing/2014/main" id="{00000000-0008-0000-0000-0000BA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3" name="Text Box 117">
          <a:extLst>
            <a:ext uri="{FF2B5EF4-FFF2-40B4-BE49-F238E27FC236}">
              <a16:creationId xmlns:a16="http://schemas.microsoft.com/office/drawing/2014/main" id="{00000000-0008-0000-0000-0000BB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4" name="Text Box 118">
          <a:extLst>
            <a:ext uri="{FF2B5EF4-FFF2-40B4-BE49-F238E27FC236}">
              <a16:creationId xmlns:a16="http://schemas.microsoft.com/office/drawing/2014/main" id="{00000000-0008-0000-0000-0000BC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5" name="Text Box 119">
          <a:extLst>
            <a:ext uri="{FF2B5EF4-FFF2-40B4-BE49-F238E27FC236}">
              <a16:creationId xmlns:a16="http://schemas.microsoft.com/office/drawing/2014/main" id="{00000000-0008-0000-0000-0000BD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6" name="Text Box 120">
          <a:extLst>
            <a:ext uri="{FF2B5EF4-FFF2-40B4-BE49-F238E27FC236}">
              <a16:creationId xmlns:a16="http://schemas.microsoft.com/office/drawing/2014/main" id="{00000000-0008-0000-0000-0000BE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7" name="Text Box 121">
          <a:extLst>
            <a:ext uri="{FF2B5EF4-FFF2-40B4-BE49-F238E27FC236}">
              <a16:creationId xmlns:a16="http://schemas.microsoft.com/office/drawing/2014/main" id="{00000000-0008-0000-0000-0000BF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8" name="Text Box 122">
          <a:extLst>
            <a:ext uri="{FF2B5EF4-FFF2-40B4-BE49-F238E27FC236}">
              <a16:creationId xmlns:a16="http://schemas.microsoft.com/office/drawing/2014/main" id="{00000000-0008-0000-0000-0000C0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49" name="Text Box 123">
          <a:extLst>
            <a:ext uri="{FF2B5EF4-FFF2-40B4-BE49-F238E27FC236}">
              <a16:creationId xmlns:a16="http://schemas.microsoft.com/office/drawing/2014/main" id="{00000000-0008-0000-0000-0000C1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118</xdr:row>
      <xdr:rowOff>0</xdr:rowOff>
    </xdr:from>
    <xdr:to>
      <xdr:col>21</xdr:col>
      <xdr:colOff>104775</xdr:colOff>
      <xdr:row>118</xdr:row>
      <xdr:rowOff>200025</xdr:rowOff>
    </xdr:to>
    <xdr:sp macro="" textlink="">
      <xdr:nvSpPr>
        <xdr:cNvPr id="160450" name="Text Box 124">
          <a:extLst>
            <a:ext uri="{FF2B5EF4-FFF2-40B4-BE49-F238E27FC236}">
              <a16:creationId xmlns:a16="http://schemas.microsoft.com/office/drawing/2014/main" id="{00000000-0008-0000-0000-0000C2720200}"/>
            </a:ext>
          </a:extLst>
        </xdr:cNvPr>
        <xdr:cNvSpPr txBox="1">
          <a:spLocks noChangeArrowheads="1"/>
        </xdr:cNvSpPr>
      </xdr:nvSpPr>
      <xdr:spPr bwMode="auto">
        <a:xfrm>
          <a:off x="14249400" y="214312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1" name="Text Box 125">
          <a:extLst>
            <a:ext uri="{FF2B5EF4-FFF2-40B4-BE49-F238E27FC236}">
              <a16:creationId xmlns:a16="http://schemas.microsoft.com/office/drawing/2014/main" id="{00000000-0008-0000-0000-0000C3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2" name="Text Box 126">
          <a:extLst>
            <a:ext uri="{FF2B5EF4-FFF2-40B4-BE49-F238E27FC236}">
              <a16:creationId xmlns:a16="http://schemas.microsoft.com/office/drawing/2014/main" id="{00000000-0008-0000-0000-0000C4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3" name="Text Box 127">
          <a:extLst>
            <a:ext uri="{FF2B5EF4-FFF2-40B4-BE49-F238E27FC236}">
              <a16:creationId xmlns:a16="http://schemas.microsoft.com/office/drawing/2014/main" id="{00000000-0008-0000-0000-0000C5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4" name="Text Box 128">
          <a:extLst>
            <a:ext uri="{FF2B5EF4-FFF2-40B4-BE49-F238E27FC236}">
              <a16:creationId xmlns:a16="http://schemas.microsoft.com/office/drawing/2014/main" id="{00000000-0008-0000-0000-0000C6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5" name="Text Box 129">
          <a:extLst>
            <a:ext uri="{FF2B5EF4-FFF2-40B4-BE49-F238E27FC236}">
              <a16:creationId xmlns:a16="http://schemas.microsoft.com/office/drawing/2014/main" id="{00000000-0008-0000-0000-0000C7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6" name="Text Box 130">
          <a:extLst>
            <a:ext uri="{FF2B5EF4-FFF2-40B4-BE49-F238E27FC236}">
              <a16:creationId xmlns:a16="http://schemas.microsoft.com/office/drawing/2014/main" id="{00000000-0008-0000-0000-0000C8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7" name="Text Box 131">
          <a:extLst>
            <a:ext uri="{FF2B5EF4-FFF2-40B4-BE49-F238E27FC236}">
              <a16:creationId xmlns:a16="http://schemas.microsoft.com/office/drawing/2014/main" id="{00000000-0008-0000-0000-0000C9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121</xdr:row>
      <xdr:rowOff>0</xdr:rowOff>
    </xdr:from>
    <xdr:to>
      <xdr:col>21</xdr:col>
      <xdr:colOff>104775</xdr:colOff>
      <xdr:row>122</xdr:row>
      <xdr:rowOff>9525</xdr:rowOff>
    </xdr:to>
    <xdr:sp macro="" textlink="">
      <xdr:nvSpPr>
        <xdr:cNvPr id="160458" name="Text Box 132">
          <a:extLst>
            <a:ext uri="{FF2B5EF4-FFF2-40B4-BE49-F238E27FC236}">
              <a16:creationId xmlns:a16="http://schemas.microsoft.com/office/drawing/2014/main" id="{00000000-0008-0000-0000-0000CA720200}"/>
            </a:ext>
          </a:extLst>
        </xdr:cNvPr>
        <xdr:cNvSpPr txBox="1">
          <a:spLocks noChangeArrowheads="1"/>
        </xdr:cNvSpPr>
      </xdr:nvSpPr>
      <xdr:spPr bwMode="auto">
        <a:xfrm>
          <a:off x="14249400" y="220884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120</xdr:row>
      <xdr:rowOff>0</xdr:rowOff>
    </xdr:from>
    <xdr:to>
      <xdr:col>21</xdr:col>
      <xdr:colOff>104775</xdr:colOff>
      <xdr:row>121</xdr:row>
      <xdr:rowOff>47625</xdr:rowOff>
    </xdr:to>
    <xdr:sp macro="" textlink="">
      <xdr:nvSpPr>
        <xdr:cNvPr id="160459" name="Text Box 133">
          <a:extLst>
            <a:ext uri="{FF2B5EF4-FFF2-40B4-BE49-F238E27FC236}">
              <a16:creationId xmlns:a16="http://schemas.microsoft.com/office/drawing/2014/main" id="{00000000-0008-0000-0000-0000CB720200}"/>
            </a:ext>
          </a:extLst>
        </xdr:cNvPr>
        <xdr:cNvSpPr txBox="1">
          <a:spLocks noChangeArrowheads="1"/>
        </xdr:cNvSpPr>
      </xdr:nvSpPr>
      <xdr:spPr bwMode="auto">
        <a:xfrm>
          <a:off x="14249400" y="219360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120</xdr:row>
      <xdr:rowOff>0</xdr:rowOff>
    </xdr:from>
    <xdr:to>
      <xdr:col>21</xdr:col>
      <xdr:colOff>104775</xdr:colOff>
      <xdr:row>121</xdr:row>
      <xdr:rowOff>47625</xdr:rowOff>
    </xdr:to>
    <xdr:sp macro="" textlink="">
      <xdr:nvSpPr>
        <xdr:cNvPr id="160460" name="Text Box 134">
          <a:extLst>
            <a:ext uri="{FF2B5EF4-FFF2-40B4-BE49-F238E27FC236}">
              <a16:creationId xmlns:a16="http://schemas.microsoft.com/office/drawing/2014/main" id="{00000000-0008-0000-0000-0000CC720200}"/>
            </a:ext>
          </a:extLst>
        </xdr:cNvPr>
        <xdr:cNvSpPr txBox="1">
          <a:spLocks noChangeArrowheads="1"/>
        </xdr:cNvSpPr>
      </xdr:nvSpPr>
      <xdr:spPr bwMode="auto">
        <a:xfrm>
          <a:off x="14249400" y="219360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120</xdr:row>
      <xdr:rowOff>0</xdr:rowOff>
    </xdr:from>
    <xdr:to>
      <xdr:col>21</xdr:col>
      <xdr:colOff>104775</xdr:colOff>
      <xdr:row>121</xdr:row>
      <xdr:rowOff>47625</xdr:rowOff>
    </xdr:to>
    <xdr:sp macro="" textlink="">
      <xdr:nvSpPr>
        <xdr:cNvPr id="160461" name="Text Box 135">
          <a:extLst>
            <a:ext uri="{FF2B5EF4-FFF2-40B4-BE49-F238E27FC236}">
              <a16:creationId xmlns:a16="http://schemas.microsoft.com/office/drawing/2014/main" id="{00000000-0008-0000-0000-0000CD720200}"/>
            </a:ext>
          </a:extLst>
        </xdr:cNvPr>
        <xdr:cNvSpPr txBox="1">
          <a:spLocks noChangeArrowheads="1"/>
        </xdr:cNvSpPr>
      </xdr:nvSpPr>
      <xdr:spPr bwMode="auto">
        <a:xfrm>
          <a:off x="14249400" y="219360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120</xdr:row>
      <xdr:rowOff>0</xdr:rowOff>
    </xdr:from>
    <xdr:to>
      <xdr:col>21</xdr:col>
      <xdr:colOff>104775</xdr:colOff>
      <xdr:row>121</xdr:row>
      <xdr:rowOff>47625</xdr:rowOff>
    </xdr:to>
    <xdr:sp macro="" textlink="">
      <xdr:nvSpPr>
        <xdr:cNvPr id="160462" name="Text Box 136">
          <a:extLst>
            <a:ext uri="{FF2B5EF4-FFF2-40B4-BE49-F238E27FC236}">
              <a16:creationId xmlns:a16="http://schemas.microsoft.com/office/drawing/2014/main" id="{00000000-0008-0000-0000-0000CE720200}"/>
            </a:ext>
          </a:extLst>
        </xdr:cNvPr>
        <xdr:cNvSpPr txBox="1">
          <a:spLocks noChangeArrowheads="1"/>
        </xdr:cNvSpPr>
      </xdr:nvSpPr>
      <xdr:spPr bwMode="auto">
        <a:xfrm>
          <a:off x="14249400" y="219360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119</xdr:row>
      <xdr:rowOff>0</xdr:rowOff>
    </xdr:from>
    <xdr:to>
      <xdr:col>21</xdr:col>
      <xdr:colOff>104775</xdr:colOff>
      <xdr:row>120</xdr:row>
      <xdr:rowOff>38100</xdr:rowOff>
    </xdr:to>
    <xdr:sp macro="" textlink="">
      <xdr:nvSpPr>
        <xdr:cNvPr id="160463" name="Text Box 137">
          <a:extLst>
            <a:ext uri="{FF2B5EF4-FFF2-40B4-BE49-F238E27FC236}">
              <a16:creationId xmlns:a16="http://schemas.microsoft.com/office/drawing/2014/main" id="{00000000-0008-0000-0000-0000CF720200}"/>
            </a:ext>
          </a:extLst>
        </xdr:cNvPr>
        <xdr:cNvSpPr txBox="1">
          <a:spLocks noChangeArrowheads="1"/>
        </xdr:cNvSpPr>
      </xdr:nvSpPr>
      <xdr:spPr bwMode="auto">
        <a:xfrm>
          <a:off x="14249400" y="21764625"/>
          <a:ext cx="104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119</xdr:row>
      <xdr:rowOff>0</xdr:rowOff>
    </xdr:from>
    <xdr:to>
      <xdr:col>21</xdr:col>
      <xdr:colOff>104775</xdr:colOff>
      <xdr:row>120</xdr:row>
      <xdr:rowOff>38100</xdr:rowOff>
    </xdr:to>
    <xdr:sp macro="" textlink="">
      <xdr:nvSpPr>
        <xdr:cNvPr id="160464" name="Text Box 138">
          <a:extLst>
            <a:ext uri="{FF2B5EF4-FFF2-40B4-BE49-F238E27FC236}">
              <a16:creationId xmlns:a16="http://schemas.microsoft.com/office/drawing/2014/main" id="{00000000-0008-0000-0000-0000D0720200}"/>
            </a:ext>
          </a:extLst>
        </xdr:cNvPr>
        <xdr:cNvSpPr txBox="1">
          <a:spLocks noChangeArrowheads="1"/>
        </xdr:cNvSpPr>
      </xdr:nvSpPr>
      <xdr:spPr bwMode="auto">
        <a:xfrm>
          <a:off x="14249400" y="21764625"/>
          <a:ext cx="104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wd-fs03\ar\PMR\FY07\parks\Monthly_Reports\Reports\FY07%20YTD%20Trend%20Compari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wd-fs03\ar\PMR\FY07\parks\Monthly_Reports\Reports\Set1-FY07%20YTD%20Park%20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Totals"/>
      <sheetName val="Summary"/>
      <sheetName val="Data"/>
      <sheetName val="Sheet1"/>
    </sheetNames>
    <sheetDataSet>
      <sheetData sheetId="0" refreshError="1"/>
      <sheetData sheetId="1" refreshError="1">
        <row r="7">
          <cell r="C7">
            <v>986856</v>
          </cell>
          <cell r="D7">
            <v>1126877</v>
          </cell>
          <cell r="E7">
            <v>1153776</v>
          </cell>
          <cell r="F7">
            <v>1523744.4100000001</v>
          </cell>
          <cell r="H7">
            <v>5276670</v>
          </cell>
          <cell r="I7">
            <v>5443883</v>
          </cell>
          <cell r="J7">
            <v>1523744.4100000001</v>
          </cell>
        </row>
        <row r="8">
          <cell r="C8">
            <v>1662787</v>
          </cell>
          <cell r="D8">
            <v>1719182</v>
          </cell>
          <cell r="E8">
            <v>1923907</v>
          </cell>
          <cell r="F8">
            <v>2083442.5100000002</v>
          </cell>
          <cell r="H8">
            <v>8945756</v>
          </cell>
          <cell r="I8">
            <v>9546469.5</v>
          </cell>
          <cell r="J8">
            <v>2083442.5100000002</v>
          </cell>
        </row>
        <row r="9">
          <cell r="C9">
            <v>3212153</v>
          </cell>
          <cell r="D9">
            <v>3209562</v>
          </cell>
          <cell r="E9">
            <v>3244250</v>
          </cell>
          <cell r="F9">
            <v>3607153.8000000007</v>
          </cell>
          <cell r="H9">
            <v>13751521</v>
          </cell>
          <cell r="I9">
            <v>13793575</v>
          </cell>
          <cell r="J9">
            <v>3607153.8000000007</v>
          </cell>
        </row>
        <row r="10">
          <cell r="C10">
            <v>0</v>
          </cell>
          <cell r="D10">
            <v>684317</v>
          </cell>
          <cell r="E10">
            <v>958336</v>
          </cell>
          <cell r="F10">
            <v>997851.8</v>
          </cell>
          <cell r="H10">
            <v>3914034</v>
          </cell>
          <cell r="I10">
            <v>4725010</v>
          </cell>
          <cell r="J10">
            <v>997851.8</v>
          </cell>
        </row>
        <row r="12">
          <cell r="C12">
            <v>51211</v>
          </cell>
          <cell r="D12">
            <v>39450</v>
          </cell>
          <cell r="E12">
            <v>59466</v>
          </cell>
          <cell r="F12">
            <v>85559.05</v>
          </cell>
          <cell r="H12">
            <v>308288</v>
          </cell>
          <cell r="I12">
            <v>445678.5</v>
          </cell>
          <cell r="J12">
            <v>85559.05</v>
          </cell>
        </row>
        <row r="13">
          <cell r="C13">
            <v>5913007</v>
          </cell>
          <cell r="D13">
            <v>6779388</v>
          </cell>
          <cell r="E13">
            <v>7339735</v>
          </cell>
          <cell r="F13">
            <v>8297751.5700000003</v>
          </cell>
          <cell r="G13">
            <v>29832083</v>
          </cell>
          <cell r="H13">
            <v>32196269</v>
          </cell>
          <cell r="I13">
            <v>33954616</v>
          </cell>
          <cell r="J13">
            <v>8297751.5700000003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1-Trend FY04-07"/>
      <sheetName val="2-Summary by Category"/>
      <sheetName val="3-Monthly Totals"/>
      <sheetName val="4-YTD Totals"/>
      <sheetName val="5-YTD Graphs"/>
      <sheetName val="6-Notes &amp; Criteria"/>
      <sheetName val="Sheet1"/>
    </sheetNames>
    <sheetDataSet>
      <sheetData sheetId="0"/>
      <sheetData sheetId="1"/>
      <sheetData sheetId="2"/>
      <sheetData sheetId="3">
        <row r="15">
          <cell r="C15">
            <v>2652752.9499999993</v>
          </cell>
        </row>
      </sheetData>
      <sheetData sheetId="4">
        <row r="8">
          <cell r="C8">
            <v>499444.80999999994</v>
          </cell>
          <cell r="D8">
            <v>1044908.54</v>
          </cell>
          <cell r="E8">
            <v>1523744.41</v>
          </cell>
          <cell r="F8">
            <v>1829220.3699999999</v>
          </cell>
          <cell r="G8">
            <v>2045292.0699999998</v>
          </cell>
          <cell r="H8">
            <v>2329717.13</v>
          </cell>
          <cell r="I8">
            <v>3052098.09</v>
          </cell>
          <cell r="J8">
            <v>3660065.42</v>
          </cell>
          <cell r="K8">
            <v>4237975.91</v>
          </cell>
          <cell r="L8">
            <v>4978304.37</v>
          </cell>
          <cell r="M8">
            <v>5485212.7400000002</v>
          </cell>
          <cell r="N8">
            <v>5956227.04</v>
          </cell>
        </row>
        <row r="9">
          <cell r="C9">
            <v>699212.05999999994</v>
          </cell>
          <cell r="D9">
            <v>1380007.1799999997</v>
          </cell>
          <cell r="E9">
            <v>2083442.5099999998</v>
          </cell>
          <cell r="F9">
            <v>2414896.7699999996</v>
          </cell>
          <cell r="G9">
            <v>2660206.4899999993</v>
          </cell>
          <cell r="H9">
            <v>3055591.6499999994</v>
          </cell>
          <cell r="I9">
            <v>4192659.6399999997</v>
          </cell>
          <cell r="J9">
            <v>5100389.05</v>
          </cell>
          <cell r="K9">
            <v>6113748.54</v>
          </cell>
          <cell r="L9">
            <v>7298718.9000000004</v>
          </cell>
          <cell r="M9">
            <v>8355588.5200000005</v>
          </cell>
          <cell r="N9">
            <v>9289150.0199999996</v>
          </cell>
        </row>
        <row r="10">
          <cell r="C10">
            <v>1123222.8199999998</v>
          </cell>
          <cell r="D10">
            <v>2369915.1899999995</v>
          </cell>
          <cell r="E10">
            <v>3607153.8</v>
          </cell>
          <cell r="F10">
            <v>4261228.78</v>
          </cell>
          <cell r="G10">
            <v>4785626.17</v>
          </cell>
          <cell r="H10">
            <v>5482838.9699999997</v>
          </cell>
          <cell r="I10">
            <v>7294402.3700000001</v>
          </cell>
          <cell r="J10">
            <v>8682221.7599999998</v>
          </cell>
          <cell r="K10">
            <v>10259910.949999999</v>
          </cell>
          <cell r="L10">
            <v>12061732.49</v>
          </cell>
          <cell r="M10">
            <v>13637166.49</v>
          </cell>
          <cell r="N10">
            <v>15056131.33</v>
          </cell>
        </row>
        <row r="11">
          <cell r="C11">
            <v>317462</v>
          </cell>
          <cell r="D11">
            <v>646152</v>
          </cell>
          <cell r="E11">
            <v>997851.8</v>
          </cell>
          <cell r="F11">
            <v>1234660.3</v>
          </cell>
          <cell r="G11">
            <v>1424182.35</v>
          </cell>
          <cell r="H11">
            <v>1710308.35</v>
          </cell>
          <cell r="I11">
            <v>2369464.5700000003</v>
          </cell>
          <cell r="J11">
            <v>2871592.0700000003</v>
          </cell>
          <cell r="K11">
            <v>3396936.5700000003</v>
          </cell>
          <cell r="L11">
            <v>4019423.72</v>
          </cell>
          <cell r="M11">
            <v>4504909.34</v>
          </cell>
          <cell r="N11">
            <v>4923156.1399999997</v>
          </cell>
        </row>
        <row r="13">
          <cell r="C13">
            <v>13411.259999999998</v>
          </cell>
          <cell r="D13">
            <v>53404.270000000004</v>
          </cell>
          <cell r="E13">
            <v>85559.05</v>
          </cell>
          <cell r="F13">
            <v>99845.36</v>
          </cell>
          <cell r="G13">
            <v>121308.89000000001</v>
          </cell>
          <cell r="H13">
            <v>177136.03000000003</v>
          </cell>
          <cell r="I13">
            <v>215572.94000000003</v>
          </cell>
          <cell r="J13">
            <v>266297.86000000004</v>
          </cell>
          <cell r="K13">
            <v>308420.76</v>
          </cell>
          <cell r="L13">
            <v>328185.47000000003</v>
          </cell>
          <cell r="M13">
            <v>363585.79000000004</v>
          </cell>
          <cell r="N13">
            <v>400635.74000000005</v>
          </cell>
        </row>
        <row r="14">
          <cell r="C14">
            <v>2652752.9499999993</v>
          </cell>
          <cell r="D14">
            <v>5494387.1799999988</v>
          </cell>
          <cell r="E14">
            <v>8297751.5699999994</v>
          </cell>
          <cell r="F14">
            <v>9839851.5800000001</v>
          </cell>
          <cell r="G14">
            <v>11036615.969999999</v>
          </cell>
          <cell r="H14">
            <v>12755592.129999999</v>
          </cell>
          <cell r="I14">
            <v>17124197.610000003</v>
          </cell>
          <cell r="J14">
            <v>20580566.159999996</v>
          </cell>
          <cell r="K14">
            <v>24316992.73</v>
          </cell>
          <cell r="L14">
            <v>28686364.949999996</v>
          </cell>
          <cell r="M14">
            <v>32346462.879999999</v>
          </cell>
          <cell r="N14">
            <v>35625300.270000003</v>
          </cell>
        </row>
        <row r="18">
          <cell r="C18">
            <v>336248</v>
          </cell>
          <cell r="D18">
            <v>762258</v>
          </cell>
          <cell r="E18">
            <v>1153776</v>
          </cell>
          <cell r="F18">
            <v>1372853</v>
          </cell>
          <cell r="G18">
            <v>1593293</v>
          </cell>
          <cell r="H18">
            <v>1822717</v>
          </cell>
          <cell r="I18">
            <v>2460235</v>
          </cell>
          <cell r="J18">
            <v>3079252</v>
          </cell>
          <cell r="K18">
            <v>3628214</v>
          </cell>
          <cell r="L18">
            <v>4261923</v>
          </cell>
          <cell r="M18">
            <v>4970755</v>
          </cell>
          <cell r="N18">
            <v>5443883</v>
          </cell>
        </row>
        <row r="19">
          <cell r="C19">
            <v>574129</v>
          </cell>
          <cell r="D19">
            <v>1276908</v>
          </cell>
          <cell r="E19">
            <v>1923907</v>
          </cell>
          <cell r="F19">
            <v>2276537</v>
          </cell>
          <cell r="G19">
            <v>2684820</v>
          </cell>
          <cell r="H19">
            <v>2984367</v>
          </cell>
          <cell r="I19">
            <v>4043870</v>
          </cell>
          <cell r="J19">
            <v>5233519</v>
          </cell>
          <cell r="K19">
            <v>6316216</v>
          </cell>
          <cell r="L19">
            <v>7475380</v>
          </cell>
          <cell r="M19">
            <v>8855375</v>
          </cell>
          <cell r="N19">
            <v>9546469.5</v>
          </cell>
        </row>
        <row r="20">
          <cell r="C20">
            <v>923738</v>
          </cell>
          <cell r="D20">
            <v>2105457</v>
          </cell>
          <cell r="E20">
            <v>3244250</v>
          </cell>
          <cell r="F20">
            <v>3852306</v>
          </cell>
          <cell r="G20">
            <v>4454929</v>
          </cell>
          <cell r="H20">
            <v>5063760</v>
          </cell>
          <cell r="I20">
            <v>6698943</v>
          </cell>
          <cell r="J20">
            <v>8026215</v>
          </cell>
          <cell r="K20">
            <v>9439261</v>
          </cell>
          <cell r="L20">
            <v>11204922</v>
          </cell>
          <cell r="M20">
            <v>12832187</v>
          </cell>
          <cell r="N20">
            <v>13793575</v>
          </cell>
        </row>
        <row r="21">
          <cell r="C21">
            <v>255626</v>
          </cell>
          <cell r="D21">
            <v>621613</v>
          </cell>
          <cell r="E21">
            <v>958336</v>
          </cell>
          <cell r="F21">
            <v>1208849</v>
          </cell>
          <cell r="G21">
            <v>1494134</v>
          </cell>
          <cell r="H21">
            <v>1705418</v>
          </cell>
          <cell r="I21">
            <v>2294034</v>
          </cell>
          <cell r="J21">
            <v>2835159</v>
          </cell>
          <cell r="K21">
            <v>3338776</v>
          </cell>
          <cell r="L21">
            <v>3941261</v>
          </cell>
          <cell r="M21">
            <v>4462849</v>
          </cell>
          <cell r="N21">
            <v>4734154</v>
          </cell>
        </row>
        <row r="23">
          <cell r="C23">
            <v>6720</v>
          </cell>
          <cell r="D23">
            <v>46757</v>
          </cell>
          <cell r="E23">
            <v>59466</v>
          </cell>
          <cell r="F23">
            <v>84320</v>
          </cell>
          <cell r="G23">
            <v>92568</v>
          </cell>
          <cell r="H23">
            <v>102685</v>
          </cell>
          <cell r="I23">
            <v>148475</v>
          </cell>
          <cell r="J23">
            <v>259740</v>
          </cell>
          <cell r="K23">
            <v>297268</v>
          </cell>
          <cell r="L23">
            <v>314124</v>
          </cell>
          <cell r="M23">
            <v>363010</v>
          </cell>
          <cell r="N23">
            <v>436534.5</v>
          </cell>
        </row>
        <row r="24">
          <cell r="C24">
            <v>2096461</v>
          </cell>
          <cell r="D24">
            <v>4812993</v>
          </cell>
          <cell r="E24">
            <v>7339735</v>
          </cell>
          <cell r="F24">
            <v>8794865</v>
          </cell>
          <cell r="G24">
            <v>10319744</v>
          </cell>
          <cell r="H24">
            <v>11678947</v>
          </cell>
          <cell r="I24">
            <v>15645557</v>
          </cell>
          <cell r="J24">
            <v>19433885</v>
          </cell>
          <cell r="K24">
            <v>23019735</v>
          </cell>
          <cell r="L24">
            <v>27197610</v>
          </cell>
          <cell r="M24">
            <v>31484176</v>
          </cell>
          <cell r="N24">
            <v>33954616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BU161"/>
  <sheetViews>
    <sheetView zoomScale="75" workbookViewId="0">
      <pane xSplit="3" ySplit="5" topLeftCell="D101" activePane="bottomRight" state="frozen"/>
      <selection activeCell="C11" sqref="C11:H11"/>
      <selection pane="topRight" activeCell="C11" sqref="C11:H11"/>
      <selection pane="bottomLeft" activeCell="C11" sqref="C11:H11"/>
      <selection pane="bottomRight" activeCell="D104" sqref="D103:D104"/>
    </sheetView>
  </sheetViews>
  <sheetFormatPr defaultColWidth="9.109375" defaultRowHeight="13.8" x14ac:dyDescent="0.25"/>
  <cols>
    <col min="1" max="1" width="23.88671875" style="7" customWidth="1"/>
    <col min="2" max="2" width="4.88671875" style="82" hidden="1" customWidth="1"/>
    <col min="3" max="3" width="2.6640625" style="19" customWidth="1"/>
    <col min="4" max="4" width="10.33203125" style="22" customWidth="1"/>
    <col min="5" max="6" width="10.5546875" style="22" customWidth="1"/>
    <col min="7" max="7" width="9.109375" style="22"/>
    <col min="8" max="8" width="9.88671875" style="22" customWidth="1"/>
    <col min="9" max="9" width="12" style="14" customWidth="1"/>
    <col min="10" max="10" width="10.5546875" style="8" customWidth="1"/>
    <col min="11" max="12" width="10.5546875" style="3" customWidth="1"/>
    <col min="13" max="13" width="8.33203125" style="3" customWidth="1"/>
    <col min="14" max="14" width="10.5546875" style="3" customWidth="1"/>
    <col min="15" max="15" width="12" style="13" customWidth="1"/>
    <col min="16" max="16" width="10.44140625" style="4" customWidth="1"/>
    <col min="17" max="17" width="10.5546875" style="4" customWidth="1"/>
    <col min="18" max="18" width="10.33203125" style="4" customWidth="1"/>
    <col min="19" max="19" width="9.109375" style="4"/>
    <col min="20" max="20" width="10.33203125" style="4" customWidth="1"/>
    <col min="21" max="21" width="11.44140625" style="4" customWidth="1"/>
    <col min="22" max="22" width="8.6640625" style="108" customWidth="1"/>
    <col min="23" max="23" width="36.6640625" style="11" customWidth="1"/>
    <col min="24" max="29" width="9.33203125" style="53" bestFit="1" customWidth="1"/>
    <col min="30" max="54" width="9.109375" style="53"/>
    <col min="55" max="16384" width="9.109375" style="2"/>
  </cols>
  <sheetData>
    <row r="1" spans="1:73" s="9" customFormat="1" ht="17.399999999999999" x14ac:dyDescent="0.25">
      <c r="A1" s="10" t="s">
        <v>215</v>
      </c>
      <c r="B1" s="74"/>
      <c r="C1" s="16"/>
      <c r="D1" s="20"/>
      <c r="E1" s="20"/>
      <c r="F1" s="20"/>
      <c r="G1" s="20"/>
      <c r="I1" s="12"/>
      <c r="V1" s="101"/>
      <c r="W1" s="92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</row>
    <row r="2" spans="1:73" s="9" customFormat="1" ht="17.399999999999999" x14ac:dyDescent="0.25">
      <c r="A2" s="10" t="e">
        <f>#REF!</f>
        <v>#REF!</v>
      </c>
      <c r="B2" s="74"/>
      <c r="C2" s="16"/>
      <c r="D2" s="20"/>
      <c r="E2" s="20"/>
      <c r="F2" s="20"/>
      <c r="G2" s="20"/>
      <c r="H2" s="20"/>
      <c r="I2" s="12"/>
      <c r="V2" s="101"/>
      <c r="W2" s="93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</row>
    <row r="3" spans="1:73" s="9" customFormat="1" ht="18" thickBot="1" x14ac:dyDescent="0.3">
      <c r="A3" s="39">
        <f>SUM(D121:O121)</f>
        <v>0</v>
      </c>
      <c r="B3" s="74"/>
      <c r="C3" s="16"/>
      <c r="D3" s="20"/>
      <c r="E3" s="20"/>
      <c r="F3" s="20"/>
      <c r="G3" s="20"/>
      <c r="H3" s="20"/>
      <c r="I3" s="12"/>
      <c r="V3" s="101"/>
      <c r="W3" s="93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</row>
    <row r="4" spans="1:73" s="24" customFormat="1" ht="21.6" thickBot="1" x14ac:dyDescent="0.3">
      <c r="A4" s="6"/>
      <c r="B4" s="75"/>
      <c r="C4" s="17"/>
      <c r="D4" s="538">
        <v>39113</v>
      </c>
      <c r="E4" s="539"/>
      <c r="F4" s="539"/>
      <c r="G4" s="539"/>
      <c r="H4" s="539"/>
      <c r="I4" s="540"/>
      <c r="J4" s="541">
        <v>38748</v>
      </c>
      <c r="K4" s="542"/>
      <c r="L4" s="542"/>
      <c r="M4" s="542"/>
      <c r="N4" s="542"/>
      <c r="O4" s="543"/>
      <c r="P4" s="536" t="s">
        <v>167</v>
      </c>
      <c r="Q4" s="537"/>
      <c r="R4" s="537"/>
      <c r="S4" s="537"/>
      <c r="T4" s="537"/>
      <c r="U4" s="537"/>
      <c r="V4" s="102"/>
      <c r="W4" s="32" t="s">
        <v>217</v>
      </c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</row>
    <row r="5" spans="1:73" s="1" customFormat="1" ht="28.8" thickBot="1" x14ac:dyDescent="0.45">
      <c r="A5" s="64" t="s">
        <v>205</v>
      </c>
      <c r="B5" s="76" t="s">
        <v>213</v>
      </c>
      <c r="C5" s="26" t="s">
        <v>166</v>
      </c>
      <c r="D5" s="23" t="s">
        <v>218</v>
      </c>
      <c r="E5" s="21" t="s">
        <v>206</v>
      </c>
      <c r="F5" s="21" t="s">
        <v>207</v>
      </c>
      <c r="G5" s="21" t="s">
        <v>168</v>
      </c>
      <c r="H5" s="21" t="s">
        <v>219</v>
      </c>
      <c r="I5" s="35" t="s">
        <v>208</v>
      </c>
      <c r="J5" s="23" t="s">
        <v>218</v>
      </c>
      <c r="K5" s="21" t="s">
        <v>206</v>
      </c>
      <c r="L5" s="21" t="s">
        <v>207</v>
      </c>
      <c r="M5" s="21" t="s">
        <v>168</v>
      </c>
      <c r="N5" s="21" t="s">
        <v>219</v>
      </c>
      <c r="O5" s="35" t="s">
        <v>208</v>
      </c>
      <c r="P5" s="23" t="s">
        <v>218</v>
      </c>
      <c r="Q5" s="21" t="s">
        <v>206</v>
      </c>
      <c r="R5" s="21" t="s">
        <v>207</v>
      </c>
      <c r="S5" s="21" t="s">
        <v>168</v>
      </c>
      <c r="T5" s="21" t="s">
        <v>219</v>
      </c>
      <c r="U5" s="35" t="s">
        <v>208</v>
      </c>
      <c r="V5" s="103" t="s">
        <v>204</v>
      </c>
      <c r="W5" s="94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</row>
    <row r="6" spans="1:73" s="5" customFormat="1" ht="13.2" x14ac:dyDescent="0.25">
      <c r="A6" s="66" t="s">
        <v>211</v>
      </c>
      <c r="B6" s="77" t="s">
        <v>68</v>
      </c>
      <c r="C6" s="42">
        <v>1</v>
      </c>
      <c r="D6" s="45">
        <v>1176.29</v>
      </c>
      <c r="E6" s="15">
        <v>1717</v>
      </c>
      <c r="F6" s="15">
        <v>11588.44</v>
      </c>
      <c r="G6" s="15">
        <v>3.09</v>
      </c>
      <c r="H6" s="15">
        <v>1080</v>
      </c>
      <c r="I6" s="40">
        <f t="shared" ref="I6:I37" si="0">SUM(D6:H6)</f>
        <v>15564.82</v>
      </c>
      <c r="J6" s="45">
        <v>1017</v>
      </c>
      <c r="K6" s="15">
        <v>1407</v>
      </c>
      <c r="L6" s="15">
        <v>10770</v>
      </c>
      <c r="M6" s="15">
        <v>0</v>
      </c>
      <c r="N6" s="15">
        <v>1035</v>
      </c>
      <c r="O6" s="40">
        <f t="shared" ref="O6:O37" si="1">SUM(J6:N6)</f>
        <v>14229</v>
      </c>
      <c r="P6" s="45">
        <f t="shared" ref="P6:P37" si="2">+D6-J6</f>
        <v>159.28999999999996</v>
      </c>
      <c r="Q6" s="15">
        <f t="shared" ref="Q6:Q37" si="3">+E6-K6</f>
        <v>310</v>
      </c>
      <c r="R6" s="15">
        <f t="shared" ref="R6:R37" si="4">+F6-L6</f>
        <v>818.44000000000051</v>
      </c>
      <c r="S6" s="15">
        <f t="shared" ref="S6:S37" si="5">+G6-M6</f>
        <v>3.09</v>
      </c>
      <c r="T6" s="15">
        <f t="shared" ref="T6:T37" si="6">+H6-N6</f>
        <v>45</v>
      </c>
      <c r="U6" s="40">
        <f t="shared" ref="U6:U37" si="7">SUM(P6:T6)</f>
        <v>1335.8200000000004</v>
      </c>
      <c r="V6" s="104">
        <f t="shared" ref="V6:V37" si="8">IF(O6=0,"",I6/O6-1)</f>
        <v>9.3880104012931342E-2</v>
      </c>
      <c r="W6" s="83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</row>
    <row r="7" spans="1:73" s="5" customFormat="1" ht="13.2" x14ac:dyDescent="0.25">
      <c r="A7" s="66" t="s">
        <v>18</v>
      </c>
      <c r="B7" s="77" t="s">
        <v>69</v>
      </c>
      <c r="C7" s="18">
        <v>1</v>
      </c>
      <c r="D7" s="45">
        <v>3375.42</v>
      </c>
      <c r="E7" s="15">
        <v>588</v>
      </c>
      <c r="F7" s="15">
        <v>375</v>
      </c>
      <c r="G7" s="15">
        <v>111</v>
      </c>
      <c r="H7" s="15">
        <v>480</v>
      </c>
      <c r="I7" s="41">
        <f t="shared" si="0"/>
        <v>4929.42</v>
      </c>
      <c r="J7" s="45">
        <v>1791</v>
      </c>
      <c r="K7" s="15">
        <v>505</v>
      </c>
      <c r="L7" s="15">
        <v>0</v>
      </c>
      <c r="M7" s="15">
        <v>102</v>
      </c>
      <c r="N7" s="15">
        <v>135</v>
      </c>
      <c r="O7" s="41">
        <f t="shared" si="1"/>
        <v>2533</v>
      </c>
      <c r="P7" s="45">
        <f t="shared" si="2"/>
        <v>1584.42</v>
      </c>
      <c r="Q7" s="15">
        <f t="shared" si="3"/>
        <v>83</v>
      </c>
      <c r="R7" s="15">
        <f t="shared" si="4"/>
        <v>375</v>
      </c>
      <c r="S7" s="15">
        <f t="shared" si="5"/>
        <v>9</v>
      </c>
      <c r="T7" s="15">
        <f t="shared" si="6"/>
        <v>345</v>
      </c>
      <c r="U7" s="41">
        <f t="shared" si="7"/>
        <v>2396.42</v>
      </c>
      <c r="V7" s="104">
        <f t="shared" si="8"/>
        <v>0.94607974733517564</v>
      </c>
      <c r="W7" s="85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</row>
    <row r="8" spans="1:73" s="5" customFormat="1" ht="13.2" x14ac:dyDescent="0.25">
      <c r="A8" s="66" t="s">
        <v>22</v>
      </c>
      <c r="B8" s="77" t="s">
        <v>73</v>
      </c>
      <c r="C8" s="18">
        <v>1</v>
      </c>
      <c r="D8" s="45">
        <v>8888.94</v>
      </c>
      <c r="E8" s="15">
        <v>327</v>
      </c>
      <c r="F8" s="15">
        <v>5635</v>
      </c>
      <c r="G8" s="15">
        <v>135</v>
      </c>
      <c r="H8" s="15">
        <v>0</v>
      </c>
      <c r="I8" s="41">
        <f t="shared" si="0"/>
        <v>14985.94</v>
      </c>
      <c r="J8" s="45">
        <v>6660</v>
      </c>
      <c r="K8" s="15">
        <v>861</v>
      </c>
      <c r="L8" s="15">
        <v>5402</v>
      </c>
      <c r="M8" s="15">
        <v>0</v>
      </c>
      <c r="N8" s="15">
        <v>0</v>
      </c>
      <c r="O8" s="41">
        <f t="shared" si="1"/>
        <v>12923</v>
      </c>
      <c r="P8" s="45">
        <f t="shared" si="2"/>
        <v>2228.9400000000005</v>
      </c>
      <c r="Q8" s="15">
        <f t="shared" si="3"/>
        <v>-534</v>
      </c>
      <c r="R8" s="15">
        <f t="shared" si="4"/>
        <v>233</v>
      </c>
      <c r="S8" s="15">
        <f t="shared" si="5"/>
        <v>135</v>
      </c>
      <c r="T8" s="15">
        <f t="shared" si="6"/>
        <v>0</v>
      </c>
      <c r="U8" s="41">
        <f t="shared" si="7"/>
        <v>2062.9400000000005</v>
      </c>
      <c r="V8" s="104">
        <f t="shared" si="8"/>
        <v>0.15963321210245307</v>
      </c>
      <c r="W8" s="85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</row>
    <row r="9" spans="1:73" s="5" customFormat="1" ht="13.2" x14ac:dyDescent="0.25">
      <c r="A9" s="66" t="s">
        <v>34</v>
      </c>
      <c r="B9" s="77" t="s">
        <v>94</v>
      </c>
      <c r="C9" s="18">
        <v>1</v>
      </c>
      <c r="D9" s="45">
        <v>445.01</v>
      </c>
      <c r="E9" s="15">
        <v>1248</v>
      </c>
      <c r="F9" s="15">
        <v>7993</v>
      </c>
      <c r="G9" s="15">
        <v>222</v>
      </c>
      <c r="H9" s="15">
        <v>1200</v>
      </c>
      <c r="I9" s="41">
        <f t="shared" si="0"/>
        <v>11108.01</v>
      </c>
      <c r="J9" s="45">
        <v>929</v>
      </c>
      <c r="K9" s="15">
        <v>2620</v>
      </c>
      <c r="L9" s="15">
        <v>14022</v>
      </c>
      <c r="M9" s="15">
        <v>91</v>
      </c>
      <c r="N9" s="15">
        <v>1365</v>
      </c>
      <c r="O9" s="41">
        <f t="shared" si="1"/>
        <v>19027</v>
      </c>
      <c r="P9" s="45">
        <f t="shared" si="2"/>
        <v>-483.99</v>
      </c>
      <c r="Q9" s="15">
        <f t="shared" si="3"/>
        <v>-1372</v>
      </c>
      <c r="R9" s="15">
        <f t="shared" si="4"/>
        <v>-6029</v>
      </c>
      <c r="S9" s="15">
        <f t="shared" si="5"/>
        <v>131</v>
      </c>
      <c r="T9" s="15">
        <f t="shared" si="6"/>
        <v>-165</v>
      </c>
      <c r="U9" s="41">
        <f t="shared" si="7"/>
        <v>-7918.99</v>
      </c>
      <c r="V9" s="104">
        <f t="shared" si="8"/>
        <v>-0.41619750880327955</v>
      </c>
      <c r="W9" s="85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</row>
    <row r="10" spans="1:73" s="5" customFormat="1" ht="13.2" x14ac:dyDescent="0.25">
      <c r="A10" s="66" t="s">
        <v>35</v>
      </c>
      <c r="B10" s="77" t="s">
        <v>95</v>
      </c>
      <c r="C10" s="18">
        <v>1</v>
      </c>
      <c r="D10" s="45">
        <v>440</v>
      </c>
      <c r="E10" s="15">
        <v>54</v>
      </c>
      <c r="F10" s="15">
        <v>774</v>
      </c>
      <c r="G10" s="15">
        <v>75</v>
      </c>
      <c r="H10" s="15">
        <v>0</v>
      </c>
      <c r="I10" s="41">
        <f t="shared" si="0"/>
        <v>1343</v>
      </c>
      <c r="J10" s="45">
        <v>0</v>
      </c>
      <c r="K10" s="15">
        <v>75</v>
      </c>
      <c r="L10" s="15">
        <v>546</v>
      </c>
      <c r="M10" s="15">
        <v>0</v>
      </c>
      <c r="N10" s="15">
        <v>0</v>
      </c>
      <c r="O10" s="41">
        <f t="shared" si="1"/>
        <v>621</v>
      </c>
      <c r="P10" s="45">
        <f t="shared" si="2"/>
        <v>440</v>
      </c>
      <c r="Q10" s="15">
        <f t="shared" si="3"/>
        <v>-21</v>
      </c>
      <c r="R10" s="15">
        <f t="shared" si="4"/>
        <v>228</v>
      </c>
      <c r="S10" s="15">
        <f t="shared" si="5"/>
        <v>75</v>
      </c>
      <c r="T10" s="15">
        <f t="shared" si="6"/>
        <v>0</v>
      </c>
      <c r="U10" s="41">
        <f t="shared" si="7"/>
        <v>722</v>
      </c>
      <c r="V10" s="104">
        <f t="shared" si="8"/>
        <v>1.1626409017713364</v>
      </c>
      <c r="W10" s="85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</row>
    <row r="11" spans="1:73" s="5" customFormat="1" ht="13.2" x14ac:dyDescent="0.25">
      <c r="A11" s="66" t="s">
        <v>42</v>
      </c>
      <c r="B11" s="77" t="s">
        <v>105</v>
      </c>
      <c r="C11" s="18">
        <v>1</v>
      </c>
      <c r="D11" s="45">
        <v>68.709999999999994</v>
      </c>
      <c r="E11" s="15">
        <v>14</v>
      </c>
      <c r="F11" s="15">
        <v>0</v>
      </c>
      <c r="G11" s="15">
        <v>0</v>
      </c>
      <c r="H11" s="15">
        <v>0</v>
      </c>
      <c r="I11" s="41">
        <f t="shared" si="0"/>
        <v>82.71</v>
      </c>
      <c r="J11" s="45">
        <v>196</v>
      </c>
      <c r="K11" s="15">
        <v>161</v>
      </c>
      <c r="L11" s="15">
        <v>0</v>
      </c>
      <c r="M11" s="15">
        <v>0</v>
      </c>
      <c r="N11" s="15">
        <v>0</v>
      </c>
      <c r="O11" s="41">
        <f t="shared" si="1"/>
        <v>357</v>
      </c>
      <c r="P11" s="45">
        <f t="shared" si="2"/>
        <v>-127.29</v>
      </c>
      <c r="Q11" s="15">
        <f t="shared" si="3"/>
        <v>-147</v>
      </c>
      <c r="R11" s="15">
        <f t="shared" si="4"/>
        <v>0</v>
      </c>
      <c r="S11" s="15">
        <f t="shared" si="5"/>
        <v>0</v>
      </c>
      <c r="T11" s="15">
        <f t="shared" si="6"/>
        <v>0</v>
      </c>
      <c r="U11" s="41">
        <f t="shared" si="7"/>
        <v>-274.29000000000002</v>
      </c>
      <c r="V11" s="104">
        <f t="shared" si="8"/>
        <v>-0.76831932773109246</v>
      </c>
      <c r="W11" s="85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</row>
    <row r="12" spans="1:73" s="5" customFormat="1" ht="13.2" x14ac:dyDescent="0.25">
      <c r="A12" s="66" t="s">
        <v>43</v>
      </c>
      <c r="B12" s="77" t="s">
        <v>106</v>
      </c>
      <c r="C12" s="18">
        <v>1</v>
      </c>
      <c r="D12" s="45">
        <v>131.06</v>
      </c>
      <c r="E12" s="15">
        <v>200</v>
      </c>
      <c r="F12" s="15">
        <v>72</v>
      </c>
      <c r="G12" s="15">
        <v>0</v>
      </c>
      <c r="H12" s="15">
        <v>120</v>
      </c>
      <c r="I12" s="41">
        <f t="shared" si="0"/>
        <v>523.05999999999995</v>
      </c>
      <c r="J12" s="45">
        <v>292</v>
      </c>
      <c r="K12" s="15">
        <v>278</v>
      </c>
      <c r="L12" s="15">
        <v>0</v>
      </c>
      <c r="M12" s="15">
        <v>72</v>
      </c>
      <c r="N12" s="15">
        <v>240</v>
      </c>
      <c r="O12" s="41">
        <f t="shared" si="1"/>
        <v>882</v>
      </c>
      <c r="P12" s="45">
        <f t="shared" si="2"/>
        <v>-160.94</v>
      </c>
      <c r="Q12" s="15">
        <f t="shared" si="3"/>
        <v>-78</v>
      </c>
      <c r="R12" s="15">
        <f t="shared" si="4"/>
        <v>72</v>
      </c>
      <c r="S12" s="15">
        <f t="shared" si="5"/>
        <v>-72</v>
      </c>
      <c r="T12" s="15">
        <f t="shared" si="6"/>
        <v>-120</v>
      </c>
      <c r="U12" s="41">
        <f t="shared" si="7"/>
        <v>-358.94</v>
      </c>
      <c r="V12" s="104">
        <f t="shared" si="8"/>
        <v>-0.40696145124716554</v>
      </c>
      <c r="W12" s="85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</row>
    <row r="13" spans="1:73" s="5" customFormat="1" ht="13.2" x14ac:dyDescent="0.25">
      <c r="A13" s="66" t="s">
        <v>47</v>
      </c>
      <c r="B13" s="77" t="s">
        <v>110</v>
      </c>
      <c r="C13" s="18">
        <v>1</v>
      </c>
      <c r="D13" s="45">
        <v>0</v>
      </c>
      <c r="E13" s="15">
        <v>4075.5</v>
      </c>
      <c r="F13" s="15">
        <v>120</v>
      </c>
      <c r="G13" s="15">
        <v>8</v>
      </c>
      <c r="H13" s="15">
        <v>375</v>
      </c>
      <c r="I13" s="41">
        <f t="shared" si="0"/>
        <v>4578.5</v>
      </c>
      <c r="J13" s="45">
        <v>310</v>
      </c>
      <c r="K13" s="15">
        <v>5972</v>
      </c>
      <c r="L13" s="15">
        <v>128</v>
      </c>
      <c r="M13" s="15">
        <v>59</v>
      </c>
      <c r="N13" s="15">
        <v>270</v>
      </c>
      <c r="O13" s="41">
        <f t="shared" si="1"/>
        <v>6739</v>
      </c>
      <c r="P13" s="45">
        <f t="shared" si="2"/>
        <v>-310</v>
      </c>
      <c r="Q13" s="15">
        <f t="shared" si="3"/>
        <v>-1896.5</v>
      </c>
      <c r="R13" s="15">
        <f t="shared" si="4"/>
        <v>-8</v>
      </c>
      <c r="S13" s="15">
        <f t="shared" si="5"/>
        <v>-51</v>
      </c>
      <c r="T13" s="15">
        <f t="shared" si="6"/>
        <v>105</v>
      </c>
      <c r="U13" s="41">
        <f t="shared" si="7"/>
        <v>-2160.5</v>
      </c>
      <c r="V13" s="104">
        <f t="shared" si="8"/>
        <v>-0.32059652767472924</v>
      </c>
      <c r="W13" s="85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</row>
    <row r="14" spans="1:73" s="5" customFormat="1" ht="13.2" x14ac:dyDescent="0.25">
      <c r="A14" s="66" t="s">
        <v>55</v>
      </c>
      <c r="B14" s="77" t="s">
        <v>119</v>
      </c>
      <c r="C14" s="18">
        <v>1</v>
      </c>
      <c r="D14" s="45">
        <v>4409.92</v>
      </c>
      <c r="E14" s="15">
        <v>7952</v>
      </c>
      <c r="F14" s="15">
        <v>3198</v>
      </c>
      <c r="G14" s="15">
        <v>0</v>
      </c>
      <c r="H14" s="15">
        <v>1500</v>
      </c>
      <c r="I14" s="41">
        <f t="shared" si="0"/>
        <v>17059.919999999998</v>
      </c>
      <c r="J14" s="45">
        <v>3064</v>
      </c>
      <c r="K14" s="15">
        <v>5842</v>
      </c>
      <c r="L14" s="15">
        <v>4095</v>
      </c>
      <c r="M14" s="15">
        <v>0</v>
      </c>
      <c r="N14" s="15">
        <v>2505</v>
      </c>
      <c r="O14" s="41">
        <f t="shared" si="1"/>
        <v>15506</v>
      </c>
      <c r="P14" s="45">
        <f t="shared" si="2"/>
        <v>1345.92</v>
      </c>
      <c r="Q14" s="15">
        <f t="shared" si="3"/>
        <v>2110</v>
      </c>
      <c r="R14" s="15">
        <f t="shared" si="4"/>
        <v>-897</v>
      </c>
      <c r="S14" s="15">
        <f t="shared" si="5"/>
        <v>0</v>
      </c>
      <c r="T14" s="15">
        <f t="shared" si="6"/>
        <v>-1005</v>
      </c>
      <c r="U14" s="41">
        <f t="shared" si="7"/>
        <v>1553.92</v>
      </c>
      <c r="V14" s="104">
        <f t="shared" si="8"/>
        <v>0.10021411066683861</v>
      </c>
      <c r="W14" s="85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</row>
    <row r="15" spans="1:73" s="5" customFormat="1" ht="13.2" x14ac:dyDescent="0.25">
      <c r="A15" s="66" t="s">
        <v>57</v>
      </c>
      <c r="B15" s="77" t="s">
        <v>121</v>
      </c>
      <c r="C15" s="18">
        <v>1</v>
      </c>
      <c r="D15" s="45">
        <v>20908</v>
      </c>
      <c r="E15" s="15">
        <v>0</v>
      </c>
      <c r="F15" s="15">
        <v>61944.7</v>
      </c>
      <c r="G15" s="15">
        <v>82.95</v>
      </c>
      <c r="H15" s="15">
        <v>135</v>
      </c>
      <c r="I15" s="41">
        <f t="shared" si="0"/>
        <v>83070.649999999994</v>
      </c>
      <c r="J15" s="45">
        <v>11273</v>
      </c>
      <c r="K15" s="15">
        <v>0</v>
      </c>
      <c r="L15" s="15">
        <v>35981</v>
      </c>
      <c r="M15" s="15">
        <v>64</v>
      </c>
      <c r="N15" s="15">
        <v>60</v>
      </c>
      <c r="O15" s="41">
        <f t="shared" si="1"/>
        <v>47378</v>
      </c>
      <c r="P15" s="45">
        <f t="shared" si="2"/>
        <v>9635</v>
      </c>
      <c r="Q15" s="15">
        <f t="shared" si="3"/>
        <v>0</v>
      </c>
      <c r="R15" s="15">
        <f t="shared" si="4"/>
        <v>25963.699999999997</v>
      </c>
      <c r="S15" s="15">
        <f t="shared" si="5"/>
        <v>18.950000000000003</v>
      </c>
      <c r="T15" s="15">
        <f t="shared" si="6"/>
        <v>75</v>
      </c>
      <c r="U15" s="41">
        <f t="shared" si="7"/>
        <v>35692.649999999994</v>
      </c>
      <c r="V15" s="104">
        <f t="shared" si="8"/>
        <v>0.7533591540377389</v>
      </c>
      <c r="W15" s="85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73" s="5" customFormat="1" ht="13.2" x14ac:dyDescent="0.25">
      <c r="A16" s="66" t="s">
        <v>59</v>
      </c>
      <c r="B16" s="77" t="s">
        <v>123</v>
      </c>
      <c r="C16" s="18">
        <v>1</v>
      </c>
      <c r="D16" s="45">
        <v>50</v>
      </c>
      <c r="E16" s="15">
        <v>42</v>
      </c>
      <c r="F16" s="15">
        <v>0</v>
      </c>
      <c r="G16" s="15">
        <v>0</v>
      </c>
      <c r="H16" s="15">
        <v>0</v>
      </c>
      <c r="I16" s="41">
        <f t="shared" si="0"/>
        <v>92</v>
      </c>
      <c r="J16" s="45">
        <v>0</v>
      </c>
      <c r="K16" s="15">
        <v>0</v>
      </c>
      <c r="L16" s="15">
        <v>0</v>
      </c>
      <c r="M16" s="15">
        <v>0</v>
      </c>
      <c r="N16" s="15">
        <v>0</v>
      </c>
      <c r="O16" s="41">
        <f t="shared" si="1"/>
        <v>0</v>
      </c>
      <c r="P16" s="45">
        <f t="shared" si="2"/>
        <v>50</v>
      </c>
      <c r="Q16" s="15">
        <f t="shared" si="3"/>
        <v>42</v>
      </c>
      <c r="R16" s="15">
        <f t="shared" si="4"/>
        <v>0</v>
      </c>
      <c r="S16" s="15">
        <f t="shared" si="5"/>
        <v>0</v>
      </c>
      <c r="T16" s="15">
        <f t="shared" si="6"/>
        <v>0</v>
      </c>
      <c r="U16" s="41">
        <f t="shared" si="7"/>
        <v>92</v>
      </c>
      <c r="V16" s="104" t="str">
        <f t="shared" si="8"/>
        <v/>
      </c>
      <c r="W16" s="85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</row>
    <row r="17" spans="1:54" s="5" customFormat="1" ht="13.2" x14ac:dyDescent="0.25">
      <c r="A17" s="66" t="s">
        <v>6</v>
      </c>
      <c r="B17" s="77" t="s">
        <v>143</v>
      </c>
      <c r="C17" s="18">
        <v>1</v>
      </c>
      <c r="D17" s="45">
        <v>449.5</v>
      </c>
      <c r="E17" s="15">
        <v>0</v>
      </c>
      <c r="F17" s="15">
        <v>0</v>
      </c>
      <c r="G17" s="15">
        <v>0</v>
      </c>
      <c r="H17" s="15">
        <v>0</v>
      </c>
      <c r="I17" s="41">
        <f t="shared" si="0"/>
        <v>449.5</v>
      </c>
      <c r="J17" s="45">
        <v>600</v>
      </c>
      <c r="K17" s="15">
        <v>0</v>
      </c>
      <c r="L17" s="15">
        <v>0</v>
      </c>
      <c r="M17" s="15">
        <v>46</v>
      </c>
      <c r="N17" s="15">
        <v>60</v>
      </c>
      <c r="O17" s="41">
        <f t="shared" si="1"/>
        <v>706</v>
      </c>
      <c r="P17" s="45">
        <f t="shared" si="2"/>
        <v>-150.5</v>
      </c>
      <c r="Q17" s="15">
        <f t="shared" si="3"/>
        <v>0</v>
      </c>
      <c r="R17" s="15">
        <f t="shared" si="4"/>
        <v>0</v>
      </c>
      <c r="S17" s="15">
        <f t="shared" si="5"/>
        <v>-46</v>
      </c>
      <c r="T17" s="15">
        <f t="shared" si="6"/>
        <v>-60</v>
      </c>
      <c r="U17" s="41">
        <f t="shared" si="7"/>
        <v>-256.5</v>
      </c>
      <c r="V17" s="104">
        <f t="shared" si="8"/>
        <v>-0.36331444759206799</v>
      </c>
      <c r="W17" s="85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</row>
    <row r="18" spans="1:54" s="5" customFormat="1" ht="13.2" x14ac:dyDescent="0.25">
      <c r="A18" s="66" t="s">
        <v>14</v>
      </c>
      <c r="B18" s="77" t="s">
        <v>150</v>
      </c>
      <c r="C18" s="18">
        <v>1</v>
      </c>
      <c r="D18" s="45">
        <v>842.89</v>
      </c>
      <c r="E18" s="15">
        <v>1135</v>
      </c>
      <c r="F18" s="15">
        <v>1822</v>
      </c>
      <c r="G18" s="15">
        <v>0</v>
      </c>
      <c r="H18" s="15">
        <v>525</v>
      </c>
      <c r="I18" s="41">
        <f t="shared" si="0"/>
        <v>4324.8899999999994</v>
      </c>
      <c r="J18" s="45">
        <v>832</v>
      </c>
      <c r="K18" s="15">
        <v>1273</v>
      </c>
      <c r="L18" s="15">
        <v>1992</v>
      </c>
      <c r="M18" s="15">
        <v>8</v>
      </c>
      <c r="N18" s="15">
        <v>375</v>
      </c>
      <c r="O18" s="41">
        <f t="shared" si="1"/>
        <v>4480</v>
      </c>
      <c r="P18" s="45">
        <f t="shared" si="2"/>
        <v>10.889999999999986</v>
      </c>
      <c r="Q18" s="15">
        <f t="shared" si="3"/>
        <v>-138</v>
      </c>
      <c r="R18" s="15">
        <f t="shared" si="4"/>
        <v>-170</v>
      </c>
      <c r="S18" s="15">
        <f t="shared" si="5"/>
        <v>-8</v>
      </c>
      <c r="T18" s="15">
        <f t="shared" si="6"/>
        <v>150</v>
      </c>
      <c r="U18" s="41">
        <f t="shared" si="7"/>
        <v>-155.11000000000001</v>
      </c>
      <c r="V18" s="104">
        <f t="shared" si="8"/>
        <v>-3.4622767857143022E-2</v>
      </c>
      <c r="W18" s="85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</row>
    <row r="19" spans="1:54" s="5" customFormat="1" ht="13.2" x14ac:dyDescent="0.25">
      <c r="A19" s="66" t="s">
        <v>158</v>
      </c>
      <c r="B19" s="77" t="s">
        <v>184</v>
      </c>
      <c r="C19" s="18">
        <v>1</v>
      </c>
      <c r="D19" s="45">
        <v>2738.36</v>
      </c>
      <c r="E19" s="15">
        <v>1547</v>
      </c>
      <c r="F19" s="15">
        <v>5555</v>
      </c>
      <c r="G19" s="15">
        <v>99.9</v>
      </c>
      <c r="H19" s="15">
        <v>915</v>
      </c>
      <c r="I19" s="41">
        <f t="shared" si="0"/>
        <v>10855.26</v>
      </c>
      <c r="J19" s="45">
        <v>4245</v>
      </c>
      <c r="K19" s="15">
        <v>2197</v>
      </c>
      <c r="L19" s="15">
        <v>5042</v>
      </c>
      <c r="M19" s="15">
        <v>297</v>
      </c>
      <c r="N19" s="15">
        <v>780</v>
      </c>
      <c r="O19" s="41">
        <f t="shared" si="1"/>
        <v>12561</v>
      </c>
      <c r="P19" s="45">
        <f t="shared" si="2"/>
        <v>-1506.6399999999999</v>
      </c>
      <c r="Q19" s="15">
        <f t="shared" si="3"/>
        <v>-650</v>
      </c>
      <c r="R19" s="15">
        <f t="shared" si="4"/>
        <v>513</v>
      </c>
      <c r="S19" s="15">
        <f t="shared" si="5"/>
        <v>-197.1</v>
      </c>
      <c r="T19" s="15">
        <f t="shared" si="6"/>
        <v>135</v>
      </c>
      <c r="U19" s="41">
        <f t="shared" si="7"/>
        <v>-1705.7399999999998</v>
      </c>
      <c r="V19" s="104">
        <f t="shared" si="8"/>
        <v>-0.13579651301647955</v>
      </c>
      <c r="W19" s="85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</row>
    <row r="20" spans="1:54" s="5" customFormat="1" ht="13.2" x14ac:dyDescent="0.25">
      <c r="A20" s="66" t="s">
        <v>16</v>
      </c>
      <c r="B20" s="77" t="s">
        <v>194</v>
      </c>
      <c r="C20" s="18">
        <v>1</v>
      </c>
      <c r="D20" s="45">
        <v>11339.26</v>
      </c>
      <c r="E20" s="15">
        <v>0</v>
      </c>
      <c r="F20" s="15">
        <v>0</v>
      </c>
      <c r="G20" s="15">
        <v>183.06</v>
      </c>
      <c r="H20" s="15">
        <v>120</v>
      </c>
      <c r="I20" s="41">
        <f t="shared" si="0"/>
        <v>11642.32</v>
      </c>
      <c r="J20" s="45">
        <v>15253</v>
      </c>
      <c r="K20" s="15">
        <v>0</v>
      </c>
      <c r="L20" s="15">
        <v>0</v>
      </c>
      <c r="M20" s="15">
        <v>0</v>
      </c>
      <c r="N20" s="15">
        <v>315</v>
      </c>
      <c r="O20" s="41">
        <f t="shared" si="1"/>
        <v>15568</v>
      </c>
      <c r="P20" s="45">
        <f t="shared" si="2"/>
        <v>-3913.74</v>
      </c>
      <c r="Q20" s="15">
        <f t="shared" si="3"/>
        <v>0</v>
      </c>
      <c r="R20" s="15">
        <f t="shared" si="4"/>
        <v>0</v>
      </c>
      <c r="S20" s="15">
        <f t="shared" si="5"/>
        <v>183.06</v>
      </c>
      <c r="T20" s="15">
        <f t="shared" si="6"/>
        <v>-195</v>
      </c>
      <c r="U20" s="41">
        <f t="shared" si="7"/>
        <v>-3925.68</v>
      </c>
      <c r="V20" s="104">
        <f t="shared" si="8"/>
        <v>-0.25216341212744098</v>
      </c>
      <c r="W20" s="85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</row>
    <row r="21" spans="1:54" s="5" customFormat="1" ht="13.2" x14ac:dyDescent="0.25">
      <c r="A21" s="66" t="s">
        <v>21</v>
      </c>
      <c r="B21" s="77" t="s">
        <v>72</v>
      </c>
      <c r="C21" s="18">
        <v>2</v>
      </c>
      <c r="D21" s="45">
        <v>7784.46</v>
      </c>
      <c r="E21" s="15">
        <v>5335</v>
      </c>
      <c r="F21" s="15">
        <v>275</v>
      </c>
      <c r="G21" s="15">
        <v>1263.26</v>
      </c>
      <c r="H21" s="15">
        <v>3780</v>
      </c>
      <c r="I21" s="41">
        <f t="shared" si="0"/>
        <v>18437.72</v>
      </c>
      <c r="J21" s="45">
        <v>12229</v>
      </c>
      <c r="K21" s="15">
        <v>8090</v>
      </c>
      <c r="L21" s="15">
        <v>504</v>
      </c>
      <c r="M21" s="15">
        <v>93</v>
      </c>
      <c r="N21" s="15">
        <v>5280</v>
      </c>
      <c r="O21" s="41">
        <f t="shared" si="1"/>
        <v>26196</v>
      </c>
      <c r="P21" s="45">
        <f t="shared" si="2"/>
        <v>-4444.54</v>
      </c>
      <c r="Q21" s="15">
        <f t="shared" si="3"/>
        <v>-2755</v>
      </c>
      <c r="R21" s="15">
        <f t="shared" si="4"/>
        <v>-229</v>
      </c>
      <c r="S21" s="15">
        <f t="shared" si="5"/>
        <v>1170.26</v>
      </c>
      <c r="T21" s="15">
        <f t="shared" si="6"/>
        <v>-1500</v>
      </c>
      <c r="U21" s="41">
        <f t="shared" si="7"/>
        <v>-7758.28</v>
      </c>
      <c r="V21" s="104">
        <f t="shared" si="8"/>
        <v>-0.29616277294243387</v>
      </c>
      <c r="W21" s="85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</row>
    <row r="22" spans="1:54" s="5" customFormat="1" ht="13.2" x14ac:dyDescent="0.25">
      <c r="A22" s="66" t="s">
        <v>243</v>
      </c>
      <c r="B22" s="77" t="s">
        <v>82</v>
      </c>
      <c r="C22" s="18">
        <v>2</v>
      </c>
      <c r="D22" s="45">
        <v>20</v>
      </c>
      <c r="E22" s="15">
        <v>50</v>
      </c>
      <c r="F22" s="15">
        <v>0</v>
      </c>
      <c r="G22" s="15">
        <v>15</v>
      </c>
      <c r="H22" s="15">
        <v>0</v>
      </c>
      <c r="I22" s="41">
        <f t="shared" si="0"/>
        <v>85</v>
      </c>
      <c r="J22" s="45">
        <v>9</v>
      </c>
      <c r="K22" s="15">
        <v>318</v>
      </c>
      <c r="L22" s="15">
        <v>0</v>
      </c>
      <c r="M22" s="15">
        <v>0</v>
      </c>
      <c r="N22" s="15">
        <v>0</v>
      </c>
      <c r="O22" s="41">
        <f t="shared" si="1"/>
        <v>327</v>
      </c>
      <c r="P22" s="45">
        <f t="shared" si="2"/>
        <v>11</v>
      </c>
      <c r="Q22" s="15">
        <f t="shared" si="3"/>
        <v>-268</v>
      </c>
      <c r="R22" s="15">
        <f t="shared" si="4"/>
        <v>0</v>
      </c>
      <c r="S22" s="15">
        <f t="shared" si="5"/>
        <v>15</v>
      </c>
      <c r="T22" s="15">
        <f t="shared" si="6"/>
        <v>0</v>
      </c>
      <c r="U22" s="41">
        <f t="shared" si="7"/>
        <v>-242</v>
      </c>
      <c r="V22" s="104">
        <f t="shared" si="8"/>
        <v>-0.74006116207951078</v>
      </c>
      <c r="W22" s="85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</row>
    <row r="23" spans="1:54" s="5" customFormat="1" ht="13.2" x14ac:dyDescent="0.25">
      <c r="A23" s="67" t="s">
        <v>245</v>
      </c>
      <c r="B23" s="77" t="s">
        <v>85</v>
      </c>
      <c r="C23" s="18">
        <v>2</v>
      </c>
      <c r="D23" s="45">
        <v>235.41</v>
      </c>
      <c r="E23" s="15">
        <v>5563</v>
      </c>
      <c r="F23" s="15">
        <v>13699</v>
      </c>
      <c r="G23" s="15">
        <v>0</v>
      </c>
      <c r="H23" s="15">
        <v>4860</v>
      </c>
      <c r="I23" s="41">
        <f t="shared" si="0"/>
        <v>24357.41</v>
      </c>
      <c r="J23" s="45">
        <v>42</v>
      </c>
      <c r="K23" s="15">
        <v>4006</v>
      </c>
      <c r="L23" s="15">
        <v>32</v>
      </c>
      <c r="M23" s="15">
        <v>87</v>
      </c>
      <c r="N23" s="15">
        <v>3345</v>
      </c>
      <c r="O23" s="41">
        <f t="shared" si="1"/>
        <v>7512</v>
      </c>
      <c r="P23" s="45">
        <f t="shared" si="2"/>
        <v>193.41</v>
      </c>
      <c r="Q23" s="15">
        <f t="shared" si="3"/>
        <v>1557</v>
      </c>
      <c r="R23" s="15">
        <f t="shared" si="4"/>
        <v>13667</v>
      </c>
      <c r="S23" s="15">
        <f t="shared" si="5"/>
        <v>-87</v>
      </c>
      <c r="T23" s="15">
        <f t="shared" si="6"/>
        <v>1515</v>
      </c>
      <c r="U23" s="41">
        <f t="shared" si="7"/>
        <v>16845.41</v>
      </c>
      <c r="V23" s="104">
        <f t="shared" si="8"/>
        <v>2.2424667199148032</v>
      </c>
      <c r="W23" s="8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</row>
    <row r="24" spans="1:54" s="5" customFormat="1" ht="26.4" x14ac:dyDescent="0.25">
      <c r="A24" s="66" t="s">
        <v>246</v>
      </c>
      <c r="B24" s="77" t="s">
        <v>86</v>
      </c>
      <c r="C24" s="18">
        <v>2</v>
      </c>
      <c r="D24" s="45">
        <v>0</v>
      </c>
      <c r="E24" s="15">
        <v>0</v>
      </c>
      <c r="F24" s="15">
        <v>0</v>
      </c>
      <c r="G24" s="15">
        <v>0</v>
      </c>
      <c r="H24" s="15">
        <v>0</v>
      </c>
      <c r="I24" s="41">
        <f t="shared" si="0"/>
        <v>0</v>
      </c>
      <c r="J24" s="45">
        <v>55</v>
      </c>
      <c r="K24" s="15">
        <v>3356</v>
      </c>
      <c r="L24" s="15">
        <v>5479</v>
      </c>
      <c r="M24" s="15">
        <v>0</v>
      </c>
      <c r="N24" s="15">
        <v>2505</v>
      </c>
      <c r="O24" s="41">
        <f t="shared" si="1"/>
        <v>11395</v>
      </c>
      <c r="P24" s="45">
        <f t="shared" si="2"/>
        <v>-55</v>
      </c>
      <c r="Q24" s="15">
        <f t="shared" si="3"/>
        <v>-3356</v>
      </c>
      <c r="R24" s="15">
        <f t="shared" si="4"/>
        <v>-5479</v>
      </c>
      <c r="S24" s="15">
        <f t="shared" si="5"/>
        <v>0</v>
      </c>
      <c r="T24" s="15">
        <f t="shared" si="6"/>
        <v>-2505</v>
      </c>
      <c r="U24" s="41">
        <f t="shared" si="7"/>
        <v>-11395</v>
      </c>
      <c r="V24" s="104">
        <f t="shared" si="8"/>
        <v>-1</v>
      </c>
      <c r="W24" s="61" t="s">
        <v>7</v>
      </c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</row>
    <row r="25" spans="1:54" s="5" customFormat="1" ht="13.2" x14ac:dyDescent="0.25">
      <c r="A25" s="66" t="s">
        <v>15</v>
      </c>
      <c r="B25" s="77" t="s">
        <v>214</v>
      </c>
      <c r="C25" s="43">
        <v>2</v>
      </c>
      <c r="D25" s="45">
        <v>2954.33</v>
      </c>
      <c r="E25" s="15">
        <v>1432.5</v>
      </c>
      <c r="F25" s="15">
        <v>0</v>
      </c>
      <c r="G25" s="15">
        <v>0</v>
      </c>
      <c r="H25" s="15">
        <v>840</v>
      </c>
      <c r="I25" s="41">
        <f t="shared" si="0"/>
        <v>5226.83</v>
      </c>
      <c r="J25" s="45">
        <v>0</v>
      </c>
      <c r="K25" s="15">
        <v>0</v>
      </c>
      <c r="L25" s="15">
        <v>0</v>
      </c>
      <c r="M25" s="15">
        <v>0</v>
      </c>
      <c r="N25" s="15">
        <v>0</v>
      </c>
      <c r="O25" s="41">
        <f t="shared" si="1"/>
        <v>0</v>
      </c>
      <c r="P25" s="45">
        <f t="shared" si="2"/>
        <v>2954.33</v>
      </c>
      <c r="Q25" s="15">
        <f t="shared" si="3"/>
        <v>1432.5</v>
      </c>
      <c r="R25" s="15">
        <f t="shared" si="4"/>
        <v>0</v>
      </c>
      <c r="S25" s="15">
        <f t="shared" si="5"/>
        <v>0</v>
      </c>
      <c r="T25" s="15">
        <f t="shared" si="6"/>
        <v>840</v>
      </c>
      <c r="U25" s="41">
        <f t="shared" si="7"/>
        <v>5226.83</v>
      </c>
      <c r="V25" s="104" t="str">
        <f t="shared" si="8"/>
        <v/>
      </c>
      <c r="W25" s="62" t="s">
        <v>198</v>
      </c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</row>
    <row r="26" spans="1:54" s="5" customFormat="1" ht="13.2" x14ac:dyDescent="0.25">
      <c r="A26" s="66" t="s">
        <v>39</v>
      </c>
      <c r="B26" s="77" t="s">
        <v>101</v>
      </c>
      <c r="C26" s="18">
        <v>2</v>
      </c>
      <c r="D26" s="45">
        <v>32</v>
      </c>
      <c r="E26" s="15">
        <v>3201</v>
      </c>
      <c r="F26" s="15">
        <v>19640</v>
      </c>
      <c r="G26" s="15">
        <v>7.9</v>
      </c>
      <c r="H26" s="15">
        <v>1875</v>
      </c>
      <c r="I26" s="41">
        <f t="shared" si="0"/>
        <v>24755.9</v>
      </c>
      <c r="J26" s="45">
        <v>48</v>
      </c>
      <c r="K26" s="15">
        <v>4022</v>
      </c>
      <c r="L26" s="15">
        <v>17514</v>
      </c>
      <c r="M26" s="15">
        <v>63</v>
      </c>
      <c r="N26" s="15">
        <v>1935</v>
      </c>
      <c r="O26" s="41">
        <f t="shared" si="1"/>
        <v>23582</v>
      </c>
      <c r="P26" s="45">
        <f t="shared" si="2"/>
        <v>-16</v>
      </c>
      <c r="Q26" s="15">
        <f t="shared" si="3"/>
        <v>-821</v>
      </c>
      <c r="R26" s="15">
        <f t="shared" si="4"/>
        <v>2126</v>
      </c>
      <c r="S26" s="15">
        <f t="shared" si="5"/>
        <v>-55.1</v>
      </c>
      <c r="T26" s="15">
        <f t="shared" si="6"/>
        <v>-60</v>
      </c>
      <c r="U26" s="41">
        <f t="shared" si="7"/>
        <v>1173.9000000000001</v>
      </c>
      <c r="V26" s="104">
        <f t="shared" si="8"/>
        <v>4.9779492833517125E-2</v>
      </c>
      <c r="W26" s="85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</row>
    <row r="27" spans="1:54" s="5" customFormat="1" ht="13.2" x14ac:dyDescent="0.25">
      <c r="A27" s="66" t="s">
        <v>48</v>
      </c>
      <c r="B27" s="77" t="s">
        <v>111</v>
      </c>
      <c r="C27" s="18">
        <v>2</v>
      </c>
      <c r="D27" s="45">
        <v>1095.58</v>
      </c>
      <c r="E27" s="15">
        <v>2910</v>
      </c>
      <c r="F27" s="15">
        <v>0</v>
      </c>
      <c r="G27" s="15">
        <v>163.98</v>
      </c>
      <c r="H27" s="15">
        <v>0</v>
      </c>
      <c r="I27" s="41">
        <f t="shared" si="0"/>
        <v>4169.5599999999995</v>
      </c>
      <c r="J27" s="45">
        <v>1264</v>
      </c>
      <c r="K27" s="15">
        <v>3054</v>
      </c>
      <c r="L27" s="15">
        <v>0</v>
      </c>
      <c r="M27" s="15">
        <v>148</v>
      </c>
      <c r="N27" s="15">
        <v>255</v>
      </c>
      <c r="O27" s="41">
        <f t="shared" si="1"/>
        <v>4721</v>
      </c>
      <c r="P27" s="45">
        <f t="shared" si="2"/>
        <v>-168.42000000000007</v>
      </c>
      <c r="Q27" s="15">
        <f t="shared" si="3"/>
        <v>-144</v>
      </c>
      <c r="R27" s="15">
        <f t="shared" si="4"/>
        <v>0</v>
      </c>
      <c r="S27" s="15">
        <f t="shared" si="5"/>
        <v>15.97999999999999</v>
      </c>
      <c r="T27" s="15">
        <f t="shared" si="6"/>
        <v>-255</v>
      </c>
      <c r="U27" s="41">
        <f t="shared" si="7"/>
        <v>-551.44000000000005</v>
      </c>
      <c r="V27" s="104">
        <f t="shared" si="8"/>
        <v>-0.11680576149120958</v>
      </c>
      <c r="W27" s="85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</row>
    <row r="28" spans="1:54" s="5" customFormat="1" ht="13.2" x14ac:dyDescent="0.25">
      <c r="A28" s="66" t="s">
        <v>51</v>
      </c>
      <c r="B28" s="77" t="s">
        <v>114</v>
      </c>
      <c r="C28" s="18">
        <v>2</v>
      </c>
      <c r="D28" s="45">
        <v>1548.2</v>
      </c>
      <c r="E28" s="15">
        <v>2010</v>
      </c>
      <c r="F28" s="15">
        <v>9022.5</v>
      </c>
      <c r="G28" s="15">
        <v>168.6</v>
      </c>
      <c r="H28" s="15">
        <v>1755</v>
      </c>
      <c r="I28" s="41">
        <f t="shared" si="0"/>
        <v>14504.300000000001</v>
      </c>
      <c r="J28" s="45">
        <v>1742</v>
      </c>
      <c r="K28" s="15">
        <v>2201</v>
      </c>
      <c r="L28" s="15">
        <v>6486</v>
      </c>
      <c r="M28" s="15">
        <v>449</v>
      </c>
      <c r="N28" s="15">
        <v>1320</v>
      </c>
      <c r="O28" s="41">
        <f t="shared" si="1"/>
        <v>12198</v>
      </c>
      <c r="P28" s="45">
        <f t="shared" si="2"/>
        <v>-193.79999999999995</v>
      </c>
      <c r="Q28" s="15">
        <f t="shared" si="3"/>
        <v>-191</v>
      </c>
      <c r="R28" s="15">
        <f t="shared" si="4"/>
        <v>2536.5</v>
      </c>
      <c r="S28" s="15">
        <f t="shared" si="5"/>
        <v>-280.39999999999998</v>
      </c>
      <c r="T28" s="15">
        <f t="shared" si="6"/>
        <v>435</v>
      </c>
      <c r="U28" s="41">
        <f t="shared" si="7"/>
        <v>2306.2999999999997</v>
      </c>
      <c r="V28" s="104">
        <f t="shared" si="8"/>
        <v>0.18907197901295314</v>
      </c>
      <c r="W28" s="85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</row>
    <row r="29" spans="1:54" s="5" customFormat="1" ht="13.2" x14ac:dyDescent="0.25">
      <c r="A29" s="66" t="s">
        <v>52</v>
      </c>
      <c r="B29" s="77" t="s">
        <v>115</v>
      </c>
      <c r="C29" s="18">
        <v>2</v>
      </c>
      <c r="D29" s="45">
        <v>2545.7399999999998</v>
      </c>
      <c r="E29" s="15">
        <v>5605</v>
      </c>
      <c r="F29" s="15">
        <v>37261.68</v>
      </c>
      <c r="G29" s="15">
        <v>467.53</v>
      </c>
      <c r="H29" s="15">
        <v>8238</v>
      </c>
      <c r="I29" s="41">
        <f t="shared" si="0"/>
        <v>54117.95</v>
      </c>
      <c r="J29" s="45">
        <v>3414</v>
      </c>
      <c r="K29" s="15">
        <v>7465</v>
      </c>
      <c r="L29" s="15">
        <v>39628</v>
      </c>
      <c r="M29" s="15">
        <v>243</v>
      </c>
      <c r="N29" s="15">
        <v>8760</v>
      </c>
      <c r="O29" s="41">
        <f t="shared" si="1"/>
        <v>59510</v>
      </c>
      <c r="P29" s="45">
        <f t="shared" si="2"/>
        <v>-868.26000000000022</v>
      </c>
      <c r="Q29" s="15">
        <f t="shared" si="3"/>
        <v>-1860</v>
      </c>
      <c r="R29" s="15">
        <f t="shared" si="4"/>
        <v>-2366.3199999999997</v>
      </c>
      <c r="S29" s="15">
        <f t="shared" si="5"/>
        <v>224.52999999999997</v>
      </c>
      <c r="T29" s="15">
        <f t="shared" si="6"/>
        <v>-522</v>
      </c>
      <c r="U29" s="41">
        <f t="shared" si="7"/>
        <v>-5392.05</v>
      </c>
      <c r="V29" s="104">
        <f t="shared" si="8"/>
        <v>-9.0607460930936079E-2</v>
      </c>
      <c r="W29" s="85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</row>
    <row r="30" spans="1:54" s="5" customFormat="1" ht="13.2" x14ac:dyDescent="0.25">
      <c r="A30" s="66" t="s">
        <v>63</v>
      </c>
      <c r="B30" s="77" t="s">
        <v>127</v>
      </c>
      <c r="C30" s="18">
        <v>2</v>
      </c>
      <c r="D30" s="45">
        <v>254</v>
      </c>
      <c r="E30" s="15">
        <v>16114</v>
      </c>
      <c r="F30" s="15">
        <v>14841</v>
      </c>
      <c r="G30" s="15">
        <v>82.15</v>
      </c>
      <c r="H30" s="15">
        <v>4840</v>
      </c>
      <c r="I30" s="41">
        <f t="shared" si="0"/>
        <v>36131.15</v>
      </c>
      <c r="J30" s="45">
        <v>241</v>
      </c>
      <c r="K30" s="15">
        <v>28902</v>
      </c>
      <c r="L30" s="15">
        <v>13441</v>
      </c>
      <c r="M30" s="15">
        <v>26</v>
      </c>
      <c r="N30" s="15">
        <v>5040</v>
      </c>
      <c r="O30" s="41">
        <f t="shared" si="1"/>
        <v>47650</v>
      </c>
      <c r="P30" s="45">
        <f t="shared" si="2"/>
        <v>13</v>
      </c>
      <c r="Q30" s="15">
        <f t="shared" si="3"/>
        <v>-12788</v>
      </c>
      <c r="R30" s="15">
        <f t="shared" si="4"/>
        <v>1400</v>
      </c>
      <c r="S30" s="15">
        <f t="shared" si="5"/>
        <v>56.150000000000006</v>
      </c>
      <c r="T30" s="15">
        <f t="shared" si="6"/>
        <v>-200</v>
      </c>
      <c r="U30" s="41">
        <f t="shared" si="7"/>
        <v>-11518.85</v>
      </c>
      <c r="V30" s="104">
        <f t="shared" si="8"/>
        <v>-0.24173871983210915</v>
      </c>
      <c r="W30" s="85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</row>
    <row r="31" spans="1:54" s="5" customFormat="1" ht="13.2" x14ac:dyDescent="0.25">
      <c r="A31" s="66" t="s">
        <v>229</v>
      </c>
      <c r="B31" s="77" t="s">
        <v>129</v>
      </c>
      <c r="C31" s="18">
        <v>2</v>
      </c>
      <c r="D31" s="45">
        <v>102</v>
      </c>
      <c r="E31" s="15">
        <v>3030</v>
      </c>
      <c r="F31" s="15">
        <v>14089</v>
      </c>
      <c r="G31" s="15">
        <v>2165</v>
      </c>
      <c r="H31" s="15">
        <v>2080</v>
      </c>
      <c r="I31" s="41">
        <f t="shared" si="0"/>
        <v>21466</v>
      </c>
      <c r="J31" s="45">
        <v>121</v>
      </c>
      <c r="K31" s="15">
        <v>4410</v>
      </c>
      <c r="L31" s="15">
        <v>13028</v>
      </c>
      <c r="M31" s="15">
        <v>1346</v>
      </c>
      <c r="N31" s="15">
        <v>3100</v>
      </c>
      <c r="O31" s="41">
        <f t="shared" si="1"/>
        <v>22005</v>
      </c>
      <c r="P31" s="45">
        <f t="shared" si="2"/>
        <v>-19</v>
      </c>
      <c r="Q31" s="15">
        <f t="shared" si="3"/>
        <v>-1380</v>
      </c>
      <c r="R31" s="15">
        <f t="shared" si="4"/>
        <v>1061</v>
      </c>
      <c r="S31" s="15">
        <f t="shared" si="5"/>
        <v>819</v>
      </c>
      <c r="T31" s="15">
        <f t="shared" si="6"/>
        <v>-1020</v>
      </c>
      <c r="U31" s="41">
        <f t="shared" si="7"/>
        <v>-539</v>
      </c>
      <c r="V31" s="104">
        <f t="shared" si="8"/>
        <v>-2.4494433083390166E-2</v>
      </c>
      <c r="W31" s="85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</row>
    <row r="32" spans="1:54" s="5" customFormat="1" ht="13.2" x14ac:dyDescent="0.25">
      <c r="A32" s="66" t="s">
        <v>2</v>
      </c>
      <c r="B32" s="77" t="s">
        <v>138</v>
      </c>
      <c r="C32" s="18">
        <v>2</v>
      </c>
      <c r="D32" s="45">
        <v>880.63</v>
      </c>
      <c r="E32" s="15">
        <v>138</v>
      </c>
      <c r="F32" s="15">
        <v>8798.26</v>
      </c>
      <c r="G32" s="15">
        <v>90.35</v>
      </c>
      <c r="H32" s="15">
        <v>435</v>
      </c>
      <c r="I32" s="41">
        <f t="shared" si="0"/>
        <v>10342.24</v>
      </c>
      <c r="J32" s="45">
        <v>1727</v>
      </c>
      <c r="K32" s="15">
        <v>482</v>
      </c>
      <c r="L32" s="15">
        <v>12409</v>
      </c>
      <c r="M32" s="15">
        <v>191</v>
      </c>
      <c r="N32" s="15">
        <v>870</v>
      </c>
      <c r="O32" s="41">
        <f t="shared" si="1"/>
        <v>15679</v>
      </c>
      <c r="P32" s="45">
        <f t="shared" si="2"/>
        <v>-846.37</v>
      </c>
      <c r="Q32" s="15">
        <f t="shared" si="3"/>
        <v>-344</v>
      </c>
      <c r="R32" s="15">
        <f t="shared" si="4"/>
        <v>-3610.74</v>
      </c>
      <c r="S32" s="15">
        <f t="shared" si="5"/>
        <v>-100.65</v>
      </c>
      <c r="T32" s="15">
        <f t="shared" si="6"/>
        <v>-435</v>
      </c>
      <c r="U32" s="41">
        <f t="shared" si="7"/>
        <v>-5336.7599999999993</v>
      </c>
      <c r="V32" s="104">
        <f t="shared" si="8"/>
        <v>-0.34037629950889725</v>
      </c>
      <c r="W32" s="85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</row>
    <row r="33" spans="1:54" s="5" customFormat="1" ht="13.2" x14ac:dyDescent="0.25">
      <c r="A33" s="66" t="s">
        <v>10</v>
      </c>
      <c r="B33" s="77" t="s">
        <v>146</v>
      </c>
      <c r="C33" s="18">
        <v>2</v>
      </c>
      <c r="D33" s="45">
        <v>0</v>
      </c>
      <c r="E33" s="15">
        <v>0</v>
      </c>
      <c r="F33" s="15">
        <v>0</v>
      </c>
      <c r="G33" s="15">
        <v>0</v>
      </c>
      <c r="H33" s="15">
        <v>0</v>
      </c>
      <c r="I33" s="41">
        <f t="shared" si="0"/>
        <v>0</v>
      </c>
      <c r="J33" s="45">
        <v>-5</v>
      </c>
      <c r="K33" s="15">
        <v>0</v>
      </c>
      <c r="L33" s="15">
        <v>3</v>
      </c>
      <c r="M33" s="15">
        <v>0</v>
      </c>
      <c r="N33" s="15">
        <v>0</v>
      </c>
      <c r="O33" s="41">
        <f t="shared" si="1"/>
        <v>-2</v>
      </c>
      <c r="P33" s="45">
        <f t="shared" si="2"/>
        <v>5</v>
      </c>
      <c r="Q33" s="15">
        <f t="shared" si="3"/>
        <v>0</v>
      </c>
      <c r="R33" s="15">
        <f t="shared" si="4"/>
        <v>-3</v>
      </c>
      <c r="S33" s="15">
        <f t="shared" si="5"/>
        <v>0</v>
      </c>
      <c r="T33" s="15">
        <f t="shared" si="6"/>
        <v>0</v>
      </c>
      <c r="U33" s="41">
        <f t="shared" si="7"/>
        <v>2</v>
      </c>
      <c r="V33" s="104">
        <f t="shared" si="8"/>
        <v>-1</v>
      </c>
      <c r="W33" s="85" t="s">
        <v>251</v>
      </c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</row>
    <row r="34" spans="1:54" s="5" customFormat="1" ht="13.2" x14ac:dyDescent="0.25">
      <c r="A34" s="66" t="s">
        <v>235</v>
      </c>
      <c r="B34" s="77" t="s">
        <v>170</v>
      </c>
      <c r="C34" s="18">
        <v>2</v>
      </c>
      <c r="D34" s="45">
        <v>726.6</v>
      </c>
      <c r="E34" s="15">
        <v>4644</v>
      </c>
      <c r="F34" s="15">
        <v>19264</v>
      </c>
      <c r="G34" s="15">
        <v>20.95</v>
      </c>
      <c r="H34" s="15">
        <v>3105</v>
      </c>
      <c r="I34" s="41">
        <f t="shared" si="0"/>
        <v>27760.55</v>
      </c>
      <c r="J34" s="45">
        <v>761</v>
      </c>
      <c r="K34" s="15">
        <v>6304</v>
      </c>
      <c r="L34" s="15">
        <v>17978</v>
      </c>
      <c r="M34" s="15">
        <v>8</v>
      </c>
      <c r="N34" s="15">
        <v>3655</v>
      </c>
      <c r="O34" s="41">
        <f t="shared" si="1"/>
        <v>28706</v>
      </c>
      <c r="P34" s="45">
        <f t="shared" si="2"/>
        <v>-34.399999999999977</v>
      </c>
      <c r="Q34" s="15">
        <f t="shared" si="3"/>
        <v>-1660</v>
      </c>
      <c r="R34" s="15">
        <f t="shared" si="4"/>
        <v>1286</v>
      </c>
      <c r="S34" s="15">
        <f t="shared" si="5"/>
        <v>12.95</v>
      </c>
      <c r="T34" s="15">
        <f t="shared" si="6"/>
        <v>-550</v>
      </c>
      <c r="U34" s="41">
        <f t="shared" si="7"/>
        <v>-945.45</v>
      </c>
      <c r="V34" s="104">
        <f t="shared" si="8"/>
        <v>-3.2935623214658927E-2</v>
      </c>
      <c r="W34" s="85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</row>
    <row r="35" spans="1:54" s="5" customFormat="1" ht="13.2" x14ac:dyDescent="0.25">
      <c r="A35" s="66" t="s">
        <v>25</v>
      </c>
      <c r="B35" s="77" t="s">
        <v>76</v>
      </c>
      <c r="C35" s="18">
        <v>3</v>
      </c>
      <c r="D35" s="45">
        <v>9</v>
      </c>
      <c r="E35" s="15">
        <v>277</v>
      </c>
      <c r="F35" s="15">
        <v>336</v>
      </c>
      <c r="G35" s="15">
        <v>0</v>
      </c>
      <c r="H35" s="15">
        <v>120</v>
      </c>
      <c r="I35" s="41">
        <f t="shared" si="0"/>
        <v>742</v>
      </c>
      <c r="J35" s="45">
        <v>6</v>
      </c>
      <c r="K35" s="15">
        <v>744</v>
      </c>
      <c r="L35" s="15">
        <v>1042</v>
      </c>
      <c r="M35" s="15">
        <v>0</v>
      </c>
      <c r="N35" s="15">
        <v>1230</v>
      </c>
      <c r="O35" s="41">
        <f t="shared" si="1"/>
        <v>3022</v>
      </c>
      <c r="P35" s="45">
        <f t="shared" si="2"/>
        <v>3</v>
      </c>
      <c r="Q35" s="15">
        <f t="shared" si="3"/>
        <v>-467</v>
      </c>
      <c r="R35" s="15">
        <f t="shared" si="4"/>
        <v>-706</v>
      </c>
      <c r="S35" s="15">
        <f t="shared" si="5"/>
        <v>0</v>
      </c>
      <c r="T35" s="15">
        <f t="shared" si="6"/>
        <v>-1110</v>
      </c>
      <c r="U35" s="41">
        <f t="shared" si="7"/>
        <v>-2280</v>
      </c>
      <c r="V35" s="104">
        <f t="shared" si="8"/>
        <v>-0.75446724023825285</v>
      </c>
      <c r="W35" s="85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</row>
    <row r="36" spans="1:54" s="5" customFormat="1" ht="13.2" x14ac:dyDescent="0.25">
      <c r="A36" s="66" t="s">
        <v>244</v>
      </c>
      <c r="B36" s="77" t="s">
        <v>83</v>
      </c>
      <c r="C36" s="18">
        <v>3</v>
      </c>
      <c r="D36" s="45">
        <v>2132.92</v>
      </c>
      <c r="E36" s="15">
        <v>5319</v>
      </c>
      <c r="F36" s="15">
        <v>9015</v>
      </c>
      <c r="G36" s="15">
        <v>1184.76</v>
      </c>
      <c r="H36" s="15">
        <v>6880</v>
      </c>
      <c r="I36" s="41">
        <f t="shared" si="0"/>
        <v>24531.679999999997</v>
      </c>
      <c r="J36" s="45">
        <v>1424</v>
      </c>
      <c r="K36" s="15">
        <v>9839</v>
      </c>
      <c r="L36" s="15">
        <v>9832</v>
      </c>
      <c r="M36" s="15">
        <v>131</v>
      </c>
      <c r="N36" s="15">
        <v>11485</v>
      </c>
      <c r="O36" s="41">
        <f t="shared" si="1"/>
        <v>32711</v>
      </c>
      <c r="P36" s="45">
        <f t="shared" si="2"/>
        <v>708.92000000000007</v>
      </c>
      <c r="Q36" s="15">
        <f t="shared" si="3"/>
        <v>-4520</v>
      </c>
      <c r="R36" s="15">
        <f t="shared" si="4"/>
        <v>-817</v>
      </c>
      <c r="S36" s="15">
        <f t="shared" si="5"/>
        <v>1053.76</v>
      </c>
      <c r="T36" s="15">
        <f t="shared" si="6"/>
        <v>-4605</v>
      </c>
      <c r="U36" s="41">
        <f t="shared" si="7"/>
        <v>-8179.32</v>
      </c>
      <c r="V36" s="104">
        <f t="shared" si="8"/>
        <v>-0.25004799608694328</v>
      </c>
      <c r="W36" s="85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</row>
    <row r="37" spans="1:54" s="5" customFormat="1" ht="13.2" x14ac:dyDescent="0.25">
      <c r="A37" s="66" t="s">
        <v>247</v>
      </c>
      <c r="B37" s="77" t="s">
        <v>87</v>
      </c>
      <c r="C37" s="18">
        <v>3</v>
      </c>
      <c r="D37" s="45">
        <v>18</v>
      </c>
      <c r="E37" s="15">
        <v>1021.7</v>
      </c>
      <c r="F37" s="15">
        <v>2256</v>
      </c>
      <c r="G37" s="15">
        <v>0</v>
      </c>
      <c r="H37" s="15">
        <v>1590</v>
      </c>
      <c r="I37" s="41">
        <f t="shared" si="0"/>
        <v>4885.7</v>
      </c>
      <c r="J37" s="45">
        <v>54</v>
      </c>
      <c r="K37" s="15">
        <v>2349</v>
      </c>
      <c r="L37" s="15">
        <v>5339</v>
      </c>
      <c r="M37" s="15">
        <v>20</v>
      </c>
      <c r="N37" s="15">
        <v>1800</v>
      </c>
      <c r="O37" s="41">
        <f t="shared" si="1"/>
        <v>9562</v>
      </c>
      <c r="P37" s="45">
        <f t="shared" si="2"/>
        <v>-36</v>
      </c>
      <c r="Q37" s="15">
        <f t="shared" si="3"/>
        <v>-1327.3</v>
      </c>
      <c r="R37" s="15">
        <f t="shared" si="4"/>
        <v>-3083</v>
      </c>
      <c r="S37" s="15">
        <f t="shared" si="5"/>
        <v>-20</v>
      </c>
      <c r="T37" s="15">
        <f t="shared" si="6"/>
        <v>-210</v>
      </c>
      <c r="U37" s="41">
        <f t="shared" si="7"/>
        <v>-4676.3</v>
      </c>
      <c r="V37" s="104">
        <f t="shared" si="8"/>
        <v>-0.48905040786446352</v>
      </c>
      <c r="W37" s="85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</row>
    <row r="38" spans="1:54" s="5" customFormat="1" ht="13.2" x14ac:dyDescent="0.25">
      <c r="A38" s="66" t="s">
        <v>36</v>
      </c>
      <c r="B38" s="77" t="s">
        <v>96</v>
      </c>
      <c r="C38" s="18">
        <v>3</v>
      </c>
      <c r="D38" s="45">
        <v>397.5</v>
      </c>
      <c r="E38" s="15">
        <v>4856</v>
      </c>
      <c r="F38" s="15">
        <v>2928</v>
      </c>
      <c r="G38" s="15">
        <v>0</v>
      </c>
      <c r="H38" s="15">
        <v>2895</v>
      </c>
      <c r="I38" s="41">
        <f t="shared" ref="I38:I69" si="9">SUM(D38:H38)</f>
        <v>11076.5</v>
      </c>
      <c r="J38" s="45">
        <v>540</v>
      </c>
      <c r="K38" s="15">
        <v>13123</v>
      </c>
      <c r="L38" s="15">
        <v>7611</v>
      </c>
      <c r="M38" s="15">
        <v>5</v>
      </c>
      <c r="N38" s="15">
        <v>7020</v>
      </c>
      <c r="O38" s="41">
        <f t="shared" ref="O38:O69" si="10">SUM(J38:N38)</f>
        <v>28299</v>
      </c>
      <c r="P38" s="45">
        <f t="shared" ref="P38:P69" si="11">+D38-J38</f>
        <v>-142.5</v>
      </c>
      <c r="Q38" s="15">
        <f t="shared" ref="Q38:Q69" si="12">+E38-K38</f>
        <v>-8267</v>
      </c>
      <c r="R38" s="15">
        <f t="shared" ref="R38:R69" si="13">+F38-L38</f>
        <v>-4683</v>
      </c>
      <c r="S38" s="15">
        <f t="shared" ref="S38:S69" si="14">+G38-M38</f>
        <v>-5</v>
      </c>
      <c r="T38" s="15">
        <f t="shared" ref="T38:T69" si="15">+H38-N38</f>
        <v>-4125</v>
      </c>
      <c r="U38" s="41">
        <f t="shared" ref="U38:U69" si="16">SUM(P38:T38)</f>
        <v>-17222.5</v>
      </c>
      <c r="V38" s="104">
        <f t="shared" ref="V38:V69" si="17">IF(O38=0,"",I38/O38-1)</f>
        <v>-0.60859040955510801</v>
      </c>
      <c r="W38" s="85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</row>
    <row r="39" spans="1:54" s="5" customFormat="1" ht="13.2" x14ac:dyDescent="0.25">
      <c r="A39" s="66" t="s">
        <v>227</v>
      </c>
      <c r="B39" s="77" t="s">
        <v>98</v>
      </c>
      <c r="C39" s="18">
        <v>3</v>
      </c>
      <c r="D39" s="45">
        <v>528.49</v>
      </c>
      <c r="E39" s="15">
        <v>0</v>
      </c>
      <c r="F39" s="15">
        <v>0</v>
      </c>
      <c r="G39" s="15">
        <v>39</v>
      </c>
      <c r="H39" s="15">
        <v>0</v>
      </c>
      <c r="I39" s="41">
        <f t="shared" si="9"/>
        <v>567.49</v>
      </c>
      <c r="J39" s="45">
        <v>816</v>
      </c>
      <c r="K39" s="15">
        <v>0</v>
      </c>
      <c r="L39" s="15">
        <v>0</v>
      </c>
      <c r="M39" s="15">
        <v>104</v>
      </c>
      <c r="N39" s="15">
        <v>60</v>
      </c>
      <c r="O39" s="41">
        <f t="shared" si="10"/>
        <v>980</v>
      </c>
      <c r="P39" s="45">
        <f t="shared" si="11"/>
        <v>-287.51</v>
      </c>
      <c r="Q39" s="15">
        <f t="shared" si="12"/>
        <v>0</v>
      </c>
      <c r="R39" s="15">
        <f t="shared" si="13"/>
        <v>0</v>
      </c>
      <c r="S39" s="15">
        <f t="shared" si="14"/>
        <v>-65</v>
      </c>
      <c r="T39" s="15">
        <f t="shared" si="15"/>
        <v>-60</v>
      </c>
      <c r="U39" s="41">
        <f t="shared" si="16"/>
        <v>-412.51</v>
      </c>
      <c r="V39" s="104">
        <f t="shared" si="17"/>
        <v>-0.42092857142857143</v>
      </c>
      <c r="W39" s="85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</row>
    <row r="40" spans="1:54" s="5" customFormat="1" ht="13.2" x14ac:dyDescent="0.25">
      <c r="A40" s="66" t="s">
        <v>225</v>
      </c>
      <c r="B40" s="77" t="s">
        <v>97</v>
      </c>
      <c r="C40" s="18">
        <v>3</v>
      </c>
      <c r="D40" s="45">
        <v>8870.3700000000008</v>
      </c>
      <c r="E40" s="15">
        <v>1151.8499999999999</v>
      </c>
      <c r="F40" s="15">
        <v>3882.16</v>
      </c>
      <c r="G40" s="15">
        <v>168</v>
      </c>
      <c r="H40" s="15">
        <v>885</v>
      </c>
      <c r="I40" s="41">
        <f t="shared" si="9"/>
        <v>14957.380000000001</v>
      </c>
      <c r="J40" s="45">
        <v>8216</v>
      </c>
      <c r="K40" s="15">
        <v>2504</v>
      </c>
      <c r="L40" s="15">
        <v>4227</v>
      </c>
      <c r="M40" s="15">
        <v>32</v>
      </c>
      <c r="N40" s="15">
        <v>2280</v>
      </c>
      <c r="O40" s="41">
        <f t="shared" si="10"/>
        <v>17259</v>
      </c>
      <c r="P40" s="45">
        <f t="shared" si="11"/>
        <v>654.3700000000008</v>
      </c>
      <c r="Q40" s="15">
        <f t="shared" si="12"/>
        <v>-1352.15</v>
      </c>
      <c r="R40" s="15">
        <f t="shared" si="13"/>
        <v>-344.84000000000015</v>
      </c>
      <c r="S40" s="15">
        <f t="shared" si="14"/>
        <v>136</v>
      </c>
      <c r="T40" s="15">
        <f t="shared" si="15"/>
        <v>-1395</v>
      </c>
      <c r="U40" s="41">
        <f t="shared" si="16"/>
        <v>-2301.6199999999994</v>
      </c>
      <c r="V40" s="104">
        <f t="shared" si="17"/>
        <v>-0.13335766846283093</v>
      </c>
      <c r="W40" s="85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</row>
    <row r="41" spans="1:54" s="33" customFormat="1" ht="13.2" x14ac:dyDescent="0.25">
      <c r="A41" s="66" t="s">
        <v>38</v>
      </c>
      <c r="B41" s="77" t="s">
        <v>100</v>
      </c>
      <c r="C41" s="18">
        <v>3</v>
      </c>
      <c r="D41" s="45">
        <v>153.78</v>
      </c>
      <c r="E41" s="15">
        <v>3015</v>
      </c>
      <c r="F41" s="15">
        <v>2163</v>
      </c>
      <c r="G41" s="15">
        <v>0</v>
      </c>
      <c r="H41" s="15">
        <v>1585</v>
      </c>
      <c r="I41" s="41">
        <f t="shared" si="9"/>
        <v>6916.7800000000007</v>
      </c>
      <c r="J41" s="45">
        <v>125</v>
      </c>
      <c r="K41" s="15">
        <v>2753</v>
      </c>
      <c r="L41" s="15">
        <v>4310</v>
      </c>
      <c r="M41" s="15">
        <v>0</v>
      </c>
      <c r="N41" s="15">
        <v>1230</v>
      </c>
      <c r="O41" s="41">
        <f t="shared" si="10"/>
        <v>8418</v>
      </c>
      <c r="P41" s="45">
        <f t="shared" si="11"/>
        <v>28.78</v>
      </c>
      <c r="Q41" s="15">
        <f t="shared" si="12"/>
        <v>262</v>
      </c>
      <c r="R41" s="15">
        <f t="shared" si="13"/>
        <v>-2147</v>
      </c>
      <c r="S41" s="15">
        <f t="shared" si="14"/>
        <v>0</v>
      </c>
      <c r="T41" s="15">
        <f t="shared" si="15"/>
        <v>355</v>
      </c>
      <c r="U41" s="41">
        <f t="shared" si="16"/>
        <v>-1501.22</v>
      </c>
      <c r="V41" s="104">
        <f t="shared" si="17"/>
        <v>-0.1783345212639581</v>
      </c>
      <c r="W41" s="85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</row>
    <row r="42" spans="1:54" s="5" customFormat="1" ht="13.2" x14ac:dyDescent="0.25">
      <c r="A42" s="66" t="s">
        <v>40</v>
      </c>
      <c r="B42" s="77" t="s">
        <v>103</v>
      </c>
      <c r="C42" s="18">
        <v>3</v>
      </c>
      <c r="D42" s="45">
        <v>0</v>
      </c>
      <c r="E42" s="15">
        <v>63</v>
      </c>
      <c r="F42" s="15">
        <v>0</v>
      </c>
      <c r="G42" s="15">
        <v>135</v>
      </c>
      <c r="H42" s="15">
        <v>0</v>
      </c>
      <c r="I42" s="41">
        <f t="shared" si="9"/>
        <v>198</v>
      </c>
      <c r="J42" s="45">
        <v>0</v>
      </c>
      <c r="K42" s="15">
        <v>159</v>
      </c>
      <c r="L42" s="15">
        <v>50</v>
      </c>
      <c r="M42" s="15">
        <v>0</v>
      </c>
      <c r="N42" s="15">
        <v>0</v>
      </c>
      <c r="O42" s="41">
        <f t="shared" si="10"/>
        <v>209</v>
      </c>
      <c r="P42" s="45">
        <f t="shared" si="11"/>
        <v>0</v>
      </c>
      <c r="Q42" s="15">
        <f t="shared" si="12"/>
        <v>-96</v>
      </c>
      <c r="R42" s="15">
        <f t="shared" si="13"/>
        <v>-50</v>
      </c>
      <c r="S42" s="15">
        <f t="shared" si="14"/>
        <v>135</v>
      </c>
      <c r="T42" s="15">
        <f t="shared" si="15"/>
        <v>0</v>
      </c>
      <c r="U42" s="41">
        <f t="shared" si="16"/>
        <v>-11</v>
      </c>
      <c r="V42" s="104">
        <f t="shared" si="17"/>
        <v>-5.2631578947368474E-2</v>
      </c>
      <c r="W42" s="85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</row>
    <row r="43" spans="1:54" s="5" customFormat="1" ht="13.2" x14ac:dyDescent="0.25">
      <c r="A43" s="66" t="s">
        <v>45</v>
      </c>
      <c r="B43" s="77" t="s">
        <v>108</v>
      </c>
      <c r="C43" s="18">
        <v>3</v>
      </c>
      <c r="D43" s="45">
        <v>8</v>
      </c>
      <c r="E43" s="15">
        <v>1099</v>
      </c>
      <c r="F43" s="15">
        <v>3943.5</v>
      </c>
      <c r="G43" s="15">
        <v>1003.95</v>
      </c>
      <c r="H43" s="15">
        <v>615</v>
      </c>
      <c r="I43" s="41">
        <f t="shared" si="9"/>
        <v>6669.45</v>
      </c>
      <c r="J43" s="45">
        <v>624</v>
      </c>
      <c r="K43" s="15">
        <v>1999</v>
      </c>
      <c r="L43" s="15">
        <v>4400</v>
      </c>
      <c r="M43" s="15">
        <v>14</v>
      </c>
      <c r="N43" s="15">
        <v>730</v>
      </c>
      <c r="O43" s="41">
        <f t="shared" si="10"/>
        <v>7767</v>
      </c>
      <c r="P43" s="45">
        <f t="shared" si="11"/>
        <v>-616</v>
      </c>
      <c r="Q43" s="15">
        <f t="shared" si="12"/>
        <v>-900</v>
      </c>
      <c r="R43" s="15">
        <f t="shared" si="13"/>
        <v>-456.5</v>
      </c>
      <c r="S43" s="15">
        <f t="shared" si="14"/>
        <v>989.95</v>
      </c>
      <c r="T43" s="15">
        <f t="shared" si="15"/>
        <v>-115</v>
      </c>
      <c r="U43" s="41">
        <f t="shared" si="16"/>
        <v>-1097.55</v>
      </c>
      <c r="V43" s="104">
        <f t="shared" si="17"/>
        <v>-0.14130938586326769</v>
      </c>
      <c r="W43" s="85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</row>
    <row r="44" spans="1:54" s="5" customFormat="1" ht="13.2" x14ac:dyDescent="0.25">
      <c r="A44" s="66" t="s">
        <v>232</v>
      </c>
      <c r="B44" s="77" t="s">
        <v>132</v>
      </c>
      <c r="C44" s="18">
        <v>3</v>
      </c>
      <c r="D44" s="45">
        <v>797</v>
      </c>
      <c r="E44" s="15">
        <v>2048</v>
      </c>
      <c r="F44" s="15">
        <v>3041</v>
      </c>
      <c r="G44" s="15">
        <v>0</v>
      </c>
      <c r="H44" s="15">
        <v>2665</v>
      </c>
      <c r="I44" s="41">
        <f t="shared" si="9"/>
        <v>8551</v>
      </c>
      <c r="J44" s="45">
        <v>2380</v>
      </c>
      <c r="K44" s="15">
        <v>6711</v>
      </c>
      <c r="L44" s="15">
        <v>7557</v>
      </c>
      <c r="M44" s="15">
        <v>859</v>
      </c>
      <c r="N44" s="15">
        <v>5205</v>
      </c>
      <c r="O44" s="41">
        <f t="shared" si="10"/>
        <v>22712</v>
      </c>
      <c r="P44" s="45">
        <f t="shared" si="11"/>
        <v>-1583</v>
      </c>
      <c r="Q44" s="15">
        <f t="shared" si="12"/>
        <v>-4663</v>
      </c>
      <c r="R44" s="15">
        <f t="shared" si="13"/>
        <v>-4516</v>
      </c>
      <c r="S44" s="15">
        <f t="shared" si="14"/>
        <v>-859</v>
      </c>
      <c r="T44" s="15">
        <f t="shared" si="15"/>
        <v>-2540</v>
      </c>
      <c r="U44" s="41">
        <f t="shared" si="16"/>
        <v>-14161</v>
      </c>
      <c r="V44" s="104">
        <f t="shared" si="17"/>
        <v>-0.62350299401197606</v>
      </c>
      <c r="W44" s="85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</row>
    <row r="45" spans="1:54" s="5" customFormat="1" ht="13.2" x14ac:dyDescent="0.25">
      <c r="A45" s="66" t="s">
        <v>1</v>
      </c>
      <c r="B45" s="77" t="s">
        <v>137</v>
      </c>
      <c r="C45" s="18">
        <v>3</v>
      </c>
      <c r="D45" s="45">
        <v>321.22000000000003</v>
      </c>
      <c r="E45" s="15">
        <v>1032</v>
      </c>
      <c r="F45" s="15">
        <v>3027.5</v>
      </c>
      <c r="G45" s="15">
        <v>0</v>
      </c>
      <c r="H45" s="15">
        <v>525</v>
      </c>
      <c r="I45" s="41">
        <f t="shared" si="9"/>
        <v>4905.72</v>
      </c>
      <c r="J45" s="45">
        <v>194</v>
      </c>
      <c r="K45" s="15">
        <v>1103</v>
      </c>
      <c r="L45" s="15">
        <v>3085</v>
      </c>
      <c r="M45" s="15">
        <v>102</v>
      </c>
      <c r="N45" s="15">
        <v>1740</v>
      </c>
      <c r="O45" s="41">
        <f t="shared" si="10"/>
        <v>6224</v>
      </c>
      <c r="P45" s="45">
        <f t="shared" si="11"/>
        <v>127.22000000000003</v>
      </c>
      <c r="Q45" s="15">
        <f t="shared" si="12"/>
        <v>-71</v>
      </c>
      <c r="R45" s="15">
        <f t="shared" si="13"/>
        <v>-57.5</v>
      </c>
      <c r="S45" s="15">
        <f t="shared" si="14"/>
        <v>-102</v>
      </c>
      <c r="T45" s="15">
        <f t="shared" si="15"/>
        <v>-1215</v>
      </c>
      <c r="U45" s="41">
        <f t="shared" si="16"/>
        <v>-1318.28</v>
      </c>
      <c r="V45" s="104">
        <f t="shared" si="17"/>
        <v>-0.21180591259640102</v>
      </c>
      <c r="W45" s="85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</row>
    <row r="46" spans="1:54" s="5" customFormat="1" ht="13.2" x14ac:dyDescent="0.25">
      <c r="A46" s="66" t="s">
        <v>12</v>
      </c>
      <c r="B46" s="77" t="s">
        <v>148</v>
      </c>
      <c r="C46" s="18">
        <v>3</v>
      </c>
      <c r="D46" s="45">
        <v>24</v>
      </c>
      <c r="E46" s="15">
        <v>1336</v>
      </c>
      <c r="F46" s="15">
        <v>2374</v>
      </c>
      <c r="G46" s="15">
        <v>0</v>
      </c>
      <c r="H46" s="15">
        <v>960</v>
      </c>
      <c r="I46" s="41">
        <f t="shared" si="9"/>
        <v>4694</v>
      </c>
      <c r="J46" s="45">
        <v>40</v>
      </c>
      <c r="K46" s="15">
        <v>1796</v>
      </c>
      <c r="L46" s="15">
        <v>3376</v>
      </c>
      <c r="M46" s="15">
        <v>0</v>
      </c>
      <c r="N46" s="15">
        <v>1485</v>
      </c>
      <c r="O46" s="41">
        <f t="shared" si="10"/>
        <v>6697</v>
      </c>
      <c r="P46" s="45">
        <f t="shared" si="11"/>
        <v>-16</v>
      </c>
      <c r="Q46" s="15">
        <f t="shared" si="12"/>
        <v>-460</v>
      </c>
      <c r="R46" s="15">
        <f t="shared" si="13"/>
        <v>-1002</v>
      </c>
      <c r="S46" s="15">
        <f t="shared" si="14"/>
        <v>0</v>
      </c>
      <c r="T46" s="15">
        <f t="shared" si="15"/>
        <v>-525</v>
      </c>
      <c r="U46" s="41">
        <f t="shared" si="16"/>
        <v>-2003</v>
      </c>
      <c r="V46" s="104">
        <f t="shared" si="17"/>
        <v>-0.29908914439301182</v>
      </c>
      <c r="W46" s="85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</row>
    <row r="47" spans="1:54" s="5" customFormat="1" ht="13.2" x14ac:dyDescent="0.25">
      <c r="A47" s="66" t="s">
        <v>234</v>
      </c>
      <c r="B47" s="77" t="s">
        <v>169</v>
      </c>
      <c r="C47" s="18">
        <v>3</v>
      </c>
      <c r="D47" s="45">
        <v>23.41</v>
      </c>
      <c r="E47" s="15">
        <v>483</v>
      </c>
      <c r="F47" s="15">
        <v>640</v>
      </c>
      <c r="G47" s="15">
        <v>0</v>
      </c>
      <c r="H47" s="15">
        <v>450</v>
      </c>
      <c r="I47" s="41">
        <f t="shared" si="9"/>
        <v>1596.41</v>
      </c>
      <c r="J47" s="45">
        <v>28</v>
      </c>
      <c r="K47" s="15">
        <v>762</v>
      </c>
      <c r="L47" s="15">
        <v>1237</v>
      </c>
      <c r="M47" s="15">
        <v>0</v>
      </c>
      <c r="N47" s="15">
        <v>555</v>
      </c>
      <c r="O47" s="41">
        <f t="shared" si="10"/>
        <v>2582</v>
      </c>
      <c r="P47" s="45">
        <f t="shared" si="11"/>
        <v>-4.59</v>
      </c>
      <c r="Q47" s="15">
        <f t="shared" si="12"/>
        <v>-279</v>
      </c>
      <c r="R47" s="15">
        <f t="shared" si="13"/>
        <v>-597</v>
      </c>
      <c r="S47" s="15">
        <f t="shared" si="14"/>
        <v>0</v>
      </c>
      <c r="T47" s="15">
        <f t="shared" si="15"/>
        <v>-105</v>
      </c>
      <c r="U47" s="41">
        <f t="shared" si="16"/>
        <v>-985.58999999999992</v>
      </c>
      <c r="V47" s="104">
        <f t="shared" si="17"/>
        <v>-0.38171572424477151</v>
      </c>
      <c r="W47" s="85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</row>
    <row r="48" spans="1:54" s="5" customFormat="1" ht="13.2" x14ac:dyDescent="0.25">
      <c r="A48" s="66" t="s">
        <v>152</v>
      </c>
      <c r="B48" s="77" t="s">
        <v>177</v>
      </c>
      <c r="C48" s="18">
        <v>3</v>
      </c>
      <c r="D48" s="45">
        <v>5777.8</v>
      </c>
      <c r="E48" s="15">
        <v>3821.8</v>
      </c>
      <c r="F48" s="15">
        <v>3285</v>
      </c>
      <c r="G48" s="15">
        <v>49.43</v>
      </c>
      <c r="H48" s="15">
        <v>7620</v>
      </c>
      <c r="I48" s="41">
        <f t="shared" si="9"/>
        <v>20554.03</v>
      </c>
      <c r="J48" s="45">
        <v>4458</v>
      </c>
      <c r="K48" s="15">
        <v>9090</v>
      </c>
      <c r="L48" s="15">
        <v>7127</v>
      </c>
      <c r="M48" s="15">
        <v>305</v>
      </c>
      <c r="N48" s="15">
        <v>13675</v>
      </c>
      <c r="O48" s="41">
        <f t="shared" si="10"/>
        <v>34655</v>
      </c>
      <c r="P48" s="45">
        <f t="shared" si="11"/>
        <v>1319.8000000000002</v>
      </c>
      <c r="Q48" s="15">
        <f t="shared" si="12"/>
        <v>-5268.2</v>
      </c>
      <c r="R48" s="15">
        <f t="shared" si="13"/>
        <v>-3842</v>
      </c>
      <c r="S48" s="15">
        <f t="shared" si="14"/>
        <v>-255.57</v>
      </c>
      <c r="T48" s="15">
        <f t="shared" si="15"/>
        <v>-6055</v>
      </c>
      <c r="U48" s="41">
        <f t="shared" si="16"/>
        <v>-14100.97</v>
      </c>
      <c r="V48" s="104">
        <f t="shared" si="17"/>
        <v>-0.40689568604818938</v>
      </c>
      <c r="W48" s="85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</row>
    <row r="49" spans="1:54" s="5" customFormat="1" ht="13.2" x14ac:dyDescent="0.25">
      <c r="A49" s="66" t="s">
        <v>153</v>
      </c>
      <c r="B49" s="77" t="s">
        <v>178</v>
      </c>
      <c r="C49" s="18">
        <v>3</v>
      </c>
      <c r="D49" s="45">
        <v>141.94</v>
      </c>
      <c r="E49" s="15">
        <v>1625.25</v>
      </c>
      <c r="F49" s="15">
        <v>1290</v>
      </c>
      <c r="G49" s="15">
        <v>181.57</v>
      </c>
      <c r="H49" s="15">
        <v>1960</v>
      </c>
      <c r="I49" s="41">
        <f t="shared" si="9"/>
        <v>5198.76</v>
      </c>
      <c r="J49" s="45">
        <v>47</v>
      </c>
      <c r="K49" s="15">
        <v>2265</v>
      </c>
      <c r="L49" s="15">
        <v>3325</v>
      </c>
      <c r="M49" s="15">
        <v>160</v>
      </c>
      <c r="N49" s="15">
        <v>3280</v>
      </c>
      <c r="O49" s="41">
        <f t="shared" si="10"/>
        <v>9077</v>
      </c>
      <c r="P49" s="45">
        <f t="shared" si="11"/>
        <v>94.94</v>
      </c>
      <c r="Q49" s="15">
        <f t="shared" si="12"/>
        <v>-639.75</v>
      </c>
      <c r="R49" s="15">
        <f t="shared" si="13"/>
        <v>-2035</v>
      </c>
      <c r="S49" s="15">
        <f t="shared" si="14"/>
        <v>21.569999999999993</v>
      </c>
      <c r="T49" s="15">
        <f t="shared" si="15"/>
        <v>-1320</v>
      </c>
      <c r="U49" s="41">
        <f t="shared" si="16"/>
        <v>-3878.24</v>
      </c>
      <c r="V49" s="104">
        <f t="shared" si="17"/>
        <v>-0.42726010796518676</v>
      </c>
      <c r="W49" s="85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</row>
    <row r="50" spans="1:54" s="5" customFormat="1" ht="13.2" x14ac:dyDescent="0.25">
      <c r="A50" s="66" t="s">
        <v>20</v>
      </c>
      <c r="B50" s="77" t="s">
        <v>71</v>
      </c>
      <c r="C50" s="18">
        <v>4</v>
      </c>
      <c r="D50" s="45">
        <v>9811.36</v>
      </c>
      <c r="E50" s="15">
        <v>27256</v>
      </c>
      <c r="F50" s="15">
        <v>150</v>
      </c>
      <c r="G50" s="15">
        <v>98.45</v>
      </c>
      <c r="H50" s="15">
        <v>2355</v>
      </c>
      <c r="I50" s="41">
        <f t="shared" si="9"/>
        <v>39670.81</v>
      </c>
      <c r="J50" s="45">
        <v>14361</v>
      </c>
      <c r="K50" s="15">
        <v>35247</v>
      </c>
      <c r="L50" s="15">
        <v>500</v>
      </c>
      <c r="M50" s="15">
        <v>170</v>
      </c>
      <c r="N50" s="15">
        <v>825</v>
      </c>
      <c r="O50" s="41">
        <f t="shared" si="10"/>
        <v>51103</v>
      </c>
      <c r="P50" s="45">
        <f t="shared" si="11"/>
        <v>-4549.6399999999994</v>
      </c>
      <c r="Q50" s="15">
        <f t="shared" si="12"/>
        <v>-7991</v>
      </c>
      <c r="R50" s="15">
        <f t="shared" si="13"/>
        <v>-350</v>
      </c>
      <c r="S50" s="15">
        <f t="shared" si="14"/>
        <v>-71.55</v>
      </c>
      <c r="T50" s="15">
        <f t="shared" si="15"/>
        <v>1530</v>
      </c>
      <c r="U50" s="41">
        <f t="shared" si="16"/>
        <v>-11432.189999999999</v>
      </c>
      <c r="V50" s="104">
        <f t="shared" si="17"/>
        <v>-0.22370878422010454</v>
      </c>
      <c r="W50" s="85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</row>
    <row r="51" spans="1:54" s="5" customFormat="1" ht="13.2" x14ac:dyDescent="0.25">
      <c r="A51" s="66" t="s">
        <v>26</v>
      </c>
      <c r="B51" s="77" t="s">
        <v>77</v>
      </c>
      <c r="C51" s="18">
        <v>4</v>
      </c>
      <c r="D51" s="45">
        <v>2915.69</v>
      </c>
      <c r="E51" s="15">
        <v>14806</v>
      </c>
      <c r="F51" s="15">
        <v>16641</v>
      </c>
      <c r="G51" s="15">
        <v>222.35</v>
      </c>
      <c r="H51" s="15">
        <v>10215</v>
      </c>
      <c r="I51" s="41">
        <f t="shared" si="9"/>
        <v>44800.04</v>
      </c>
      <c r="J51" s="45">
        <v>3852</v>
      </c>
      <c r="K51" s="15">
        <v>22328</v>
      </c>
      <c r="L51" s="15">
        <v>21129</v>
      </c>
      <c r="M51" s="15">
        <v>103</v>
      </c>
      <c r="N51" s="15">
        <v>12555</v>
      </c>
      <c r="O51" s="41">
        <f t="shared" si="10"/>
        <v>59967</v>
      </c>
      <c r="P51" s="45">
        <f t="shared" si="11"/>
        <v>-936.31</v>
      </c>
      <c r="Q51" s="15">
        <f t="shared" si="12"/>
        <v>-7522</v>
      </c>
      <c r="R51" s="15">
        <f t="shared" si="13"/>
        <v>-4488</v>
      </c>
      <c r="S51" s="15">
        <f t="shared" si="14"/>
        <v>119.35</v>
      </c>
      <c r="T51" s="15">
        <f t="shared" si="15"/>
        <v>-2340</v>
      </c>
      <c r="U51" s="41">
        <f t="shared" si="16"/>
        <v>-15166.96</v>
      </c>
      <c r="V51" s="104">
        <f t="shared" si="17"/>
        <v>-0.25292177364216983</v>
      </c>
      <c r="W51" s="86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</row>
    <row r="52" spans="1:54" s="5" customFormat="1" ht="13.2" x14ac:dyDescent="0.25">
      <c r="A52" s="66" t="s">
        <v>49</v>
      </c>
      <c r="B52" s="77" t="s">
        <v>112</v>
      </c>
      <c r="C52" s="18">
        <v>4</v>
      </c>
      <c r="D52" s="45">
        <v>1128.07</v>
      </c>
      <c r="E52" s="15">
        <v>5613</v>
      </c>
      <c r="F52" s="15">
        <v>31304</v>
      </c>
      <c r="G52" s="15">
        <v>4.9400000000000004</v>
      </c>
      <c r="H52" s="15">
        <v>6660</v>
      </c>
      <c r="I52" s="41">
        <f t="shared" si="9"/>
        <v>44710.01</v>
      </c>
      <c r="J52" s="45">
        <v>1206</v>
      </c>
      <c r="K52" s="15">
        <v>8287</v>
      </c>
      <c r="L52" s="15">
        <v>33283</v>
      </c>
      <c r="M52" s="15">
        <v>6</v>
      </c>
      <c r="N52" s="15">
        <v>8055</v>
      </c>
      <c r="O52" s="41">
        <f t="shared" si="10"/>
        <v>50837</v>
      </c>
      <c r="P52" s="45">
        <f t="shared" si="11"/>
        <v>-77.930000000000064</v>
      </c>
      <c r="Q52" s="15">
        <f t="shared" si="12"/>
        <v>-2674</v>
      </c>
      <c r="R52" s="15">
        <f t="shared" si="13"/>
        <v>-1979</v>
      </c>
      <c r="S52" s="15">
        <f t="shared" si="14"/>
        <v>-1.0599999999999996</v>
      </c>
      <c r="T52" s="15">
        <f t="shared" si="15"/>
        <v>-1395</v>
      </c>
      <c r="U52" s="41">
        <f t="shared" si="16"/>
        <v>-6126.9900000000007</v>
      </c>
      <c r="V52" s="104">
        <f t="shared" si="17"/>
        <v>-0.1205222574109408</v>
      </c>
      <c r="W52" s="85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</row>
    <row r="53" spans="1:54" s="5" customFormat="1" ht="13.2" x14ac:dyDescent="0.25">
      <c r="A53" s="66" t="s">
        <v>230</v>
      </c>
      <c r="B53" s="77" t="s">
        <v>130</v>
      </c>
      <c r="C53" s="18">
        <v>4</v>
      </c>
      <c r="D53" s="45"/>
      <c r="E53" s="15"/>
      <c r="F53" s="15"/>
      <c r="G53" s="15"/>
      <c r="H53" s="15"/>
      <c r="I53" s="41">
        <f t="shared" si="9"/>
        <v>0</v>
      </c>
      <c r="J53" s="45">
        <v>658</v>
      </c>
      <c r="K53" s="15">
        <v>1567</v>
      </c>
      <c r="L53" s="15">
        <v>3147</v>
      </c>
      <c r="M53" s="15">
        <v>0</v>
      </c>
      <c r="N53" s="15">
        <v>780</v>
      </c>
      <c r="O53" s="41">
        <f t="shared" si="10"/>
        <v>6152</v>
      </c>
      <c r="P53" s="45">
        <f t="shared" si="11"/>
        <v>-658</v>
      </c>
      <c r="Q53" s="15">
        <f t="shared" si="12"/>
        <v>-1567</v>
      </c>
      <c r="R53" s="15">
        <f t="shared" si="13"/>
        <v>-3147</v>
      </c>
      <c r="S53" s="15">
        <f t="shared" si="14"/>
        <v>0</v>
      </c>
      <c r="T53" s="15">
        <f t="shared" si="15"/>
        <v>-780</v>
      </c>
      <c r="U53" s="41">
        <f t="shared" si="16"/>
        <v>-6152</v>
      </c>
      <c r="V53" s="104">
        <f t="shared" si="17"/>
        <v>-1</v>
      </c>
      <c r="W53" s="61" t="s">
        <v>196</v>
      </c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</row>
    <row r="54" spans="1:54" s="5" customFormat="1" ht="13.2" x14ac:dyDescent="0.25">
      <c r="A54" s="66" t="s">
        <v>231</v>
      </c>
      <c r="B54" s="77" t="s">
        <v>131</v>
      </c>
      <c r="C54" s="18">
        <v>4</v>
      </c>
      <c r="D54" s="45">
        <v>626.53</v>
      </c>
      <c r="E54" s="15">
        <v>2292</v>
      </c>
      <c r="F54" s="15">
        <v>8548.5</v>
      </c>
      <c r="G54" s="15">
        <v>329</v>
      </c>
      <c r="H54" s="15">
        <v>1770</v>
      </c>
      <c r="I54" s="41">
        <f t="shared" si="9"/>
        <v>13566.029999999999</v>
      </c>
      <c r="J54" s="45">
        <v>1406</v>
      </c>
      <c r="K54" s="15">
        <v>4340</v>
      </c>
      <c r="L54" s="15">
        <v>17025</v>
      </c>
      <c r="M54" s="15">
        <v>27</v>
      </c>
      <c r="N54" s="15">
        <v>4425</v>
      </c>
      <c r="O54" s="41">
        <f t="shared" si="10"/>
        <v>27223</v>
      </c>
      <c r="P54" s="45">
        <f t="shared" si="11"/>
        <v>-779.47</v>
      </c>
      <c r="Q54" s="15">
        <f t="shared" si="12"/>
        <v>-2048</v>
      </c>
      <c r="R54" s="15">
        <f t="shared" si="13"/>
        <v>-8476.5</v>
      </c>
      <c r="S54" s="15">
        <f t="shared" si="14"/>
        <v>302</v>
      </c>
      <c r="T54" s="15">
        <f t="shared" si="15"/>
        <v>-2655</v>
      </c>
      <c r="U54" s="41">
        <f t="shared" si="16"/>
        <v>-13656.970000000001</v>
      </c>
      <c r="V54" s="104">
        <f t="shared" si="17"/>
        <v>-0.50167027880836068</v>
      </c>
      <c r="W54" s="85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</row>
    <row r="55" spans="1:54" s="5" customFormat="1" ht="13.2" x14ac:dyDescent="0.25">
      <c r="A55" s="66" t="s">
        <v>0</v>
      </c>
      <c r="B55" s="77" t="s">
        <v>136</v>
      </c>
      <c r="C55" s="18">
        <v>4</v>
      </c>
      <c r="D55" s="45">
        <v>779.21</v>
      </c>
      <c r="E55" s="15">
        <v>1275</v>
      </c>
      <c r="F55" s="15">
        <v>7265</v>
      </c>
      <c r="G55" s="15">
        <v>35</v>
      </c>
      <c r="H55" s="15">
        <v>1905</v>
      </c>
      <c r="I55" s="41">
        <f t="shared" si="9"/>
        <v>11259.21</v>
      </c>
      <c r="J55" s="45">
        <v>1013</v>
      </c>
      <c r="K55" s="15">
        <v>2846</v>
      </c>
      <c r="L55" s="15">
        <v>12178</v>
      </c>
      <c r="M55" s="15">
        <v>69</v>
      </c>
      <c r="N55" s="15">
        <v>2335</v>
      </c>
      <c r="O55" s="41">
        <f t="shared" si="10"/>
        <v>18441</v>
      </c>
      <c r="P55" s="45">
        <f t="shared" si="11"/>
        <v>-233.78999999999996</v>
      </c>
      <c r="Q55" s="15">
        <f t="shared" si="12"/>
        <v>-1571</v>
      </c>
      <c r="R55" s="15">
        <f t="shared" si="13"/>
        <v>-4913</v>
      </c>
      <c r="S55" s="15">
        <f t="shared" si="14"/>
        <v>-34</v>
      </c>
      <c r="T55" s="15">
        <f t="shared" si="15"/>
        <v>-430</v>
      </c>
      <c r="U55" s="41">
        <f t="shared" si="16"/>
        <v>-7181.79</v>
      </c>
      <c r="V55" s="104">
        <f t="shared" si="17"/>
        <v>-0.38944688465918342</v>
      </c>
      <c r="W55" s="85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</row>
    <row r="56" spans="1:54" s="5" customFormat="1" ht="13.2" x14ac:dyDescent="0.25">
      <c r="A56" s="66" t="s">
        <v>9</v>
      </c>
      <c r="B56" s="77" t="s">
        <v>145</v>
      </c>
      <c r="C56" s="18">
        <v>4</v>
      </c>
      <c r="D56" s="45">
        <v>228.66</v>
      </c>
      <c r="E56" s="15">
        <v>527</v>
      </c>
      <c r="F56" s="15">
        <v>1441.5</v>
      </c>
      <c r="G56" s="15">
        <v>43.45</v>
      </c>
      <c r="H56" s="15">
        <v>495</v>
      </c>
      <c r="I56" s="41">
        <f t="shared" si="9"/>
        <v>2735.6099999999997</v>
      </c>
      <c r="J56" s="45">
        <v>12</v>
      </c>
      <c r="K56" s="15">
        <v>366</v>
      </c>
      <c r="L56" s="15">
        <v>0</v>
      </c>
      <c r="M56" s="15">
        <v>0</v>
      </c>
      <c r="N56" s="15">
        <v>0</v>
      </c>
      <c r="O56" s="41">
        <f t="shared" si="10"/>
        <v>378</v>
      </c>
      <c r="P56" s="45">
        <f t="shared" si="11"/>
        <v>216.66</v>
      </c>
      <c r="Q56" s="15">
        <f t="shared" si="12"/>
        <v>161</v>
      </c>
      <c r="R56" s="15">
        <f t="shared" si="13"/>
        <v>1441.5</v>
      </c>
      <c r="S56" s="15">
        <f t="shared" si="14"/>
        <v>43.45</v>
      </c>
      <c r="T56" s="15">
        <f t="shared" si="15"/>
        <v>495</v>
      </c>
      <c r="U56" s="41">
        <f t="shared" si="16"/>
        <v>2357.6099999999997</v>
      </c>
      <c r="V56" s="104">
        <f t="shared" si="17"/>
        <v>6.2370634920634913</v>
      </c>
      <c r="W56" s="85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</row>
    <row r="57" spans="1:54" s="5" customFormat="1" ht="13.2" x14ac:dyDescent="0.25">
      <c r="A57" s="66" t="s">
        <v>156</v>
      </c>
      <c r="B57" s="77" t="s">
        <v>182</v>
      </c>
      <c r="C57" s="18">
        <v>4</v>
      </c>
      <c r="D57" s="45">
        <v>0</v>
      </c>
      <c r="E57" s="15">
        <v>0</v>
      </c>
      <c r="F57" s="15">
        <v>0</v>
      </c>
      <c r="G57" s="15">
        <v>0</v>
      </c>
      <c r="H57" s="15">
        <v>0</v>
      </c>
      <c r="I57" s="41">
        <f t="shared" si="9"/>
        <v>0</v>
      </c>
      <c r="J57" s="45">
        <v>3</v>
      </c>
      <c r="K57" s="15">
        <v>0</v>
      </c>
      <c r="L57" s="15">
        <v>0</v>
      </c>
      <c r="M57" s="15">
        <v>0</v>
      </c>
      <c r="N57" s="15">
        <v>0</v>
      </c>
      <c r="O57" s="41">
        <f t="shared" si="10"/>
        <v>3</v>
      </c>
      <c r="P57" s="45">
        <f t="shared" si="11"/>
        <v>-3</v>
      </c>
      <c r="Q57" s="15">
        <f t="shared" si="12"/>
        <v>0</v>
      </c>
      <c r="R57" s="15">
        <f t="shared" si="13"/>
        <v>0</v>
      </c>
      <c r="S57" s="15">
        <f t="shared" si="14"/>
        <v>0</v>
      </c>
      <c r="T57" s="15">
        <f t="shared" si="15"/>
        <v>0</v>
      </c>
      <c r="U57" s="41">
        <f t="shared" si="16"/>
        <v>-3</v>
      </c>
      <c r="V57" s="104">
        <f t="shared" si="17"/>
        <v>-1</v>
      </c>
      <c r="W57" s="85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</row>
    <row r="58" spans="1:54" s="5" customFormat="1" ht="13.2" x14ac:dyDescent="0.25">
      <c r="A58" s="66" t="s">
        <v>159</v>
      </c>
      <c r="B58" s="77" t="s">
        <v>185</v>
      </c>
      <c r="C58" s="18">
        <v>4</v>
      </c>
      <c r="D58" s="45">
        <v>55.78</v>
      </c>
      <c r="E58" s="15">
        <v>0</v>
      </c>
      <c r="F58" s="15">
        <v>0</v>
      </c>
      <c r="G58" s="15">
        <v>0</v>
      </c>
      <c r="H58" s="15">
        <v>0</v>
      </c>
      <c r="I58" s="41">
        <f t="shared" si="9"/>
        <v>55.78</v>
      </c>
      <c r="J58" s="45">
        <v>80</v>
      </c>
      <c r="K58" s="15">
        <v>120</v>
      </c>
      <c r="L58" s="15">
        <v>0</v>
      </c>
      <c r="M58" s="15">
        <v>0</v>
      </c>
      <c r="N58" s="15">
        <v>0</v>
      </c>
      <c r="O58" s="41">
        <f t="shared" si="10"/>
        <v>200</v>
      </c>
      <c r="P58" s="45">
        <f t="shared" si="11"/>
        <v>-24.22</v>
      </c>
      <c r="Q58" s="15">
        <f t="shared" si="12"/>
        <v>-120</v>
      </c>
      <c r="R58" s="15">
        <f t="shared" si="13"/>
        <v>0</v>
      </c>
      <c r="S58" s="15">
        <f t="shared" si="14"/>
        <v>0</v>
      </c>
      <c r="T58" s="15">
        <f t="shared" si="15"/>
        <v>0</v>
      </c>
      <c r="U58" s="41">
        <f t="shared" si="16"/>
        <v>-144.22</v>
      </c>
      <c r="V58" s="104">
        <f t="shared" si="17"/>
        <v>-0.72110000000000007</v>
      </c>
      <c r="W58" s="85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</row>
    <row r="59" spans="1:54" s="5" customFormat="1" ht="13.2" x14ac:dyDescent="0.25">
      <c r="A59" s="66" t="s">
        <v>162</v>
      </c>
      <c r="B59" s="77" t="s">
        <v>188</v>
      </c>
      <c r="C59" s="18">
        <v>4</v>
      </c>
      <c r="D59" s="45">
        <v>811.28</v>
      </c>
      <c r="E59" s="15">
        <v>1523</v>
      </c>
      <c r="F59" s="15">
        <v>8998</v>
      </c>
      <c r="G59" s="15">
        <v>0</v>
      </c>
      <c r="H59" s="15">
        <v>2370</v>
      </c>
      <c r="I59" s="41">
        <f t="shared" si="9"/>
        <v>13702.279999999999</v>
      </c>
      <c r="J59" s="45">
        <v>1055</v>
      </c>
      <c r="K59" s="15">
        <v>2323</v>
      </c>
      <c r="L59" s="15">
        <v>14651</v>
      </c>
      <c r="M59" s="15">
        <v>0</v>
      </c>
      <c r="N59" s="15">
        <v>2880</v>
      </c>
      <c r="O59" s="41">
        <f t="shared" si="10"/>
        <v>20909</v>
      </c>
      <c r="P59" s="45">
        <f t="shared" si="11"/>
        <v>-243.72000000000003</v>
      </c>
      <c r="Q59" s="15">
        <f t="shared" si="12"/>
        <v>-800</v>
      </c>
      <c r="R59" s="15">
        <f t="shared" si="13"/>
        <v>-5653</v>
      </c>
      <c r="S59" s="15">
        <f t="shared" si="14"/>
        <v>0</v>
      </c>
      <c r="T59" s="15">
        <f t="shared" si="15"/>
        <v>-510</v>
      </c>
      <c r="U59" s="41">
        <f t="shared" si="16"/>
        <v>-7206.72</v>
      </c>
      <c r="V59" s="104">
        <f t="shared" si="17"/>
        <v>-0.34467071595963461</v>
      </c>
      <c r="W59" s="85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</row>
    <row r="60" spans="1:54" s="5" customFormat="1" ht="13.2" x14ac:dyDescent="0.25">
      <c r="A60" s="66" t="s">
        <v>164</v>
      </c>
      <c r="B60" s="77" t="s">
        <v>191</v>
      </c>
      <c r="C60" s="18">
        <v>4</v>
      </c>
      <c r="D60" s="45">
        <v>705.55</v>
      </c>
      <c r="E60" s="15">
        <v>55</v>
      </c>
      <c r="F60" s="15">
        <v>400</v>
      </c>
      <c r="G60" s="15">
        <v>0</v>
      </c>
      <c r="H60" s="15">
        <v>75</v>
      </c>
      <c r="I60" s="41">
        <f t="shared" si="9"/>
        <v>1235.55</v>
      </c>
      <c r="J60" s="45">
        <v>489</v>
      </c>
      <c r="K60" s="15">
        <v>74</v>
      </c>
      <c r="L60" s="15">
        <v>400</v>
      </c>
      <c r="M60" s="15">
        <v>0</v>
      </c>
      <c r="N60" s="15">
        <v>120</v>
      </c>
      <c r="O60" s="41">
        <f t="shared" si="10"/>
        <v>1083</v>
      </c>
      <c r="P60" s="45">
        <f t="shared" si="11"/>
        <v>216.54999999999995</v>
      </c>
      <c r="Q60" s="15">
        <f t="shared" si="12"/>
        <v>-19</v>
      </c>
      <c r="R60" s="15">
        <f t="shared" si="13"/>
        <v>0</v>
      </c>
      <c r="S60" s="15">
        <f t="shared" si="14"/>
        <v>0</v>
      </c>
      <c r="T60" s="15">
        <f t="shared" si="15"/>
        <v>-45</v>
      </c>
      <c r="U60" s="41">
        <f t="shared" si="16"/>
        <v>152.54999999999995</v>
      </c>
      <c r="V60" s="104">
        <f t="shared" si="17"/>
        <v>0.14085872576177283</v>
      </c>
      <c r="W60" s="85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</row>
    <row r="61" spans="1:54" s="5" customFormat="1" ht="13.2" x14ac:dyDescent="0.25">
      <c r="A61" s="66" t="s">
        <v>165</v>
      </c>
      <c r="B61" s="77" t="s">
        <v>192</v>
      </c>
      <c r="C61" s="18">
        <v>4</v>
      </c>
      <c r="D61" s="45">
        <v>94.14</v>
      </c>
      <c r="E61" s="15">
        <v>446</v>
      </c>
      <c r="F61" s="15">
        <v>2347.5</v>
      </c>
      <c r="G61" s="15">
        <v>22</v>
      </c>
      <c r="H61" s="15">
        <v>240</v>
      </c>
      <c r="I61" s="41">
        <f t="shared" si="9"/>
        <v>3149.64</v>
      </c>
      <c r="J61" s="45">
        <v>0</v>
      </c>
      <c r="K61" s="15">
        <v>0</v>
      </c>
      <c r="L61" s="15">
        <v>0</v>
      </c>
      <c r="M61" s="15">
        <v>0</v>
      </c>
      <c r="N61" s="15">
        <v>60</v>
      </c>
      <c r="O61" s="41">
        <f t="shared" si="10"/>
        <v>60</v>
      </c>
      <c r="P61" s="45">
        <f t="shared" si="11"/>
        <v>94.14</v>
      </c>
      <c r="Q61" s="15">
        <f t="shared" si="12"/>
        <v>446</v>
      </c>
      <c r="R61" s="15">
        <f t="shared" si="13"/>
        <v>2347.5</v>
      </c>
      <c r="S61" s="15">
        <f t="shared" si="14"/>
        <v>22</v>
      </c>
      <c r="T61" s="15">
        <f t="shared" si="15"/>
        <v>180</v>
      </c>
      <c r="U61" s="41">
        <f t="shared" si="16"/>
        <v>3089.64</v>
      </c>
      <c r="V61" s="104">
        <f t="shared" si="17"/>
        <v>51.494</v>
      </c>
      <c r="W61" s="85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</row>
    <row r="62" spans="1:54" s="5" customFormat="1" ht="13.2" x14ac:dyDescent="0.25">
      <c r="A62" s="66" t="s">
        <v>19</v>
      </c>
      <c r="B62" s="77" t="s">
        <v>70</v>
      </c>
      <c r="C62" s="18">
        <v>5</v>
      </c>
      <c r="D62" s="45">
        <v>1507.97</v>
      </c>
      <c r="E62" s="15">
        <v>7835</v>
      </c>
      <c r="F62" s="15">
        <v>30426.95</v>
      </c>
      <c r="G62" s="15">
        <v>812.08</v>
      </c>
      <c r="H62" s="15">
        <v>5310</v>
      </c>
      <c r="I62" s="41">
        <f t="shared" si="9"/>
        <v>45892</v>
      </c>
      <c r="J62" s="45">
        <v>1969</v>
      </c>
      <c r="K62" s="15">
        <v>10733</v>
      </c>
      <c r="L62" s="15">
        <v>30295</v>
      </c>
      <c r="M62" s="15">
        <v>108</v>
      </c>
      <c r="N62" s="15">
        <v>7255</v>
      </c>
      <c r="O62" s="41">
        <f t="shared" si="10"/>
        <v>50360</v>
      </c>
      <c r="P62" s="45">
        <f t="shared" si="11"/>
        <v>-461.03</v>
      </c>
      <c r="Q62" s="15">
        <f t="shared" si="12"/>
        <v>-2898</v>
      </c>
      <c r="R62" s="15">
        <f t="shared" si="13"/>
        <v>131.95000000000073</v>
      </c>
      <c r="S62" s="15">
        <f t="shared" si="14"/>
        <v>704.08</v>
      </c>
      <c r="T62" s="15">
        <f t="shared" si="15"/>
        <v>-1945</v>
      </c>
      <c r="U62" s="41">
        <f t="shared" si="16"/>
        <v>-4467.9999999999991</v>
      </c>
      <c r="V62" s="104">
        <f t="shared" si="17"/>
        <v>-8.8721207307386862E-2</v>
      </c>
      <c r="W62" s="85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</row>
    <row r="63" spans="1:54" s="5" customFormat="1" ht="13.2" x14ac:dyDescent="0.25">
      <c r="A63" s="66" t="s">
        <v>27</v>
      </c>
      <c r="B63" s="77" t="s">
        <v>78</v>
      </c>
      <c r="C63" s="18">
        <v>5</v>
      </c>
      <c r="D63" s="45">
        <v>492.33</v>
      </c>
      <c r="E63" s="15">
        <v>1711</v>
      </c>
      <c r="F63" s="15">
        <v>6170.5</v>
      </c>
      <c r="G63" s="15">
        <v>260.82</v>
      </c>
      <c r="H63" s="15">
        <v>1125</v>
      </c>
      <c r="I63" s="41">
        <f t="shared" si="9"/>
        <v>9759.65</v>
      </c>
      <c r="J63" s="45">
        <v>618</v>
      </c>
      <c r="K63" s="15">
        <v>2392</v>
      </c>
      <c r="L63" s="15">
        <v>7207</v>
      </c>
      <c r="M63" s="15">
        <v>0</v>
      </c>
      <c r="N63" s="15">
        <v>1635</v>
      </c>
      <c r="O63" s="41">
        <f t="shared" si="10"/>
        <v>11852</v>
      </c>
      <c r="P63" s="45">
        <f t="shared" si="11"/>
        <v>-125.67000000000002</v>
      </c>
      <c r="Q63" s="15">
        <f t="shared" si="12"/>
        <v>-681</v>
      </c>
      <c r="R63" s="15">
        <f t="shared" si="13"/>
        <v>-1036.5</v>
      </c>
      <c r="S63" s="15">
        <f t="shared" si="14"/>
        <v>260.82</v>
      </c>
      <c r="T63" s="15">
        <f t="shared" si="15"/>
        <v>-510</v>
      </c>
      <c r="U63" s="41">
        <f t="shared" si="16"/>
        <v>-2092.3500000000004</v>
      </c>
      <c r="V63" s="104">
        <f t="shared" si="17"/>
        <v>-0.17653982450219374</v>
      </c>
      <c r="W63" s="87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</row>
    <row r="64" spans="1:54" s="5" customFormat="1" ht="26.4" x14ac:dyDescent="0.25">
      <c r="A64" s="66" t="s">
        <v>199</v>
      </c>
      <c r="B64" s="77" t="s">
        <v>102</v>
      </c>
      <c r="C64" s="18">
        <v>5</v>
      </c>
      <c r="D64" s="45">
        <v>0</v>
      </c>
      <c r="E64" s="15">
        <v>0</v>
      </c>
      <c r="F64" s="15">
        <v>0</v>
      </c>
      <c r="G64" s="15">
        <v>0</v>
      </c>
      <c r="H64" s="15">
        <v>0</v>
      </c>
      <c r="I64" s="41">
        <f t="shared" si="9"/>
        <v>0</v>
      </c>
      <c r="J64" s="45">
        <v>30</v>
      </c>
      <c r="K64" s="15">
        <v>100</v>
      </c>
      <c r="L64" s="15">
        <v>0</v>
      </c>
      <c r="M64" s="15">
        <v>0</v>
      </c>
      <c r="N64" s="15">
        <v>0</v>
      </c>
      <c r="O64" s="41">
        <f t="shared" si="10"/>
        <v>130</v>
      </c>
      <c r="P64" s="45">
        <f t="shared" si="11"/>
        <v>-30</v>
      </c>
      <c r="Q64" s="15">
        <f t="shared" si="12"/>
        <v>-100</v>
      </c>
      <c r="R64" s="15">
        <f t="shared" si="13"/>
        <v>0</v>
      </c>
      <c r="S64" s="15">
        <f t="shared" si="14"/>
        <v>0</v>
      </c>
      <c r="T64" s="15">
        <f t="shared" si="15"/>
        <v>0</v>
      </c>
      <c r="U64" s="41">
        <f t="shared" si="16"/>
        <v>-130</v>
      </c>
      <c r="V64" s="104">
        <f t="shared" si="17"/>
        <v>-1</v>
      </c>
      <c r="W64" s="85" t="s">
        <v>195</v>
      </c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</row>
    <row r="65" spans="1:54" s="5" customFormat="1" ht="13.2" x14ac:dyDescent="0.25">
      <c r="A65" s="66" t="s">
        <v>220</v>
      </c>
      <c r="B65" s="77" t="s">
        <v>116</v>
      </c>
      <c r="C65" s="43">
        <v>5</v>
      </c>
      <c r="D65" s="45">
        <v>780.38</v>
      </c>
      <c r="E65" s="15">
        <v>2479</v>
      </c>
      <c r="F65" s="15">
        <v>0</v>
      </c>
      <c r="G65" s="15">
        <v>56.73</v>
      </c>
      <c r="H65" s="15">
        <v>4680</v>
      </c>
      <c r="I65" s="41">
        <f t="shared" si="9"/>
        <v>7996.1100000000006</v>
      </c>
      <c r="J65" s="45">
        <v>3243</v>
      </c>
      <c r="K65" s="15">
        <v>10507</v>
      </c>
      <c r="L65" s="15">
        <v>0</v>
      </c>
      <c r="M65" s="15">
        <v>0</v>
      </c>
      <c r="N65" s="15">
        <v>28015</v>
      </c>
      <c r="O65" s="41">
        <f t="shared" si="10"/>
        <v>41765</v>
      </c>
      <c r="P65" s="45">
        <f t="shared" si="11"/>
        <v>-2462.62</v>
      </c>
      <c r="Q65" s="15">
        <f t="shared" si="12"/>
        <v>-8028</v>
      </c>
      <c r="R65" s="15">
        <f t="shared" si="13"/>
        <v>0</v>
      </c>
      <c r="S65" s="15">
        <f t="shared" si="14"/>
        <v>56.73</v>
      </c>
      <c r="T65" s="15">
        <f t="shared" si="15"/>
        <v>-23335</v>
      </c>
      <c r="U65" s="41">
        <f t="shared" si="16"/>
        <v>-33768.89</v>
      </c>
      <c r="V65" s="104">
        <f t="shared" si="17"/>
        <v>-0.80854519334370889</v>
      </c>
      <c r="W65" s="90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</row>
    <row r="66" spans="1:54" s="5" customFormat="1" ht="13.2" x14ac:dyDescent="0.25">
      <c r="A66" s="66" t="s">
        <v>53</v>
      </c>
      <c r="B66" s="77" t="s">
        <v>117</v>
      </c>
      <c r="C66" s="18">
        <v>5</v>
      </c>
      <c r="D66" s="45">
        <v>481.62</v>
      </c>
      <c r="E66" s="15">
        <v>3340</v>
      </c>
      <c r="F66" s="15">
        <v>5457</v>
      </c>
      <c r="G66" s="15">
        <v>46</v>
      </c>
      <c r="H66" s="15">
        <v>5370</v>
      </c>
      <c r="I66" s="41">
        <f t="shared" si="9"/>
        <v>14694.619999999999</v>
      </c>
      <c r="J66" s="45">
        <v>576</v>
      </c>
      <c r="K66" s="15">
        <v>6589</v>
      </c>
      <c r="L66" s="15">
        <v>8992</v>
      </c>
      <c r="M66" s="15">
        <v>69</v>
      </c>
      <c r="N66" s="15">
        <v>7595</v>
      </c>
      <c r="O66" s="41">
        <f t="shared" si="10"/>
        <v>23821</v>
      </c>
      <c r="P66" s="45">
        <f t="shared" si="11"/>
        <v>-94.38</v>
      </c>
      <c r="Q66" s="15">
        <f t="shared" si="12"/>
        <v>-3249</v>
      </c>
      <c r="R66" s="15">
        <f t="shared" si="13"/>
        <v>-3535</v>
      </c>
      <c r="S66" s="15">
        <f t="shared" si="14"/>
        <v>-23</v>
      </c>
      <c r="T66" s="15">
        <f t="shared" si="15"/>
        <v>-2225</v>
      </c>
      <c r="U66" s="41">
        <f t="shared" si="16"/>
        <v>-9126.380000000001</v>
      </c>
      <c r="V66" s="104">
        <f t="shared" si="17"/>
        <v>-0.38312329457201633</v>
      </c>
      <c r="W66" s="85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</row>
    <row r="67" spans="1:54" s="5" customFormat="1" ht="13.2" x14ac:dyDescent="0.25">
      <c r="A67" s="66" t="s">
        <v>56</v>
      </c>
      <c r="B67" s="77" t="s">
        <v>120</v>
      </c>
      <c r="C67" s="18">
        <v>5</v>
      </c>
      <c r="D67" s="45">
        <v>915.23</v>
      </c>
      <c r="E67" s="15">
        <v>4887</v>
      </c>
      <c r="F67" s="15">
        <v>7142</v>
      </c>
      <c r="G67" s="15">
        <v>103.13</v>
      </c>
      <c r="H67" s="15">
        <v>4210</v>
      </c>
      <c r="I67" s="41">
        <f t="shared" si="9"/>
        <v>17257.36</v>
      </c>
      <c r="J67" s="45">
        <v>912</v>
      </c>
      <c r="K67" s="15">
        <v>13066</v>
      </c>
      <c r="L67" s="15">
        <v>8139</v>
      </c>
      <c r="M67" s="15">
        <v>55</v>
      </c>
      <c r="N67" s="15">
        <v>3375</v>
      </c>
      <c r="O67" s="41">
        <f t="shared" si="10"/>
        <v>25547</v>
      </c>
      <c r="P67" s="45">
        <f t="shared" si="11"/>
        <v>3.2300000000000182</v>
      </c>
      <c r="Q67" s="15">
        <f t="shared" si="12"/>
        <v>-8179</v>
      </c>
      <c r="R67" s="15">
        <f t="shared" si="13"/>
        <v>-997</v>
      </c>
      <c r="S67" s="15">
        <f t="shared" si="14"/>
        <v>48.129999999999995</v>
      </c>
      <c r="T67" s="15">
        <f t="shared" si="15"/>
        <v>835</v>
      </c>
      <c r="U67" s="41">
        <f t="shared" si="16"/>
        <v>-8289.6400000000012</v>
      </c>
      <c r="V67" s="104">
        <f t="shared" si="17"/>
        <v>-0.32448584961052174</v>
      </c>
      <c r="W67" s="61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</row>
    <row r="68" spans="1:54" s="5" customFormat="1" ht="13.2" x14ac:dyDescent="0.25">
      <c r="A68" s="66" t="s">
        <v>233</v>
      </c>
      <c r="B68" s="77" t="s">
        <v>133</v>
      </c>
      <c r="C68" s="18">
        <v>5</v>
      </c>
      <c r="D68" s="45">
        <v>585.16</v>
      </c>
      <c r="E68" s="15">
        <v>2434.9</v>
      </c>
      <c r="F68" s="15">
        <v>3432.5</v>
      </c>
      <c r="G68" s="15">
        <v>1</v>
      </c>
      <c r="H68" s="15">
        <v>1425</v>
      </c>
      <c r="I68" s="41">
        <f t="shared" si="9"/>
        <v>7878.5599999999995</v>
      </c>
      <c r="J68" s="45">
        <v>1540</v>
      </c>
      <c r="K68" s="15">
        <v>2918</v>
      </c>
      <c r="L68" s="15">
        <v>7121</v>
      </c>
      <c r="M68" s="15">
        <v>0</v>
      </c>
      <c r="N68" s="15">
        <v>2760</v>
      </c>
      <c r="O68" s="41">
        <f t="shared" si="10"/>
        <v>14339</v>
      </c>
      <c r="P68" s="45">
        <f t="shared" si="11"/>
        <v>-954.84</v>
      </c>
      <c r="Q68" s="15">
        <f t="shared" si="12"/>
        <v>-483.09999999999991</v>
      </c>
      <c r="R68" s="15">
        <f t="shared" si="13"/>
        <v>-3688.5</v>
      </c>
      <c r="S68" s="15">
        <f t="shared" si="14"/>
        <v>1</v>
      </c>
      <c r="T68" s="15">
        <f t="shared" si="15"/>
        <v>-1335</v>
      </c>
      <c r="U68" s="41">
        <f t="shared" si="16"/>
        <v>-6460.4400000000005</v>
      </c>
      <c r="V68" s="104">
        <f t="shared" si="17"/>
        <v>-0.4505502475765395</v>
      </c>
      <c r="W68" s="61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</row>
    <row r="69" spans="1:54" s="5" customFormat="1" ht="21" x14ac:dyDescent="0.25">
      <c r="A69" s="66" t="s">
        <v>223</v>
      </c>
      <c r="B69" s="77" t="s">
        <v>134</v>
      </c>
      <c r="C69" s="18">
        <v>5</v>
      </c>
      <c r="D69" s="45">
        <v>0</v>
      </c>
      <c r="E69" s="15">
        <v>0</v>
      </c>
      <c r="F69" s="15">
        <v>5</v>
      </c>
      <c r="G69" s="15">
        <v>0</v>
      </c>
      <c r="H69" s="15">
        <v>0</v>
      </c>
      <c r="I69" s="41">
        <f t="shared" si="9"/>
        <v>5</v>
      </c>
      <c r="J69" s="45">
        <v>88</v>
      </c>
      <c r="K69" s="15">
        <v>979</v>
      </c>
      <c r="L69" s="15">
        <v>54</v>
      </c>
      <c r="M69" s="15">
        <v>0</v>
      </c>
      <c r="N69" s="15">
        <v>0</v>
      </c>
      <c r="O69" s="41">
        <f t="shared" si="10"/>
        <v>1121</v>
      </c>
      <c r="P69" s="45">
        <f t="shared" si="11"/>
        <v>-88</v>
      </c>
      <c r="Q69" s="15">
        <f t="shared" si="12"/>
        <v>-979</v>
      </c>
      <c r="R69" s="15">
        <f t="shared" si="13"/>
        <v>-49</v>
      </c>
      <c r="S69" s="15">
        <f t="shared" si="14"/>
        <v>0</v>
      </c>
      <c r="T69" s="15">
        <f t="shared" si="15"/>
        <v>0</v>
      </c>
      <c r="U69" s="41">
        <f t="shared" si="16"/>
        <v>-1116</v>
      </c>
      <c r="V69" s="104">
        <f t="shared" si="17"/>
        <v>-0.99553969669937559</v>
      </c>
      <c r="W69" s="61" t="s">
        <v>197</v>
      </c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</row>
    <row r="70" spans="1:54" s="5" customFormat="1" ht="13.2" x14ac:dyDescent="0.25">
      <c r="A70" s="66" t="s">
        <v>3</v>
      </c>
      <c r="B70" s="77" t="s">
        <v>139</v>
      </c>
      <c r="C70" s="18">
        <v>5</v>
      </c>
      <c r="D70" s="45">
        <v>5589.67</v>
      </c>
      <c r="E70" s="15">
        <v>840</v>
      </c>
      <c r="F70" s="15">
        <v>2767</v>
      </c>
      <c r="G70" s="15">
        <v>0</v>
      </c>
      <c r="H70" s="15">
        <v>810</v>
      </c>
      <c r="I70" s="41">
        <f t="shared" ref="I70:I101" si="18">SUM(D70:H70)</f>
        <v>10006.67</v>
      </c>
      <c r="J70" s="45">
        <v>6966</v>
      </c>
      <c r="K70" s="15">
        <v>951</v>
      </c>
      <c r="L70" s="15">
        <v>3166</v>
      </c>
      <c r="M70" s="15">
        <v>32</v>
      </c>
      <c r="N70" s="15">
        <v>940</v>
      </c>
      <c r="O70" s="41">
        <f t="shared" ref="O70:O101" si="19">SUM(J70:N70)</f>
        <v>12055</v>
      </c>
      <c r="P70" s="45">
        <f t="shared" ref="P70:P101" si="20">+D70-J70</f>
        <v>-1376.33</v>
      </c>
      <c r="Q70" s="15">
        <f t="shared" ref="Q70:Q101" si="21">+E70-K70</f>
        <v>-111</v>
      </c>
      <c r="R70" s="15">
        <f t="shared" ref="R70:R101" si="22">+F70-L70</f>
        <v>-399</v>
      </c>
      <c r="S70" s="15">
        <f t="shared" ref="S70:S101" si="23">+G70-M70</f>
        <v>-32</v>
      </c>
      <c r="T70" s="15">
        <f t="shared" ref="T70:T101" si="24">+H70-N70</f>
        <v>-130</v>
      </c>
      <c r="U70" s="41">
        <f t="shared" ref="U70:U101" si="25">SUM(P70:T70)</f>
        <v>-2048.33</v>
      </c>
      <c r="V70" s="104">
        <f t="shared" ref="V70:V101" si="26">IF(O70=0,"",I70/O70-1)</f>
        <v>-0.16991538780588966</v>
      </c>
      <c r="W70" s="85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</row>
    <row r="71" spans="1:54" s="5" customFormat="1" ht="13.2" x14ac:dyDescent="0.25">
      <c r="A71" s="66" t="s">
        <v>11</v>
      </c>
      <c r="B71" s="77" t="s">
        <v>147</v>
      </c>
      <c r="C71" s="18">
        <v>5</v>
      </c>
      <c r="D71" s="45">
        <v>912.72</v>
      </c>
      <c r="E71" s="15">
        <v>6661</v>
      </c>
      <c r="F71" s="15">
        <v>10034.799999999999</v>
      </c>
      <c r="G71" s="15">
        <v>0</v>
      </c>
      <c r="H71" s="15">
        <v>5800</v>
      </c>
      <c r="I71" s="41">
        <f t="shared" si="18"/>
        <v>23408.52</v>
      </c>
      <c r="J71" s="45">
        <v>1607</v>
      </c>
      <c r="K71" s="15">
        <v>11292</v>
      </c>
      <c r="L71" s="15">
        <v>15805</v>
      </c>
      <c r="M71" s="15">
        <v>2</v>
      </c>
      <c r="N71" s="15">
        <v>9255</v>
      </c>
      <c r="O71" s="41">
        <f t="shared" si="19"/>
        <v>37961</v>
      </c>
      <c r="P71" s="45">
        <f t="shared" si="20"/>
        <v>-694.28</v>
      </c>
      <c r="Q71" s="15">
        <f t="shared" si="21"/>
        <v>-4631</v>
      </c>
      <c r="R71" s="15">
        <f t="shared" si="22"/>
        <v>-5770.2000000000007</v>
      </c>
      <c r="S71" s="15">
        <f t="shared" si="23"/>
        <v>-2</v>
      </c>
      <c r="T71" s="15">
        <f t="shared" si="24"/>
        <v>-3455</v>
      </c>
      <c r="U71" s="41">
        <f t="shared" si="25"/>
        <v>-14552.48</v>
      </c>
      <c r="V71" s="104">
        <f t="shared" si="26"/>
        <v>-0.38335344169015573</v>
      </c>
      <c r="W71" s="85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</row>
    <row r="72" spans="1:54" s="5" customFormat="1" ht="13.2" x14ac:dyDescent="0.25">
      <c r="A72" s="66" t="s">
        <v>222</v>
      </c>
      <c r="B72" s="77" t="s">
        <v>151</v>
      </c>
      <c r="C72" s="18">
        <v>5</v>
      </c>
      <c r="D72" s="45">
        <v>516.42999999999995</v>
      </c>
      <c r="E72" s="15">
        <v>310</v>
      </c>
      <c r="F72" s="15">
        <v>0</v>
      </c>
      <c r="G72" s="15">
        <v>16</v>
      </c>
      <c r="H72" s="15">
        <v>255</v>
      </c>
      <c r="I72" s="41">
        <f t="shared" si="18"/>
        <v>1097.4299999999998</v>
      </c>
      <c r="J72" s="45">
        <v>213</v>
      </c>
      <c r="K72" s="15">
        <v>391</v>
      </c>
      <c r="L72" s="15">
        <v>0</v>
      </c>
      <c r="M72" s="15">
        <v>33</v>
      </c>
      <c r="N72" s="15">
        <v>255</v>
      </c>
      <c r="O72" s="41">
        <f t="shared" si="19"/>
        <v>892</v>
      </c>
      <c r="P72" s="45">
        <f t="shared" si="20"/>
        <v>303.42999999999995</v>
      </c>
      <c r="Q72" s="15">
        <f t="shared" si="21"/>
        <v>-81</v>
      </c>
      <c r="R72" s="15">
        <f t="shared" si="22"/>
        <v>0</v>
      </c>
      <c r="S72" s="15">
        <f t="shared" si="23"/>
        <v>-17</v>
      </c>
      <c r="T72" s="15">
        <f t="shared" si="24"/>
        <v>0</v>
      </c>
      <c r="U72" s="41">
        <f t="shared" si="25"/>
        <v>205.42999999999995</v>
      </c>
      <c r="V72" s="104">
        <f t="shared" si="26"/>
        <v>0.23030269058295949</v>
      </c>
      <c r="W72" s="63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</row>
    <row r="73" spans="1:54" s="5" customFormat="1" ht="13.2" x14ac:dyDescent="0.25">
      <c r="A73" s="66" t="s">
        <v>236</v>
      </c>
      <c r="B73" s="77" t="s">
        <v>171</v>
      </c>
      <c r="C73" s="18">
        <v>5</v>
      </c>
      <c r="D73" s="45">
        <v>629.14</v>
      </c>
      <c r="E73" s="15">
        <v>1066</v>
      </c>
      <c r="F73" s="15">
        <v>2120</v>
      </c>
      <c r="G73" s="15">
        <v>0</v>
      </c>
      <c r="H73" s="15">
        <v>850</v>
      </c>
      <c r="I73" s="41">
        <f t="shared" si="18"/>
        <v>4665.1399999999994</v>
      </c>
      <c r="J73" s="45">
        <v>870</v>
      </c>
      <c r="K73" s="15">
        <v>1552</v>
      </c>
      <c r="L73" s="15">
        <v>3487</v>
      </c>
      <c r="M73" s="15">
        <v>0</v>
      </c>
      <c r="N73" s="15">
        <v>1125</v>
      </c>
      <c r="O73" s="41">
        <f t="shared" si="19"/>
        <v>7034</v>
      </c>
      <c r="P73" s="45">
        <f t="shared" si="20"/>
        <v>-240.86</v>
      </c>
      <c r="Q73" s="15">
        <f t="shared" si="21"/>
        <v>-486</v>
      </c>
      <c r="R73" s="15">
        <f t="shared" si="22"/>
        <v>-1367</v>
      </c>
      <c r="S73" s="15">
        <f t="shared" si="23"/>
        <v>0</v>
      </c>
      <c r="T73" s="15">
        <f t="shared" si="24"/>
        <v>-275</v>
      </c>
      <c r="U73" s="41">
        <f t="shared" si="25"/>
        <v>-2368.86</v>
      </c>
      <c r="V73" s="104">
        <f t="shared" si="26"/>
        <v>-0.3367728177423942</v>
      </c>
      <c r="W73" s="85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</row>
    <row r="74" spans="1:54" s="5" customFormat="1" ht="13.2" x14ac:dyDescent="0.25">
      <c r="A74" s="66" t="s">
        <v>157</v>
      </c>
      <c r="B74" s="77" t="s">
        <v>183</v>
      </c>
      <c r="C74" s="18">
        <v>5</v>
      </c>
      <c r="D74" s="45">
        <v>15</v>
      </c>
      <c r="E74" s="15">
        <v>0</v>
      </c>
      <c r="F74" s="15">
        <v>0</v>
      </c>
      <c r="G74" s="15">
        <v>0</v>
      </c>
      <c r="H74" s="15">
        <v>0</v>
      </c>
      <c r="I74" s="41">
        <f t="shared" si="18"/>
        <v>15</v>
      </c>
      <c r="J74" s="45">
        <v>33</v>
      </c>
      <c r="K74" s="15">
        <v>0</v>
      </c>
      <c r="L74" s="15">
        <v>0</v>
      </c>
      <c r="M74" s="15">
        <v>0</v>
      </c>
      <c r="N74" s="15">
        <v>0</v>
      </c>
      <c r="O74" s="41">
        <f t="shared" si="19"/>
        <v>33</v>
      </c>
      <c r="P74" s="45">
        <f t="shared" si="20"/>
        <v>-18</v>
      </c>
      <c r="Q74" s="15">
        <f t="shared" si="21"/>
        <v>0</v>
      </c>
      <c r="R74" s="15">
        <f t="shared" si="22"/>
        <v>0</v>
      </c>
      <c r="S74" s="15">
        <f t="shared" si="23"/>
        <v>0</v>
      </c>
      <c r="T74" s="15">
        <f t="shared" si="24"/>
        <v>0</v>
      </c>
      <c r="U74" s="41">
        <f t="shared" si="25"/>
        <v>-18</v>
      </c>
      <c r="V74" s="104">
        <f t="shared" si="26"/>
        <v>-0.54545454545454541</v>
      </c>
      <c r="W74" s="85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</row>
    <row r="75" spans="1:54" s="5" customFormat="1" ht="26.4" x14ac:dyDescent="0.25">
      <c r="A75" s="66" t="s">
        <v>203</v>
      </c>
      <c r="B75" s="77" t="s">
        <v>193</v>
      </c>
      <c r="C75" s="18">
        <v>5</v>
      </c>
      <c r="D75" s="45">
        <v>7459.58</v>
      </c>
      <c r="E75" s="15">
        <v>130</v>
      </c>
      <c r="F75" s="15">
        <v>1295</v>
      </c>
      <c r="G75" s="15">
        <v>0</v>
      </c>
      <c r="H75" s="15">
        <v>180</v>
      </c>
      <c r="I75" s="41">
        <f t="shared" si="18"/>
        <v>9064.58</v>
      </c>
      <c r="J75" s="45">
        <v>9338</v>
      </c>
      <c r="K75" s="15">
        <v>0</v>
      </c>
      <c r="L75" s="15">
        <v>920</v>
      </c>
      <c r="M75" s="15">
        <v>0</v>
      </c>
      <c r="N75" s="15">
        <v>675</v>
      </c>
      <c r="O75" s="41">
        <f t="shared" si="19"/>
        <v>10933</v>
      </c>
      <c r="P75" s="45">
        <f t="shared" si="20"/>
        <v>-1878.42</v>
      </c>
      <c r="Q75" s="15">
        <f t="shared" si="21"/>
        <v>130</v>
      </c>
      <c r="R75" s="15">
        <f t="shared" si="22"/>
        <v>375</v>
      </c>
      <c r="S75" s="15">
        <f t="shared" si="23"/>
        <v>0</v>
      </c>
      <c r="T75" s="15">
        <f t="shared" si="24"/>
        <v>-495</v>
      </c>
      <c r="U75" s="41">
        <f t="shared" si="25"/>
        <v>-1868.42</v>
      </c>
      <c r="V75" s="104">
        <f t="shared" si="26"/>
        <v>-0.17089728345376387</v>
      </c>
      <c r="W75" s="85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</row>
    <row r="76" spans="1:54" s="5" customFormat="1" ht="13.2" x14ac:dyDescent="0.25">
      <c r="A76" s="66" t="s">
        <v>216</v>
      </c>
      <c r="B76" s="77" t="s">
        <v>65</v>
      </c>
      <c r="C76" s="18">
        <v>6</v>
      </c>
      <c r="D76" s="45">
        <v>134.82</v>
      </c>
      <c r="E76" s="15">
        <v>845.5</v>
      </c>
      <c r="F76" s="15">
        <v>1536.5</v>
      </c>
      <c r="G76" s="15">
        <v>0</v>
      </c>
      <c r="H76" s="15">
        <v>1035</v>
      </c>
      <c r="I76" s="41">
        <f t="shared" si="18"/>
        <v>3551.8199999999997</v>
      </c>
      <c r="J76" s="45">
        <v>168</v>
      </c>
      <c r="K76" s="15">
        <v>1976</v>
      </c>
      <c r="L76" s="15">
        <v>2021</v>
      </c>
      <c r="M76" s="15">
        <v>204</v>
      </c>
      <c r="N76" s="15">
        <v>1260</v>
      </c>
      <c r="O76" s="41">
        <f t="shared" si="19"/>
        <v>5629</v>
      </c>
      <c r="P76" s="45">
        <f t="shared" si="20"/>
        <v>-33.180000000000007</v>
      </c>
      <c r="Q76" s="15">
        <f t="shared" si="21"/>
        <v>-1130.5</v>
      </c>
      <c r="R76" s="15">
        <f t="shared" si="22"/>
        <v>-484.5</v>
      </c>
      <c r="S76" s="15">
        <f t="shared" si="23"/>
        <v>-204</v>
      </c>
      <c r="T76" s="15">
        <f t="shared" si="24"/>
        <v>-225</v>
      </c>
      <c r="U76" s="41">
        <f t="shared" si="25"/>
        <v>-2077.1800000000003</v>
      </c>
      <c r="V76" s="104">
        <f t="shared" si="26"/>
        <v>-0.36901403446438097</v>
      </c>
      <c r="W76" s="85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</row>
    <row r="77" spans="1:54" s="5" customFormat="1" ht="13.2" x14ac:dyDescent="0.25">
      <c r="A77" s="66" t="s">
        <v>23</v>
      </c>
      <c r="B77" s="77" t="s">
        <v>74</v>
      </c>
      <c r="C77" s="18">
        <v>6</v>
      </c>
      <c r="D77" s="45">
        <v>260</v>
      </c>
      <c r="E77" s="15">
        <v>476</v>
      </c>
      <c r="F77" s="15">
        <v>30</v>
      </c>
      <c r="G77" s="15">
        <v>0</v>
      </c>
      <c r="H77" s="15">
        <v>285</v>
      </c>
      <c r="I77" s="41">
        <f t="shared" si="18"/>
        <v>1051</v>
      </c>
      <c r="J77" s="45">
        <v>632</v>
      </c>
      <c r="K77" s="15">
        <v>709</v>
      </c>
      <c r="L77" s="15">
        <v>145</v>
      </c>
      <c r="M77" s="15">
        <v>0</v>
      </c>
      <c r="N77" s="15">
        <v>630</v>
      </c>
      <c r="O77" s="41">
        <f t="shared" si="19"/>
        <v>2116</v>
      </c>
      <c r="P77" s="45">
        <f t="shared" si="20"/>
        <v>-372</v>
      </c>
      <c r="Q77" s="15">
        <f t="shared" si="21"/>
        <v>-233</v>
      </c>
      <c r="R77" s="15">
        <f t="shared" si="22"/>
        <v>-115</v>
      </c>
      <c r="S77" s="15">
        <f t="shared" si="23"/>
        <v>0</v>
      </c>
      <c r="T77" s="15">
        <f t="shared" si="24"/>
        <v>-345</v>
      </c>
      <c r="U77" s="41">
        <f t="shared" si="25"/>
        <v>-1065</v>
      </c>
      <c r="V77" s="104">
        <f t="shared" si="26"/>
        <v>-0.50330812854442342</v>
      </c>
      <c r="W77" s="85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</row>
    <row r="78" spans="1:54" s="5" customFormat="1" ht="13.2" x14ac:dyDescent="0.25">
      <c r="A78" s="66" t="s">
        <v>242</v>
      </c>
      <c r="B78" s="77" t="s">
        <v>81</v>
      </c>
      <c r="C78" s="18">
        <v>6</v>
      </c>
      <c r="D78" s="45">
        <v>0</v>
      </c>
      <c r="E78" s="15">
        <v>435.83</v>
      </c>
      <c r="F78" s="15">
        <v>186</v>
      </c>
      <c r="G78" s="15">
        <v>9</v>
      </c>
      <c r="H78" s="15">
        <v>60</v>
      </c>
      <c r="I78" s="41">
        <f t="shared" si="18"/>
        <v>690.82999999999993</v>
      </c>
      <c r="J78" s="45">
        <v>0</v>
      </c>
      <c r="K78" s="15">
        <v>855</v>
      </c>
      <c r="L78" s="15">
        <v>120</v>
      </c>
      <c r="M78" s="15">
        <v>205</v>
      </c>
      <c r="N78" s="15">
        <v>180</v>
      </c>
      <c r="O78" s="41">
        <f t="shared" si="19"/>
        <v>1360</v>
      </c>
      <c r="P78" s="45">
        <f t="shared" si="20"/>
        <v>0</v>
      </c>
      <c r="Q78" s="15">
        <f t="shared" si="21"/>
        <v>-419.17</v>
      </c>
      <c r="R78" s="15">
        <f t="shared" si="22"/>
        <v>66</v>
      </c>
      <c r="S78" s="15">
        <f t="shared" si="23"/>
        <v>-196</v>
      </c>
      <c r="T78" s="15">
        <f t="shared" si="24"/>
        <v>-120</v>
      </c>
      <c r="U78" s="41">
        <f t="shared" si="25"/>
        <v>-669.17000000000007</v>
      </c>
      <c r="V78" s="104">
        <f t="shared" si="26"/>
        <v>-0.49203676470588242</v>
      </c>
      <c r="W78" s="61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</row>
    <row r="79" spans="1:54" s="5" customFormat="1" ht="13.2" x14ac:dyDescent="0.25">
      <c r="A79" s="66" t="s">
        <v>32</v>
      </c>
      <c r="B79" s="77" t="s">
        <v>92</v>
      </c>
      <c r="C79" s="18">
        <v>6</v>
      </c>
      <c r="D79" s="45">
        <v>50</v>
      </c>
      <c r="E79" s="15">
        <v>62</v>
      </c>
      <c r="F79" s="15">
        <v>186</v>
      </c>
      <c r="G79" s="15">
        <v>0</v>
      </c>
      <c r="H79" s="15">
        <v>0</v>
      </c>
      <c r="I79" s="41">
        <f t="shared" si="18"/>
        <v>298</v>
      </c>
      <c r="J79" s="45">
        <v>77</v>
      </c>
      <c r="K79" s="15">
        <v>203</v>
      </c>
      <c r="L79" s="15">
        <v>209</v>
      </c>
      <c r="M79" s="15">
        <v>0</v>
      </c>
      <c r="N79" s="15">
        <v>0</v>
      </c>
      <c r="O79" s="41">
        <f t="shared" si="19"/>
        <v>489</v>
      </c>
      <c r="P79" s="45">
        <f t="shared" si="20"/>
        <v>-27</v>
      </c>
      <c r="Q79" s="15">
        <f t="shared" si="21"/>
        <v>-141</v>
      </c>
      <c r="R79" s="15">
        <f t="shared" si="22"/>
        <v>-23</v>
      </c>
      <c r="S79" s="15">
        <f t="shared" si="23"/>
        <v>0</v>
      </c>
      <c r="T79" s="15">
        <f t="shared" si="24"/>
        <v>0</v>
      </c>
      <c r="U79" s="41">
        <f t="shared" si="25"/>
        <v>-191</v>
      </c>
      <c r="V79" s="104">
        <f t="shared" si="26"/>
        <v>-0.39059304703476483</v>
      </c>
      <c r="W79" s="85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</row>
    <row r="80" spans="1:54" s="5" customFormat="1" ht="13.2" x14ac:dyDescent="0.25">
      <c r="A80" s="66" t="s">
        <v>41</v>
      </c>
      <c r="B80" s="77" t="s">
        <v>104</v>
      </c>
      <c r="C80" s="18">
        <v>6</v>
      </c>
      <c r="D80" s="45">
        <v>218.99</v>
      </c>
      <c r="E80" s="15">
        <v>106</v>
      </c>
      <c r="F80" s="15">
        <v>217.5</v>
      </c>
      <c r="G80" s="15">
        <v>0</v>
      </c>
      <c r="H80" s="15">
        <v>0</v>
      </c>
      <c r="I80" s="41">
        <f t="shared" si="18"/>
        <v>542.49</v>
      </c>
      <c r="J80" s="45">
        <v>175</v>
      </c>
      <c r="K80" s="15">
        <v>126</v>
      </c>
      <c r="L80" s="15">
        <v>18</v>
      </c>
      <c r="M80" s="15">
        <v>0</v>
      </c>
      <c r="N80" s="15">
        <v>120</v>
      </c>
      <c r="O80" s="41">
        <f t="shared" si="19"/>
        <v>439</v>
      </c>
      <c r="P80" s="45">
        <f t="shared" si="20"/>
        <v>43.990000000000009</v>
      </c>
      <c r="Q80" s="15">
        <f t="shared" si="21"/>
        <v>-20</v>
      </c>
      <c r="R80" s="15">
        <f t="shared" si="22"/>
        <v>199.5</v>
      </c>
      <c r="S80" s="15">
        <f t="shared" si="23"/>
        <v>0</v>
      </c>
      <c r="T80" s="15">
        <f t="shared" si="24"/>
        <v>-120</v>
      </c>
      <c r="U80" s="41">
        <f t="shared" si="25"/>
        <v>103.49000000000001</v>
      </c>
      <c r="V80" s="104">
        <f t="shared" si="26"/>
        <v>0.23574031890660585</v>
      </c>
      <c r="W80" s="85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</row>
    <row r="81" spans="1:54" s="5" customFormat="1" ht="13.2" x14ac:dyDescent="0.25">
      <c r="A81" s="66" t="s">
        <v>46</v>
      </c>
      <c r="B81" s="77" t="s">
        <v>109</v>
      </c>
      <c r="C81" s="18">
        <v>6</v>
      </c>
      <c r="D81" s="45">
        <v>21</v>
      </c>
      <c r="E81" s="15">
        <v>512</v>
      </c>
      <c r="F81" s="15">
        <v>2452</v>
      </c>
      <c r="G81" s="15">
        <v>55</v>
      </c>
      <c r="H81" s="15">
        <v>750</v>
      </c>
      <c r="I81" s="41">
        <f t="shared" si="18"/>
        <v>3790</v>
      </c>
      <c r="J81" s="45">
        <v>76</v>
      </c>
      <c r="K81" s="15">
        <v>763</v>
      </c>
      <c r="L81" s="15">
        <v>3935</v>
      </c>
      <c r="M81" s="15">
        <v>83</v>
      </c>
      <c r="N81" s="15">
        <v>1275</v>
      </c>
      <c r="O81" s="41">
        <f t="shared" si="19"/>
        <v>6132</v>
      </c>
      <c r="P81" s="45">
        <f t="shared" si="20"/>
        <v>-55</v>
      </c>
      <c r="Q81" s="15">
        <f t="shared" si="21"/>
        <v>-251</v>
      </c>
      <c r="R81" s="15">
        <f t="shared" si="22"/>
        <v>-1483</v>
      </c>
      <c r="S81" s="15">
        <f t="shared" si="23"/>
        <v>-28</v>
      </c>
      <c r="T81" s="15">
        <f t="shared" si="24"/>
        <v>-525</v>
      </c>
      <c r="U81" s="41">
        <f t="shared" si="25"/>
        <v>-2342</v>
      </c>
      <c r="V81" s="104">
        <f t="shared" si="26"/>
        <v>-0.38193085453359421</v>
      </c>
      <c r="W81" s="85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</row>
    <row r="82" spans="1:54" s="5" customFormat="1" ht="13.2" x14ac:dyDescent="0.25">
      <c r="A82" s="66" t="s">
        <v>60</v>
      </c>
      <c r="B82" s="77" t="s">
        <v>124</v>
      </c>
      <c r="C82" s="18">
        <v>6</v>
      </c>
      <c r="D82" s="45">
        <v>8</v>
      </c>
      <c r="E82" s="15">
        <v>675</v>
      </c>
      <c r="F82" s="15">
        <v>730</v>
      </c>
      <c r="G82" s="15">
        <v>0</v>
      </c>
      <c r="H82" s="15">
        <v>675</v>
      </c>
      <c r="I82" s="41">
        <f t="shared" si="18"/>
        <v>2088</v>
      </c>
      <c r="J82" s="45">
        <v>84</v>
      </c>
      <c r="K82" s="15">
        <v>1155</v>
      </c>
      <c r="L82" s="15">
        <v>1558</v>
      </c>
      <c r="M82" s="15">
        <v>31</v>
      </c>
      <c r="N82" s="15">
        <v>375</v>
      </c>
      <c r="O82" s="41">
        <f t="shared" si="19"/>
        <v>3203</v>
      </c>
      <c r="P82" s="45">
        <f t="shared" si="20"/>
        <v>-76</v>
      </c>
      <c r="Q82" s="15">
        <f t="shared" si="21"/>
        <v>-480</v>
      </c>
      <c r="R82" s="15">
        <f t="shared" si="22"/>
        <v>-828</v>
      </c>
      <c r="S82" s="15">
        <f t="shared" si="23"/>
        <v>-31</v>
      </c>
      <c r="T82" s="15">
        <f t="shared" si="24"/>
        <v>300</v>
      </c>
      <c r="U82" s="41">
        <f t="shared" si="25"/>
        <v>-1115</v>
      </c>
      <c r="V82" s="104">
        <f t="shared" si="26"/>
        <v>-0.34811114580081171</v>
      </c>
      <c r="W82" s="85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</row>
    <row r="83" spans="1:54" s="5" customFormat="1" ht="13.2" x14ac:dyDescent="0.25">
      <c r="A83" s="66" t="s">
        <v>62</v>
      </c>
      <c r="B83" s="77" t="s">
        <v>126</v>
      </c>
      <c r="C83" s="18">
        <v>6</v>
      </c>
      <c r="D83" s="45">
        <v>1</v>
      </c>
      <c r="E83" s="15">
        <v>354</v>
      </c>
      <c r="F83" s="15">
        <v>4595.1000000000004</v>
      </c>
      <c r="G83" s="15">
        <v>0</v>
      </c>
      <c r="H83" s="15">
        <v>510</v>
      </c>
      <c r="I83" s="41">
        <f t="shared" si="18"/>
        <v>5460.1</v>
      </c>
      <c r="J83" s="45">
        <v>61</v>
      </c>
      <c r="K83" s="15">
        <v>956</v>
      </c>
      <c r="L83" s="15">
        <v>6654</v>
      </c>
      <c r="M83" s="15">
        <v>178</v>
      </c>
      <c r="N83" s="15">
        <v>450</v>
      </c>
      <c r="O83" s="41">
        <f t="shared" si="19"/>
        <v>8299</v>
      </c>
      <c r="P83" s="45">
        <f t="shared" si="20"/>
        <v>-60</v>
      </c>
      <c r="Q83" s="15">
        <f t="shared" si="21"/>
        <v>-602</v>
      </c>
      <c r="R83" s="15">
        <f t="shared" si="22"/>
        <v>-2058.8999999999996</v>
      </c>
      <c r="S83" s="15">
        <f t="shared" si="23"/>
        <v>-178</v>
      </c>
      <c r="T83" s="15">
        <f t="shared" si="24"/>
        <v>60</v>
      </c>
      <c r="U83" s="41">
        <f t="shared" si="25"/>
        <v>-2838.8999999999996</v>
      </c>
      <c r="V83" s="104">
        <f t="shared" si="26"/>
        <v>-0.34207735871791778</v>
      </c>
      <c r="W83" s="85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</row>
    <row r="84" spans="1:54" s="5" customFormat="1" ht="13.2" x14ac:dyDescent="0.25">
      <c r="A84" s="66" t="s">
        <v>64</v>
      </c>
      <c r="B84" s="77" t="s">
        <v>128</v>
      </c>
      <c r="C84" s="18">
        <v>6</v>
      </c>
      <c r="D84" s="45">
        <v>12.75</v>
      </c>
      <c r="E84" s="15">
        <v>292.14999999999998</v>
      </c>
      <c r="F84" s="15">
        <v>820</v>
      </c>
      <c r="G84" s="15">
        <v>0</v>
      </c>
      <c r="H84" s="15">
        <v>420</v>
      </c>
      <c r="I84" s="41">
        <f t="shared" si="18"/>
        <v>1544.9</v>
      </c>
      <c r="J84" s="45">
        <v>0</v>
      </c>
      <c r="K84" s="15">
        <v>294</v>
      </c>
      <c r="L84" s="15">
        <v>0</v>
      </c>
      <c r="M84" s="15">
        <v>0</v>
      </c>
      <c r="N84" s="15">
        <v>60</v>
      </c>
      <c r="O84" s="41">
        <f t="shared" si="19"/>
        <v>354</v>
      </c>
      <c r="P84" s="45">
        <f t="shared" si="20"/>
        <v>12.75</v>
      </c>
      <c r="Q84" s="15">
        <f t="shared" si="21"/>
        <v>-1.8500000000000227</v>
      </c>
      <c r="R84" s="15">
        <f t="shared" si="22"/>
        <v>820</v>
      </c>
      <c r="S84" s="15">
        <f t="shared" si="23"/>
        <v>0</v>
      </c>
      <c r="T84" s="15">
        <f t="shared" si="24"/>
        <v>360</v>
      </c>
      <c r="U84" s="41">
        <f t="shared" si="25"/>
        <v>1190.9000000000001</v>
      </c>
      <c r="V84" s="104">
        <f t="shared" si="26"/>
        <v>3.3641242937853111</v>
      </c>
      <c r="W84" s="85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</row>
    <row r="85" spans="1:54" s="5" customFormat="1" ht="13.2" x14ac:dyDescent="0.25">
      <c r="A85" s="66" t="s">
        <v>237</v>
      </c>
      <c r="B85" s="77" t="s">
        <v>172</v>
      </c>
      <c r="C85" s="18">
        <v>6</v>
      </c>
      <c r="D85" s="45">
        <v>173.25</v>
      </c>
      <c r="E85" s="15">
        <v>5332</v>
      </c>
      <c r="F85" s="15">
        <v>3686</v>
      </c>
      <c r="G85" s="15">
        <v>0</v>
      </c>
      <c r="H85" s="15">
        <v>1365</v>
      </c>
      <c r="I85" s="41">
        <f t="shared" si="18"/>
        <v>10556.25</v>
      </c>
      <c r="J85" s="45">
        <v>990</v>
      </c>
      <c r="K85" s="15">
        <v>16811</v>
      </c>
      <c r="L85" s="15">
        <v>6928</v>
      </c>
      <c r="M85" s="15">
        <v>0</v>
      </c>
      <c r="N85" s="15">
        <v>4965</v>
      </c>
      <c r="O85" s="41">
        <f t="shared" si="19"/>
        <v>29694</v>
      </c>
      <c r="P85" s="45">
        <f t="shared" si="20"/>
        <v>-816.75</v>
      </c>
      <c r="Q85" s="15">
        <f t="shared" si="21"/>
        <v>-11479</v>
      </c>
      <c r="R85" s="15">
        <f t="shared" si="22"/>
        <v>-3242</v>
      </c>
      <c r="S85" s="15">
        <f t="shared" si="23"/>
        <v>0</v>
      </c>
      <c r="T85" s="15">
        <f t="shared" si="24"/>
        <v>-3600</v>
      </c>
      <c r="U85" s="41">
        <f t="shared" si="25"/>
        <v>-19137.75</v>
      </c>
      <c r="V85" s="104">
        <f t="shared" si="26"/>
        <v>-0.64449888866437666</v>
      </c>
      <c r="W85" s="85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</row>
    <row r="86" spans="1:54" s="5" customFormat="1" ht="13.2" x14ac:dyDescent="0.25">
      <c r="A86" s="66" t="s">
        <v>239</v>
      </c>
      <c r="B86" s="77" t="s">
        <v>175</v>
      </c>
      <c r="C86" s="18">
        <v>6</v>
      </c>
      <c r="D86" s="45">
        <v>60.95</v>
      </c>
      <c r="E86" s="15">
        <v>342</v>
      </c>
      <c r="F86" s="15">
        <v>2374</v>
      </c>
      <c r="G86" s="15">
        <v>0</v>
      </c>
      <c r="H86" s="15">
        <v>75</v>
      </c>
      <c r="I86" s="41">
        <f t="shared" si="18"/>
        <v>2851.95</v>
      </c>
      <c r="J86" s="45">
        <v>4</v>
      </c>
      <c r="K86" s="15">
        <v>296</v>
      </c>
      <c r="L86" s="15">
        <v>0</v>
      </c>
      <c r="M86" s="15">
        <v>0</v>
      </c>
      <c r="N86" s="15">
        <v>180</v>
      </c>
      <c r="O86" s="41">
        <f t="shared" si="19"/>
        <v>480</v>
      </c>
      <c r="P86" s="45">
        <f t="shared" si="20"/>
        <v>56.95</v>
      </c>
      <c r="Q86" s="15">
        <f t="shared" si="21"/>
        <v>46</v>
      </c>
      <c r="R86" s="15">
        <f t="shared" si="22"/>
        <v>2374</v>
      </c>
      <c r="S86" s="15">
        <f t="shared" si="23"/>
        <v>0</v>
      </c>
      <c r="T86" s="15">
        <f t="shared" si="24"/>
        <v>-105</v>
      </c>
      <c r="U86" s="41">
        <f t="shared" si="25"/>
        <v>2371.9499999999998</v>
      </c>
      <c r="V86" s="104">
        <f t="shared" si="26"/>
        <v>4.9415624999999999</v>
      </c>
      <c r="W86" s="85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</row>
    <row r="87" spans="1:54" s="5" customFormat="1" ht="13.2" x14ac:dyDescent="0.25">
      <c r="A87" s="66" t="s">
        <v>155</v>
      </c>
      <c r="B87" s="77" t="s">
        <v>181</v>
      </c>
      <c r="C87" s="18">
        <v>6</v>
      </c>
      <c r="D87" s="45">
        <v>8</v>
      </c>
      <c r="E87" s="15">
        <v>1123</v>
      </c>
      <c r="F87" s="15">
        <v>2827</v>
      </c>
      <c r="G87" s="15">
        <v>8</v>
      </c>
      <c r="H87" s="15">
        <v>1365</v>
      </c>
      <c r="I87" s="41">
        <f t="shared" si="18"/>
        <v>5331</v>
      </c>
      <c r="J87" s="45">
        <v>6</v>
      </c>
      <c r="K87" s="15">
        <v>1842</v>
      </c>
      <c r="L87" s="15">
        <v>5126</v>
      </c>
      <c r="M87" s="15">
        <v>10</v>
      </c>
      <c r="N87" s="15">
        <v>1515</v>
      </c>
      <c r="O87" s="41">
        <f t="shared" si="19"/>
        <v>8499</v>
      </c>
      <c r="P87" s="45">
        <f t="shared" si="20"/>
        <v>2</v>
      </c>
      <c r="Q87" s="15">
        <f t="shared" si="21"/>
        <v>-719</v>
      </c>
      <c r="R87" s="15">
        <f t="shared" si="22"/>
        <v>-2299</v>
      </c>
      <c r="S87" s="15">
        <f t="shared" si="23"/>
        <v>-2</v>
      </c>
      <c r="T87" s="15">
        <f t="shared" si="24"/>
        <v>-150</v>
      </c>
      <c r="U87" s="41">
        <f t="shared" si="25"/>
        <v>-3168</v>
      </c>
      <c r="V87" s="104">
        <f t="shared" si="26"/>
        <v>-0.37274973526297206</v>
      </c>
      <c r="W87" s="85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</row>
    <row r="88" spans="1:54" s="5" customFormat="1" ht="21" x14ac:dyDescent="0.25">
      <c r="A88" s="66" t="s">
        <v>209</v>
      </c>
      <c r="B88" s="77" t="s">
        <v>66</v>
      </c>
      <c r="C88" s="18">
        <v>7</v>
      </c>
      <c r="D88" s="45">
        <v>0</v>
      </c>
      <c r="E88" s="15">
        <v>0</v>
      </c>
      <c r="F88" s="15">
        <v>0</v>
      </c>
      <c r="G88" s="15">
        <v>0</v>
      </c>
      <c r="H88" s="15">
        <v>0</v>
      </c>
      <c r="I88" s="41">
        <f t="shared" si="18"/>
        <v>0</v>
      </c>
      <c r="J88" s="45">
        <v>0</v>
      </c>
      <c r="K88" s="15">
        <v>0</v>
      </c>
      <c r="L88" s="15">
        <v>0</v>
      </c>
      <c r="M88" s="15">
        <v>0</v>
      </c>
      <c r="N88" s="15">
        <v>0</v>
      </c>
      <c r="O88" s="41">
        <f t="shared" si="19"/>
        <v>0</v>
      </c>
      <c r="P88" s="45">
        <f t="shared" si="20"/>
        <v>0</v>
      </c>
      <c r="Q88" s="15">
        <f t="shared" si="21"/>
        <v>0</v>
      </c>
      <c r="R88" s="15">
        <f t="shared" si="22"/>
        <v>0</v>
      </c>
      <c r="S88" s="15">
        <f t="shared" si="23"/>
        <v>0</v>
      </c>
      <c r="T88" s="15">
        <f t="shared" si="24"/>
        <v>0</v>
      </c>
      <c r="U88" s="41">
        <f t="shared" si="25"/>
        <v>0</v>
      </c>
      <c r="V88" s="104" t="str">
        <f t="shared" si="26"/>
        <v/>
      </c>
      <c r="W88" s="30" t="s">
        <v>250</v>
      </c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</row>
    <row r="89" spans="1:54" s="5" customFormat="1" ht="13.2" x14ac:dyDescent="0.25">
      <c r="A89" s="66" t="s">
        <v>24</v>
      </c>
      <c r="B89" s="77" t="s">
        <v>75</v>
      </c>
      <c r="C89" s="18">
        <v>7</v>
      </c>
      <c r="D89" s="45">
        <v>291.94</v>
      </c>
      <c r="E89" s="15">
        <v>2079</v>
      </c>
      <c r="F89" s="15">
        <v>7016</v>
      </c>
      <c r="G89" s="15">
        <v>0</v>
      </c>
      <c r="H89" s="15">
        <v>1658</v>
      </c>
      <c r="I89" s="41">
        <f t="shared" si="18"/>
        <v>11044.94</v>
      </c>
      <c r="J89" s="45">
        <v>620</v>
      </c>
      <c r="K89" s="15">
        <v>3394</v>
      </c>
      <c r="L89" s="15">
        <v>9396</v>
      </c>
      <c r="M89" s="15">
        <v>8</v>
      </c>
      <c r="N89" s="15">
        <v>3750</v>
      </c>
      <c r="O89" s="41">
        <f t="shared" si="19"/>
        <v>17168</v>
      </c>
      <c r="P89" s="45">
        <f t="shared" si="20"/>
        <v>-328.06</v>
      </c>
      <c r="Q89" s="15">
        <f t="shared" si="21"/>
        <v>-1315</v>
      </c>
      <c r="R89" s="15">
        <f t="shared" si="22"/>
        <v>-2380</v>
      </c>
      <c r="S89" s="15">
        <f t="shared" si="23"/>
        <v>-8</v>
      </c>
      <c r="T89" s="15">
        <f t="shared" si="24"/>
        <v>-2092</v>
      </c>
      <c r="U89" s="41">
        <f t="shared" si="25"/>
        <v>-6123.0599999999995</v>
      </c>
      <c r="V89" s="104">
        <f t="shared" si="26"/>
        <v>-0.35665540540540541</v>
      </c>
      <c r="W89" s="85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</row>
    <row r="90" spans="1:54" s="5" customFormat="1" ht="13.2" x14ac:dyDescent="0.25">
      <c r="A90" s="66" t="s">
        <v>248</v>
      </c>
      <c r="B90" s="77" t="s">
        <v>88</v>
      </c>
      <c r="C90" s="18">
        <v>7</v>
      </c>
      <c r="D90" s="45">
        <v>1393.27</v>
      </c>
      <c r="E90" s="15">
        <v>941</v>
      </c>
      <c r="F90" s="15">
        <v>1390.5</v>
      </c>
      <c r="G90" s="15">
        <v>163.46</v>
      </c>
      <c r="H90" s="15">
        <v>375</v>
      </c>
      <c r="I90" s="41">
        <f t="shared" si="18"/>
        <v>4263.2299999999996</v>
      </c>
      <c r="J90" s="45">
        <v>2809</v>
      </c>
      <c r="K90" s="15">
        <v>2973</v>
      </c>
      <c r="L90" s="15">
        <v>2887</v>
      </c>
      <c r="M90" s="15">
        <v>160</v>
      </c>
      <c r="N90" s="15">
        <v>990</v>
      </c>
      <c r="O90" s="41">
        <f t="shared" si="19"/>
        <v>9819</v>
      </c>
      <c r="P90" s="45">
        <f t="shared" si="20"/>
        <v>-1415.73</v>
      </c>
      <c r="Q90" s="15">
        <f t="shared" si="21"/>
        <v>-2032</v>
      </c>
      <c r="R90" s="15">
        <f t="shared" si="22"/>
        <v>-1496.5</v>
      </c>
      <c r="S90" s="15">
        <f t="shared" si="23"/>
        <v>3.460000000000008</v>
      </c>
      <c r="T90" s="15">
        <f t="shared" si="24"/>
        <v>-615</v>
      </c>
      <c r="U90" s="41">
        <f t="shared" si="25"/>
        <v>-5555.7699999999995</v>
      </c>
      <c r="V90" s="104">
        <f t="shared" si="26"/>
        <v>-0.56581831143700989</v>
      </c>
      <c r="W90" s="85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</row>
    <row r="91" spans="1:54" s="5" customFormat="1" ht="13.2" x14ac:dyDescent="0.25">
      <c r="A91" s="66" t="s">
        <v>37</v>
      </c>
      <c r="B91" s="77" t="s">
        <v>99</v>
      </c>
      <c r="C91" s="18">
        <v>7</v>
      </c>
      <c r="D91" s="45">
        <v>1986.27</v>
      </c>
      <c r="E91" s="15">
        <v>23279</v>
      </c>
      <c r="F91" s="15">
        <v>7078.5</v>
      </c>
      <c r="G91" s="15">
        <v>221.89</v>
      </c>
      <c r="H91" s="15">
        <v>5760</v>
      </c>
      <c r="I91" s="41">
        <f t="shared" si="18"/>
        <v>38325.660000000003</v>
      </c>
      <c r="J91" s="45">
        <v>2274</v>
      </c>
      <c r="K91" s="15">
        <v>39195</v>
      </c>
      <c r="L91" s="15">
        <v>7439</v>
      </c>
      <c r="M91" s="15">
        <v>253</v>
      </c>
      <c r="N91" s="15">
        <v>7995</v>
      </c>
      <c r="O91" s="41">
        <f t="shared" si="19"/>
        <v>57156</v>
      </c>
      <c r="P91" s="45">
        <f t="shared" si="20"/>
        <v>-287.73</v>
      </c>
      <c r="Q91" s="15">
        <f t="shared" si="21"/>
        <v>-15916</v>
      </c>
      <c r="R91" s="15">
        <f t="shared" si="22"/>
        <v>-360.5</v>
      </c>
      <c r="S91" s="15">
        <f t="shared" si="23"/>
        <v>-31.110000000000014</v>
      </c>
      <c r="T91" s="15">
        <f t="shared" si="24"/>
        <v>-2235</v>
      </c>
      <c r="U91" s="41">
        <f t="shared" si="25"/>
        <v>-18830.34</v>
      </c>
      <c r="V91" s="104">
        <f t="shared" si="26"/>
        <v>-0.32945517530967872</v>
      </c>
      <c r="W91" s="89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</row>
    <row r="92" spans="1:54" s="5" customFormat="1" ht="13.2" x14ac:dyDescent="0.25">
      <c r="A92" s="66" t="s">
        <v>44</v>
      </c>
      <c r="B92" s="77" t="s">
        <v>107</v>
      </c>
      <c r="C92" s="18">
        <v>7</v>
      </c>
      <c r="D92" s="45">
        <v>199.72</v>
      </c>
      <c r="E92" s="15">
        <v>239</v>
      </c>
      <c r="F92" s="15">
        <v>0</v>
      </c>
      <c r="G92" s="15">
        <v>0</v>
      </c>
      <c r="H92" s="15">
        <v>0</v>
      </c>
      <c r="I92" s="41">
        <f t="shared" si="18"/>
        <v>438.72</v>
      </c>
      <c r="J92" s="45">
        <v>282</v>
      </c>
      <c r="K92" s="15">
        <v>341</v>
      </c>
      <c r="L92" s="15">
        <v>0</v>
      </c>
      <c r="M92" s="15">
        <v>0</v>
      </c>
      <c r="N92" s="15">
        <v>0</v>
      </c>
      <c r="O92" s="41">
        <f t="shared" si="19"/>
        <v>623</v>
      </c>
      <c r="P92" s="45">
        <f t="shared" si="20"/>
        <v>-82.28</v>
      </c>
      <c r="Q92" s="15">
        <f t="shared" si="21"/>
        <v>-102</v>
      </c>
      <c r="R92" s="15">
        <f t="shared" si="22"/>
        <v>0</v>
      </c>
      <c r="S92" s="15">
        <f t="shared" si="23"/>
        <v>0</v>
      </c>
      <c r="T92" s="15">
        <f t="shared" si="24"/>
        <v>0</v>
      </c>
      <c r="U92" s="41">
        <f t="shared" si="25"/>
        <v>-184.28</v>
      </c>
      <c r="V92" s="104">
        <f t="shared" si="26"/>
        <v>-0.29579454253611548</v>
      </c>
      <c r="W92" s="85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</row>
    <row r="93" spans="1:54" s="5" customFormat="1" ht="13.2" x14ac:dyDescent="0.25">
      <c r="A93" s="66" t="s">
        <v>50</v>
      </c>
      <c r="B93" s="77" t="s">
        <v>113</v>
      </c>
      <c r="C93" s="18">
        <v>7</v>
      </c>
      <c r="D93" s="45">
        <v>63</v>
      </c>
      <c r="E93" s="15">
        <v>3235</v>
      </c>
      <c r="F93" s="15">
        <v>12678.4</v>
      </c>
      <c r="G93" s="15">
        <v>0</v>
      </c>
      <c r="H93" s="15">
        <v>2880</v>
      </c>
      <c r="I93" s="41">
        <f t="shared" si="18"/>
        <v>18856.400000000001</v>
      </c>
      <c r="J93" s="45">
        <v>143</v>
      </c>
      <c r="K93" s="15">
        <v>5173</v>
      </c>
      <c r="L93" s="15">
        <v>14947</v>
      </c>
      <c r="M93" s="15">
        <v>0</v>
      </c>
      <c r="N93" s="15">
        <v>4420</v>
      </c>
      <c r="O93" s="41">
        <f t="shared" si="19"/>
        <v>24683</v>
      </c>
      <c r="P93" s="45">
        <f t="shared" si="20"/>
        <v>-80</v>
      </c>
      <c r="Q93" s="15">
        <f t="shared" si="21"/>
        <v>-1938</v>
      </c>
      <c r="R93" s="15">
        <f t="shared" si="22"/>
        <v>-2268.6000000000004</v>
      </c>
      <c r="S93" s="15">
        <f t="shared" si="23"/>
        <v>0</v>
      </c>
      <c r="T93" s="15">
        <f t="shared" si="24"/>
        <v>-1540</v>
      </c>
      <c r="U93" s="41">
        <f t="shared" si="25"/>
        <v>-5826.6</v>
      </c>
      <c r="V93" s="104">
        <f t="shared" si="26"/>
        <v>-0.23605720536401564</v>
      </c>
      <c r="W93" s="85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</row>
    <row r="94" spans="1:54" s="5" customFormat="1" ht="13.2" x14ac:dyDescent="0.25">
      <c r="A94" s="66" t="s">
        <v>54</v>
      </c>
      <c r="B94" s="77" t="s">
        <v>118</v>
      </c>
      <c r="C94" s="18">
        <v>7</v>
      </c>
      <c r="D94" s="45">
        <v>1935</v>
      </c>
      <c r="E94" s="15">
        <v>1147</v>
      </c>
      <c r="F94" s="15">
        <v>1866</v>
      </c>
      <c r="G94" s="15">
        <v>24</v>
      </c>
      <c r="H94" s="15">
        <v>1225</v>
      </c>
      <c r="I94" s="41">
        <f t="shared" si="18"/>
        <v>6197</v>
      </c>
      <c r="J94" s="45">
        <v>1421</v>
      </c>
      <c r="K94" s="15">
        <v>2257</v>
      </c>
      <c r="L94" s="15">
        <v>2906</v>
      </c>
      <c r="M94" s="15">
        <v>78</v>
      </c>
      <c r="N94" s="15">
        <v>945</v>
      </c>
      <c r="O94" s="41">
        <f t="shared" si="19"/>
        <v>7607</v>
      </c>
      <c r="P94" s="45">
        <f t="shared" si="20"/>
        <v>514</v>
      </c>
      <c r="Q94" s="15">
        <f t="shared" si="21"/>
        <v>-1110</v>
      </c>
      <c r="R94" s="15">
        <f t="shared" si="22"/>
        <v>-1040</v>
      </c>
      <c r="S94" s="15">
        <f t="shared" si="23"/>
        <v>-54</v>
      </c>
      <c r="T94" s="15">
        <f t="shared" si="24"/>
        <v>280</v>
      </c>
      <c r="U94" s="41">
        <f t="shared" si="25"/>
        <v>-1410</v>
      </c>
      <c r="V94" s="104">
        <f t="shared" si="26"/>
        <v>-0.18535559353227293</v>
      </c>
      <c r="W94" s="85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</row>
    <row r="95" spans="1:54" s="5" customFormat="1" ht="13.2" x14ac:dyDescent="0.25">
      <c r="A95" s="66" t="s">
        <v>58</v>
      </c>
      <c r="B95" s="77" t="s">
        <v>122</v>
      </c>
      <c r="C95" s="18">
        <v>7</v>
      </c>
      <c r="D95" s="45">
        <v>4847.29</v>
      </c>
      <c r="E95" s="15">
        <v>2855</v>
      </c>
      <c r="F95" s="15">
        <v>8909.2000000000007</v>
      </c>
      <c r="G95" s="15">
        <v>33</v>
      </c>
      <c r="H95" s="15">
        <v>3525</v>
      </c>
      <c r="I95" s="41">
        <f t="shared" si="18"/>
        <v>20169.490000000002</v>
      </c>
      <c r="J95" s="45">
        <v>7342</v>
      </c>
      <c r="K95" s="15">
        <v>6258</v>
      </c>
      <c r="L95" s="15">
        <v>17741</v>
      </c>
      <c r="M95" s="15">
        <v>50</v>
      </c>
      <c r="N95" s="15">
        <v>6285</v>
      </c>
      <c r="O95" s="41">
        <f t="shared" si="19"/>
        <v>37676</v>
      </c>
      <c r="P95" s="45">
        <f t="shared" si="20"/>
        <v>-2494.71</v>
      </c>
      <c r="Q95" s="15">
        <f t="shared" si="21"/>
        <v>-3403</v>
      </c>
      <c r="R95" s="15">
        <f t="shared" si="22"/>
        <v>-8831.7999999999993</v>
      </c>
      <c r="S95" s="15">
        <f t="shared" si="23"/>
        <v>-17</v>
      </c>
      <c r="T95" s="15">
        <f t="shared" si="24"/>
        <v>-2760</v>
      </c>
      <c r="U95" s="41">
        <f t="shared" si="25"/>
        <v>-17506.509999999998</v>
      </c>
      <c r="V95" s="104">
        <f t="shared" si="26"/>
        <v>-0.46465946491134935</v>
      </c>
      <c r="W95" s="85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</row>
    <row r="96" spans="1:54" s="5" customFormat="1" ht="13.2" x14ac:dyDescent="0.25">
      <c r="A96" s="66" t="s">
        <v>4</v>
      </c>
      <c r="B96" s="77" t="s">
        <v>141</v>
      </c>
      <c r="C96" s="18">
        <v>7</v>
      </c>
      <c r="D96" s="45">
        <v>1498.09</v>
      </c>
      <c r="E96" s="15">
        <v>2694</v>
      </c>
      <c r="F96" s="15">
        <v>2637</v>
      </c>
      <c r="G96" s="15">
        <v>46</v>
      </c>
      <c r="H96" s="15">
        <v>2775</v>
      </c>
      <c r="I96" s="41">
        <f t="shared" si="18"/>
        <v>9650.09</v>
      </c>
      <c r="J96" s="45">
        <v>2369</v>
      </c>
      <c r="K96" s="15">
        <v>5300</v>
      </c>
      <c r="L96" s="15">
        <v>4290</v>
      </c>
      <c r="M96" s="15">
        <v>131</v>
      </c>
      <c r="N96" s="15">
        <v>2100</v>
      </c>
      <c r="O96" s="41">
        <f t="shared" si="19"/>
        <v>14190</v>
      </c>
      <c r="P96" s="45">
        <f t="shared" si="20"/>
        <v>-870.91000000000008</v>
      </c>
      <c r="Q96" s="15">
        <f t="shared" si="21"/>
        <v>-2606</v>
      </c>
      <c r="R96" s="15">
        <f t="shared" si="22"/>
        <v>-1653</v>
      </c>
      <c r="S96" s="15">
        <f t="shared" si="23"/>
        <v>-85</v>
      </c>
      <c r="T96" s="15">
        <f t="shared" si="24"/>
        <v>675</v>
      </c>
      <c r="U96" s="41">
        <f t="shared" si="25"/>
        <v>-4539.91</v>
      </c>
      <c r="V96" s="104">
        <f t="shared" si="26"/>
        <v>-0.31993727977448905</v>
      </c>
      <c r="W96" s="91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</row>
    <row r="97" spans="1:54" s="5" customFormat="1" ht="13.2" x14ac:dyDescent="0.25">
      <c r="A97" s="66" t="s">
        <v>5</v>
      </c>
      <c r="B97" s="77" t="s">
        <v>142</v>
      </c>
      <c r="C97" s="18">
        <v>7</v>
      </c>
      <c r="D97" s="45">
        <v>9268.9699999999993</v>
      </c>
      <c r="E97" s="15">
        <v>0</v>
      </c>
      <c r="F97" s="15">
        <v>150</v>
      </c>
      <c r="G97" s="15">
        <v>327.32</v>
      </c>
      <c r="H97" s="15">
        <v>0</v>
      </c>
      <c r="I97" s="41">
        <f t="shared" si="18"/>
        <v>9746.2899999999991</v>
      </c>
      <c r="J97" s="45">
        <v>10624</v>
      </c>
      <c r="K97" s="15">
        <v>0</v>
      </c>
      <c r="L97" s="15">
        <v>150</v>
      </c>
      <c r="M97" s="15">
        <v>500</v>
      </c>
      <c r="N97" s="15">
        <v>435</v>
      </c>
      <c r="O97" s="41">
        <f t="shared" si="19"/>
        <v>11709</v>
      </c>
      <c r="P97" s="45">
        <f t="shared" si="20"/>
        <v>-1355.0300000000007</v>
      </c>
      <c r="Q97" s="15">
        <f t="shared" si="21"/>
        <v>0</v>
      </c>
      <c r="R97" s="15">
        <f t="shared" si="22"/>
        <v>0</v>
      </c>
      <c r="S97" s="15">
        <f t="shared" si="23"/>
        <v>-172.68</v>
      </c>
      <c r="T97" s="15">
        <f t="shared" si="24"/>
        <v>-435</v>
      </c>
      <c r="U97" s="41">
        <f t="shared" si="25"/>
        <v>-1962.7100000000007</v>
      </c>
      <c r="V97" s="104">
        <f t="shared" si="26"/>
        <v>-0.16762404987616375</v>
      </c>
      <c r="W97" s="87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</row>
    <row r="98" spans="1:54" s="5" customFormat="1" ht="13.2" x14ac:dyDescent="0.25">
      <c r="A98" s="66" t="s">
        <v>238</v>
      </c>
      <c r="B98" s="77" t="s">
        <v>174</v>
      </c>
      <c r="C98" s="18">
        <v>7</v>
      </c>
      <c r="D98" s="45">
        <v>401.49</v>
      </c>
      <c r="E98" s="15">
        <v>6654</v>
      </c>
      <c r="F98" s="15">
        <v>6641</v>
      </c>
      <c r="G98" s="15">
        <v>15.38</v>
      </c>
      <c r="H98" s="15">
        <v>8035</v>
      </c>
      <c r="I98" s="41">
        <f t="shared" si="18"/>
        <v>21746.87</v>
      </c>
      <c r="J98" s="45">
        <v>574</v>
      </c>
      <c r="K98" s="15">
        <v>12400</v>
      </c>
      <c r="L98" s="15">
        <v>10992</v>
      </c>
      <c r="M98" s="15">
        <v>10</v>
      </c>
      <c r="N98" s="15">
        <v>12015</v>
      </c>
      <c r="O98" s="41">
        <f t="shared" si="19"/>
        <v>35991</v>
      </c>
      <c r="P98" s="45">
        <f t="shared" si="20"/>
        <v>-172.51</v>
      </c>
      <c r="Q98" s="15">
        <f t="shared" si="21"/>
        <v>-5746</v>
      </c>
      <c r="R98" s="15">
        <f t="shared" si="22"/>
        <v>-4351</v>
      </c>
      <c r="S98" s="15">
        <f t="shared" si="23"/>
        <v>5.3800000000000008</v>
      </c>
      <c r="T98" s="15">
        <f t="shared" si="24"/>
        <v>-3980</v>
      </c>
      <c r="U98" s="41">
        <f t="shared" si="25"/>
        <v>-14244.130000000001</v>
      </c>
      <c r="V98" s="104">
        <f t="shared" si="26"/>
        <v>-0.39576922008279847</v>
      </c>
      <c r="W98" s="85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</row>
    <row r="99" spans="1:54" s="5" customFormat="1" ht="13.2" x14ac:dyDescent="0.25">
      <c r="A99" s="66" t="s">
        <v>160</v>
      </c>
      <c r="B99" s="77" t="s">
        <v>186</v>
      </c>
      <c r="C99" s="18">
        <v>7</v>
      </c>
      <c r="D99" s="45">
        <v>43.75</v>
      </c>
      <c r="E99" s="15">
        <v>451</v>
      </c>
      <c r="F99" s="15">
        <v>2318</v>
      </c>
      <c r="G99" s="15">
        <v>69</v>
      </c>
      <c r="H99" s="15">
        <v>585</v>
      </c>
      <c r="I99" s="41">
        <f t="shared" si="18"/>
        <v>3466.75</v>
      </c>
      <c r="J99" s="45">
        <v>1536</v>
      </c>
      <c r="K99" s="15">
        <v>748</v>
      </c>
      <c r="L99" s="15">
        <v>4379</v>
      </c>
      <c r="M99" s="15">
        <v>62</v>
      </c>
      <c r="N99" s="15">
        <v>1005</v>
      </c>
      <c r="O99" s="41">
        <f t="shared" si="19"/>
        <v>7730</v>
      </c>
      <c r="P99" s="45">
        <f t="shared" si="20"/>
        <v>-1492.25</v>
      </c>
      <c r="Q99" s="15">
        <f t="shared" si="21"/>
        <v>-297</v>
      </c>
      <c r="R99" s="15">
        <f t="shared" si="22"/>
        <v>-2061</v>
      </c>
      <c r="S99" s="15">
        <f t="shared" si="23"/>
        <v>7</v>
      </c>
      <c r="T99" s="15">
        <f t="shared" si="24"/>
        <v>-420</v>
      </c>
      <c r="U99" s="41">
        <f t="shared" si="25"/>
        <v>-4263.25</v>
      </c>
      <c r="V99" s="104">
        <f t="shared" si="26"/>
        <v>-0.55152005174644247</v>
      </c>
      <c r="W99" s="87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</row>
    <row r="100" spans="1:54" s="5" customFormat="1" ht="13.2" x14ac:dyDescent="0.25">
      <c r="A100" s="66" t="s">
        <v>210</v>
      </c>
      <c r="B100" s="77" t="s">
        <v>67</v>
      </c>
      <c r="C100" s="18">
        <v>8</v>
      </c>
      <c r="D100" s="45">
        <v>40.79</v>
      </c>
      <c r="E100" s="15">
        <v>322</v>
      </c>
      <c r="F100" s="15">
        <v>815</v>
      </c>
      <c r="G100" s="15">
        <v>83.34</v>
      </c>
      <c r="H100" s="15">
        <v>285</v>
      </c>
      <c r="I100" s="41">
        <f t="shared" si="18"/>
        <v>1546.1299999999999</v>
      </c>
      <c r="J100" s="45">
        <v>32</v>
      </c>
      <c r="K100" s="15">
        <v>295</v>
      </c>
      <c r="L100" s="15">
        <v>715</v>
      </c>
      <c r="M100" s="15">
        <v>11</v>
      </c>
      <c r="N100" s="15">
        <v>375</v>
      </c>
      <c r="O100" s="41">
        <f t="shared" si="19"/>
        <v>1428</v>
      </c>
      <c r="P100" s="45">
        <f t="shared" si="20"/>
        <v>8.7899999999999991</v>
      </c>
      <c r="Q100" s="15">
        <f t="shared" si="21"/>
        <v>27</v>
      </c>
      <c r="R100" s="15">
        <f t="shared" si="22"/>
        <v>100</v>
      </c>
      <c r="S100" s="15">
        <f t="shared" si="23"/>
        <v>72.34</v>
      </c>
      <c r="T100" s="15">
        <f t="shared" si="24"/>
        <v>-90</v>
      </c>
      <c r="U100" s="41">
        <f t="shared" si="25"/>
        <v>118.13</v>
      </c>
      <c r="V100" s="104">
        <f t="shared" si="26"/>
        <v>8.2724089635854314E-2</v>
      </c>
      <c r="W100" s="84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</row>
    <row r="101" spans="1:54" s="5" customFormat="1" ht="13.2" x14ac:dyDescent="0.25">
      <c r="A101" s="66" t="s">
        <v>28</v>
      </c>
      <c r="B101" s="77" t="s">
        <v>79</v>
      </c>
      <c r="C101" s="18">
        <v>8</v>
      </c>
      <c r="D101" s="45">
        <v>1211.8900000000001</v>
      </c>
      <c r="E101" s="15">
        <v>956.08</v>
      </c>
      <c r="F101" s="15">
        <v>5684</v>
      </c>
      <c r="G101" s="15">
        <v>25</v>
      </c>
      <c r="H101" s="15">
        <v>600</v>
      </c>
      <c r="I101" s="41">
        <f t="shared" si="18"/>
        <v>8476.9700000000012</v>
      </c>
      <c r="J101" s="45">
        <v>717</v>
      </c>
      <c r="K101" s="15">
        <v>2028</v>
      </c>
      <c r="L101" s="15">
        <v>10035</v>
      </c>
      <c r="M101" s="15">
        <v>0</v>
      </c>
      <c r="N101" s="15">
        <v>1485</v>
      </c>
      <c r="O101" s="41">
        <f t="shared" si="19"/>
        <v>14265</v>
      </c>
      <c r="P101" s="45">
        <f t="shared" si="20"/>
        <v>494.8900000000001</v>
      </c>
      <c r="Q101" s="15">
        <f t="shared" si="21"/>
        <v>-1071.92</v>
      </c>
      <c r="R101" s="15">
        <f t="shared" si="22"/>
        <v>-4351</v>
      </c>
      <c r="S101" s="15">
        <f t="shared" si="23"/>
        <v>25</v>
      </c>
      <c r="T101" s="15">
        <f t="shared" si="24"/>
        <v>-885</v>
      </c>
      <c r="U101" s="41">
        <f t="shared" si="25"/>
        <v>-5788.03</v>
      </c>
      <c r="V101" s="104">
        <f t="shared" si="26"/>
        <v>-0.4057504381352961</v>
      </c>
      <c r="W101" s="84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</row>
    <row r="102" spans="1:54" s="5" customFormat="1" ht="13.2" x14ac:dyDescent="0.25">
      <c r="A102" s="66" t="s">
        <v>29</v>
      </c>
      <c r="B102" s="77" t="s">
        <v>80</v>
      </c>
      <c r="C102" s="18">
        <v>8</v>
      </c>
      <c r="D102" s="45">
        <v>232.88</v>
      </c>
      <c r="E102" s="15">
        <v>120</v>
      </c>
      <c r="F102" s="15">
        <v>0</v>
      </c>
      <c r="G102" s="15">
        <v>29</v>
      </c>
      <c r="H102" s="15">
        <v>75</v>
      </c>
      <c r="I102" s="41">
        <f t="shared" ref="I102:I119" si="27">SUM(D102:H102)</f>
        <v>456.88</v>
      </c>
      <c r="J102" s="45">
        <v>142</v>
      </c>
      <c r="K102" s="15">
        <v>111</v>
      </c>
      <c r="L102" s="15">
        <v>0</v>
      </c>
      <c r="M102" s="15">
        <v>0</v>
      </c>
      <c r="N102" s="15">
        <v>75</v>
      </c>
      <c r="O102" s="41">
        <f t="shared" ref="O102:O119" si="28">SUM(J102:N102)</f>
        <v>328</v>
      </c>
      <c r="P102" s="45">
        <f t="shared" ref="P102:P119" si="29">+D102-J102</f>
        <v>90.88</v>
      </c>
      <c r="Q102" s="15">
        <f t="shared" ref="Q102:Q119" si="30">+E102-K102</f>
        <v>9</v>
      </c>
      <c r="R102" s="15">
        <f t="shared" ref="R102:R119" si="31">+F102-L102</f>
        <v>0</v>
      </c>
      <c r="S102" s="15">
        <f t="shared" ref="S102:S119" si="32">+G102-M102</f>
        <v>29</v>
      </c>
      <c r="T102" s="15">
        <f t="shared" ref="T102:T119" si="33">+H102-N102</f>
        <v>0</v>
      </c>
      <c r="U102" s="41">
        <f t="shared" ref="U102:U119" si="34">SUM(P102:T102)</f>
        <v>128.88</v>
      </c>
      <c r="V102" s="104">
        <f t="shared" ref="V102:V120" si="35">IF(O102=0,"",I102/O102-1)</f>
        <v>0.39292682926829259</v>
      </c>
      <c r="W102" s="84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</row>
    <row r="103" spans="1:54" s="5" customFormat="1" ht="26.4" x14ac:dyDescent="0.25">
      <c r="A103" s="66" t="s">
        <v>30</v>
      </c>
      <c r="B103" s="77" t="s">
        <v>89</v>
      </c>
      <c r="C103" s="18">
        <v>8</v>
      </c>
      <c r="D103" s="45">
        <v>0</v>
      </c>
      <c r="E103" s="15">
        <v>0</v>
      </c>
      <c r="F103" s="15">
        <v>0</v>
      </c>
      <c r="G103" s="15">
        <v>0</v>
      </c>
      <c r="H103" s="15">
        <v>0</v>
      </c>
      <c r="I103" s="41">
        <f t="shared" si="27"/>
        <v>0</v>
      </c>
      <c r="J103" s="45">
        <v>0</v>
      </c>
      <c r="K103" s="15">
        <v>332</v>
      </c>
      <c r="L103" s="15">
        <v>178</v>
      </c>
      <c r="M103" s="15">
        <v>97</v>
      </c>
      <c r="N103" s="15">
        <v>0</v>
      </c>
      <c r="O103" s="41">
        <f t="shared" si="28"/>
        <v>607</v>
      </c>
      <c r="P103" s="45">
        <f t="shared" si="29"/>
        <v>0</v>
      </c>
      <c r="Q103" s="15">
        <f t="shared" si="30"/>
        <v>-332</v>
      </c>
      <c r="R103" s="15">
        <f t="shared" si="31"/>
        <v>-178</v>
      </c>
      <c r="S103" s="15">
        <f t="shared" si="32"/>
        <v>-97</v>
      </c>
      <c r="T103" s="15">
        <f t="shared" si="33"/>
        <v>0</v>
      </c>
      <c r="U103" s="41">
        <f t="shared" si="34"/>
        <v>-607</v>
      </c>
      <c r="V103" s="104">
        <f t="shared" si="35"/>
        <v>-1</v>
      </c>
      <c r="W103" s="30" t="s">
        <v>249</v>
      </c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</row>
    <row r="104" spans="1:54" s="5" customFormat="1" ht="26.4" x14ac:dyDescent="0.25">
      <c r="A104" s="66" t="s">
        <v>31</v>
      </c>
      <c r="B104" s="77" t="s">
        <v>90</v>
      </c>
      <c r="C104" s="18">
        <v>8</v>
      </c>
      <c r="D104" s="45">
        <v>63.89</v>
      </c>
      <c r="E104" s="15">
        <v>578.66</v>
      </c>
      <c r="F104" s="15">
        <v>3557</v>
      </c>
      <c r="G104" s="15">
        <v>116</v>
      </c>
      <c r="H104" s="15">
        <v>615</v>
      </c>
      <c r="I104" s="41">
        <f t="shared" si="27"/>
        <v>4930.55</v>
      </c>
      <c r="J104" s="45">
        <v>191</v>
      </c>
      <c r="K104" s="15">
        <v>874</v>
      </c>
      <c r="L104" s="15">
        <v>4973</v>
      </c>
      <c r="M104" s="15">
        <v>0</v>
      </c>
      <c r="N104" s="15">
        <v>735</v>
      </c>
      <c r="O104" s="41">
        <f t="shared" si="28"/>
        <v>6773</v>
      </c>
      <c r="P104" s="45">
        <f t="shared" si="29"/>
        <v>-127.11</v>
      </c>
      <c r="Q104" s="15">
        <f t="shared" si="30"/>
        <v>-295.34000000000003</v>
      </c>
      <c r="R104" s="15">
        <f t="shared" si="31"/>
        <v>-1416</v>
      </c>
      <c r="S104" s="15">
        <f t="shared" si="32"/>
        <v>116</v>
      </c>
      <c r="T104" s="15">
        <f t="shared" si="33"/>
        <v>-120</v>
      </c>
      <c r="U104" s="41">
        <f t="shared" si="34"/>
        <v>-1842.45</v>
      </c>
      <c r="V104" s="104">
        <f t="shared" si="35"/>
        <v>-0.27202864314188691</v>
      </c>
      <c r="W104" s="84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</row>
    <row r="105" spans="1:54" s="5" customFormat="1" ht="13.2" x14ac:dyDescent="0.25">
      <c r="A105" s="66" t="s">
        <v>33</v>
      </c>
      <c r="B105" s="77" t="s">
        <v>93</v>
      </c>
      <c r="C105" s="18">
        <v>8</v>
      </c>
      <c r="D105" s="45">
        <v>134.94</v>
      </c>
      <c r="E105" s="15">
        <v>412</v>
      </c>
      <c r="F105" s="15">
        <v>4002.5</v>
      </c>
      <c r="G105" s="15">
        <v>55.11</v>
      </c>
      <c r="H105" s="15">
        <v>375</v>
      </c>
      <c r="I105" s="41">
        <f t="shared" si="27"/>
        <v>4979.55</v>
      </c>
      <c r="J105" s="45">
        <v>363</v>
      </c>
      <c r="K105" s="15">
        <v>683</v>
      </c>
      <c r="L105" s="15">
        <v>3656</v>
      </c>
      <c r="M105" s="15">
        <v>4</v>
      </c>
      <c r="N105" s="15">
        <v>525</v>
      </c>
      <c r="O105" s="41">
        <f t="shared" si="28"/>
        <v>5231</v>
      </c>
      <c r="P105" s="45">
        <f t="shared" si="29"/>
        <v>-228.06</v>
      </c>
      <c r="Q105" s="15">
        <f t="shared" si="30"/>
        <v>-271</v>
      </c>
      <c r="R105" s="15">
        <f t="shared" si="31"/>
        <v>346.5</v>
      </c>
      <c r="S105" s="15">
        <f t="shared" si="32"/>
        <v>51.11</v>
      </c>
      <c r="T105" s="15">
        <f t="shared" si="33"/>
        <v>-150</v>
      </c>
      <c r="U105" s="41">
        <f t="shared" si="34"/>
        <v>-251.45</v>
      </c>
      <c r="V105" s="104">
        <f t="shared" si="35"/>
        <v>-4.806920282928695E-2</v>
      </c>
      <c r="W105" s="84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</row>
    <row r="106" spans="1:54" s="5" customFormat="1" ht="13.2" x14ac:dyDescent="0.25">
      <c r="A106" s="66" t="s">
        <v>61</v>
      </c>
      <c r="B106" s="77" t="s">
        <v>125</v>
      </c>
      <c r="C106" s="18">
        <v>8</v>
      </c>
      <c r="D106" s="45">
        <v>132.22</v>
      </c>
      <c r="E106" s="15">
        <v>867</v>
      </c>
      <c r="F106" s="15">
        <v>2127.9</v>
      </c>
      <c r="G106" s="15">
        <v>1360.58</v>
      </c>
      <c r="H106" s="15">
        <v>1035</v>
      </c>
      <c r="I106" s="41">
        <f t="shared" si="27"/>
        <v>5522.7</v>
      </c>
      <c r="J106" s="45">
        <v>128</v>
      </c>
      <c r="K106" s="15">
        <v>1083</v>
      </c>
      <c r="L106" s="15">
        <v>2774</v>
      </c>
      <c r="M106" s="15">
        <v>200</v>
      </c>
      <c r="N106" s="15">
        <v>900</v>
      </c>
      <c r="O106" s="41">
        <f t="shared" si="28"/>
        <v>5085</v>
      </c>
      <c r="P106" s="45">
        <f t="shared" si="29"/>
        <v>4.2199999999999989</v>
      </c>
      <c r="Q106" s="15">
        <f t="shared" si="30"/>
        <v>-216</v>
      </c>
      <c r="R106" s="15">
        <f t="shared" si="31"/>
        <v>-646.09999999999991</v>
      </c>
      <c r="S106" s="15">
        <f t="shared" si="32"/>
        <v>1160.58</v>
      </c>
      <c r="T106" s="15">
        <f t="shared" si="33"/>
        <v>135</v>
      </c>
      <c r="U106" s="41">
        <f t="shared" si="34"/>
        <v>437.70000000000005</v>
      </c>
      <c r="V106" s="104">
        <f t="shared" si="35"/>
        <v>8.6076696165191757E-2</v>
      </c>
      <c r="W106" s="84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</row>
    <row r="107" spans="1:54" s="5" customFormat="1" ht="13.2" x14ac:dyDescent="0.25">
      <c r="A107" s="66" t="s">
        <v>224</v>
      </c>
      <c r="B107" s="77" t="s">
        <v>135</v>
      </c>
      <c r="C107" s="18">
        <v>8</v>
      </c>
      <c r="D107" s="45">
        <v>26.14</v>
      </c>
      <c r="E107" s="15">
        <v>719</v>
      </c>
      <c r="F107" s="15">
        <v>1034</v>
      </c>
      <c r="G107" s="15">
        <v>84</v>
      </c>
      <c r="H107" s="15">
        <v>795</v>
      </c>
      <c r="I107" s="41">
        <f t="shared" si="27"/>
        <v>2658.14</v>
      </c>
      <c r="J107" s="45">
        <v>88</v>
      </c>
      <c r="K107" s="15">
        <v>1962</v>
      </c>
      <c r="L107" s="15">
        <v>3240</v>
      </c>
      <c r="M107" s="15">
        <v>0</v>
      </c>
      <c r="N107" s="15">
        <v>2280</v>
      </c>
      <c r="O107" s="41">
        <f t="shared" si="28"/>
        <v>7570</v>
      </c>
      <c r="P107" s="45">
        <f t="shared" si="29"/>
        <v>-61.86</v>
      </c>
      <c r="Q107" s="15">
        <f t="shared" si="30"/>
        <v>-1243</v>
      </c>
      <c r="R107" s="15">
        <f t="shared" si="31"/>
        <v>-2206</v>
      </c>
      <c r="S107" s="15">
        <f t="shared" si="32"/>
        <v>84</v>
      </c>
      <c r="T107" s="15">
        <f t="shared" si="33"/>
        <v>-1485</v>
      </c>
      <c r="U107" s="41">
        <f t="shared" si="34"/>
        <v>-4911.8599999999997</v>
      </c>
      <c r="V107" s="104">
        <f t="shared" si="35"/>
        <v>-0.64885865257595776</v>
      </c>
      <c r="W107" s="85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</row>
    <row r="108" spans="1:54" s="5" customFormat="1" ht="13.2" x14ac:dyDescent="0.25">
      <c r="A108" s="66" t="s">
        <v>8</v>
      </c>
      <c r="B108" s="77" t="s">
        <v>144</v>
      </c>
      <c r="C108" s="18">
        <v>8</v>
      </c>
      <c r="D108" s="45">
        <v>139.37</v>
      </c>
      <c r="E108" s="15">
        <v>1244</v>
      </c>
      <c r="F108" s="15">
        <v>4942.8</v>
      </c>
      <c r="G108" s="15">
        <v>86</v>
      </c>
      <c r="H108" s="15">
        <v>855</v>
      </c>
      <c r="I108" s="41">
        <f t="shared" si="27"/>
        <v>7267.17</v>
      </c>
      <c r="J108" s="45">
        <v>191</v>
      </c>
      <c r="K108" s="15">
        <v>1285</v>
      </c>
      <c r="L108" s="15">
        <v>3779</v>
      </c>
      <c r="M108" s="15">
        <v>36</v>
      </c>
      <c r="N108" s="15">
        <v>750</v>
      </c>
      <c r="O108" s="41">
        <f t="shared" si="28"/>
        <v>6041</v>
      </c>
      <c r="P108" s="45">
        <f t="shared" si="29"/>
        <v>-51.629999999999995</v>
      </c>
      <c r="Q108" s="15">
        <f t="shared" si="30"/>
        <v>-41</v>
      </c>
      <c r="R108" s="15">
        <f t="shared" si="31"/>
        <v>1163.8000000000002</v>
      </c>
      <c r="S108" s="15">
        <f t="shared" si="32"/>
        <v>50</v>
      </c>
      <c r="T108" s="15">
        <f t="shared" si="33"/>
        <v>105</v>
      </c>
      <c r="U108" s="41">
        <f t="shared" si="34"/>
        <v>1226.17</v>
      </c>
      <c r="V108" s="104">
        <f t="shared" si="35"/>
        <v>0.20297467306737293</v>
      </c>
      <c r="W108" s="85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</row>
    <row r="109" spans="1:54" s="5" customFormat="1" ht="13.2" x14ac:dyDescent="0.25">
      <c r="A109" s="66" t="s">
        <v>13</v>
      </c>
      <c r="B109" s="77" t="s">
        <v>149</v>
      </c>
      <c r="C109" s="18">
        <v>8</v>
      </c>
      <c r="D109" s="45">
        <v>181.06</v>
      </c>
      <c r="E109" s="15">
        <v>221</v>
      </c>
      <c r="F109" s="15">
        <v>615</v>
      </c>
      <c r="G109" s="15">
        <v>0</v>
      </c>
      <c r="H109" s="15">
        <v>240</v>
      </c>
      <c r="I109" s="41">
        <f t="shared" si="27"/>
        <v>1257.06</v>
      </c>
      <c r="J109" s="45">
        <v>300</v>
      </c>
      <c r="K109" s="15">
        <v>404</v>
      </c>
      <c r="L109" s="15">
        <v>569</v>
      </c>
      <c r="M109" s="15">
        <v>36</v>
      </c>
      <c r="N109" s="15">
        <v>315</v>
      </c>
      <c r="O109" s="41">
        <f t="shared" si="28"/>
        <v>1624</v>
      </c>
      <c r="P109" s="45">
        <f t="shared" si="29"/>
        <v>-118.94</v>
      </c>
      <c r="Q109" s="15">
        <f t="shared" si="30"/>
        <v>-183</v>
      </c>
      <c r="R109" s="15">
        <f t="shared" si="31"/>
        <v>46</v>
      </c>
      <c r="S109" s="15">
        <f t="shared" si="32"/>
        <v>-36</v>
      </c>
      <c r="T109" s="15">
        <f t="shared" si="33"/>
        <v>-75</v>
      </c>
      <c r="U109" s="41">
        <f t="shared" si="34"/>
        <v>-366.94</v>
      </c>
      <c r="V109" s="104">
        <f t="shared" si="35"/>
        <v>-0.225948275862069</v>
      </c>
      <c r="W109" s="85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</row>
    <row r="110" spans="1:54" s="5" customFormat="1" ht="13.2" x14ac:dyDescent="0.25">
      <c r="A110" s="66" t="s">
        <v>240</v>
      </c>
      <c r="B110" s="77" t="s">
        <v>176</v>
      </c>
      <c r="C110" s="18">
        <v>8</v>
      </c>
      <c r="D110" s="45">
        <v>107.88</v>
      </c>
      <c r="E110" s="15">
        <v>642</v>
      </c>
      <c r="F110" s="15">
        <v>1924</v>
      </c>
      <c r="G110" s="15">
        <v>0</v>
      </c>
      <c r="H110" s="15">
        <v>870</v>
      </c>
      <c r="I110" s="41">
        <f t="shared" si="27"/>
        <v>3543.88</v>
      </c>
      <c r="J110" s="45">
        <v>513</v>
      </c>
      <c r="K110" s="15">
        <v>1725</v>
      </c>
      <c r="L110" s="15">
        <v>3502</v>
      </c>
      <c r="M110" s="15">
        <v>0</v>
      </c>
      <c r="N110" s="15">
        <v>1575</v>
      </c>
      <c r="O110" s="41">
        <f t="shared" si="28"/>
        <v>7315</v>
      </c>
      <c r="P110" s="45">
        <f t="shared" si="29"/>
        <v>-405.12</v>
      </c>
      <c r="Q110" s="15">
        <f t="shared" si="30"/>
        <v>-1083</v>
      </c>
      <c r="R110" s="15">
        <f t="shared" si="31"/>
        <v>-1578</v>
      </c>
      <c r="S110" s="15">
        <f t="shared" si="32"/>
        <v>0</v>
      </c>
      <c r="T110" s="15">
        <f t="shared" si="33"/>
        <v>-705</v>
      </c>
      <c r="U110" s="41">
        <f t="shared" si="34"/>
        <v>-3771.12</v>
      </c>
      <c r="V110" s="104">
        <f t="shared" si="35"/>
        <v>-0.51553246753246751</v>
      </c>
      <c r="W110" s="85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</row>
    <row r="111" spans="1:54" s="5" customFormat="1" ht="26.4" x14ac:dyDescent="0.25">
      <c r="A111" s="66" t="s">
        <v>200</v>
      </c>
      <c r="B111" s="77" t="s">
        <v>179</v>
      </c>
      <c r="C111" s="18">
        <v>8</v>
      </c>
      <c r="D111" s="45">
        <v>0</v>
      </c>
      <c r="E111" s="15">
        <v>0</v>
      </c>
      <c r="F111" s="15">
        <v>0</v>
      </c>
      <c r="G111" s="15">
        <v>0</v>
      </c>
      <c r="H111" s="15">
        <v>0</v>
      </c>
      <c r="I111" s="41">
        <f t="shared" si="27"/>
        <v>0</v>
      </c>
      <c r="J111" s="45">
        <v>6</v>
      </c>
      <c r="K111" s="15">
        <v>216</v>
      </c>
      <c r="L111" s="15">
        <v>1573</v>
      </c>
      <c r="M111" s="15">
        <v>0</v>
      </c>
      <c r="N111" s="15">
        <v>180</v>
      </c>
      <c r="O111" s="41">
        <f t="shared" si="28"/>
        <v>1975</v>
      </c>
      <c r="P111" s="45">
        <f t="shared" si="29"/>
        <v>-6</v>
      </c>
      <c r="Q111" s="15">
        <f t="shared" si="30"/>
        <v>-216</v>
      </c>
      <c r="R111" s="15">
        <f t="shared" si="31"/>
        <v>-1573</v>
      </c>
      <c r="S111" s="15">
        <f t="shared" si="32"/>
        <v>0</v>
      </c>
      <c r="T111" s="15">
        <f t="shared" si="33"/>
        <v>-180</v>
      </c>
      <c r="U111" s="41">
        <f t="shared" si="34"/>
        <v>-1975</v>
      </c>
      <c r="V111" s="104">
        <f t="shared" si="35"/>
        <v>-1</v>
      </c>
      <c r="W111" s="61" t="s">
        <v>252</v>
      </c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</row>
    <row r="112" spans="1:54" s="5" customFormat="1" ht="13.2" x14ac:dyDescent="0.25">
      <c r="A112" s="66" t="s">
        <v>154</v>
      </c>
      <c r="B112" s="77" t="s">
        <v>180</v>
      </c>
      <c r="C112" s="18">
        <v>8</v>
      </c>
      <c r="D112" s="45">
        <v>0</v>
      </c>
      <c r="E112" s="15">
        <v>0</v>
      </c>
      <c r="F112" s="15">
        <v>0</v>
      </c>
      <c r="G112" s="15">
        <v>406.01</v>
      </c>
      <c r="H112" s="15">
        <v>0</v>
      </c>
      <c r="I112" s="41">
        <f t="shared" si="27"/>
        <v>406.01</v>
      </c>
      <c r="J112" s="45">
        <v>109</v>
      </c>
      <c r="K112" s="15">
        <v>0</v>
      </c>
      <c r="L112" s="15">
        <v>0</v>
      </c>
      <c r="M112" s="15">
        <v>0</v>
      </c>
      <c r="N112" s="15">
        <v>0</v>
      </c>
      <c r="O112" s="41">
        <f t="shared" si="28"/>
        <v>109</v>
      </c>
      <c r="P112" s="45">
        <f t="shared" si="29"/>
        <v>-109</v>
      </c>
      <c r="Q112" s="15">
        <f t="shared" si="30"/>
        <v>0</v>
      </c>
      <c r="R112" s="15">
        <f t="shared" si="31"/>
        <v>0</v>
      </c>
      <c r="S112" s="15">
        <f t="shared" si="32"/>
        <v>406.01</v>
      </c>
      <c r="T112" s="15">
        <f t="shared" si="33"/>
        <v>0</v>
      </c>
      <c r="U112" s="41">
        <f t="shared" si="34"/>
        <v>297.01</v>
      </c>
      <c r="V112" s="104">
        <f t="shared" si="35"/>
        <v>2.7248623853211007</v>
      </c>
      <c r="W112" s="85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</row>
    <row r="113" spans="1:54" s="5" customFormat="1" ht="13.2" x14ac:dyDescent="0.25">
      <c r="A113" s="66" t="s">
        <v>161</v>
      </c>
      <c r="B113" s="77" t="s">
        <v>187</v>
      </c>
      <c r="C113" s="18">
        <v>8</v>
      </c>
      <c r="D113" s="45">
        <v>25</v>
      </c>
      <c r="E113" s="15">
        <v>54</v>
      </c>
      <c r="F113" s="15">
        <v>540</v>
      </c>
      <c r="G113" s="15">
        <v>0</v>
      </c>
      <c r="H113" s="15">
        <v>0</v>
      </c>
      <c r="I113" s="41">
        <f t="shared" si="27"/>
        <v>619</v>
      </c>
      <c r="J113" s="45">
        <v>16</v>
      </c>
      <c r="K113" s="15">
        <v>21</v>
      </c>
      <c r="L113" s="15">
        <v>170</v>
      </c>
      <c r="M113" s="15">
        <v>0</v>
      </c>
      <c r="N113" s="15">
        <v>0</v>
      </c>
      <c r="O113" s="41">
        <f t="shared" si="28"/>
        <v>207</v>
      </c>
      <c r="P113" s="45">
        <f t="shared" si="29"/>
        <v>9</v>
      </c>
      <c r="Q113" s="15">
        <f t="shared" si="30"/>
        <v>33</v>
      </c>
      <c r="R113" s="15">
        <f t="shared" si="31"/>
        <v>370</v>
      </c>
      <c r="S113" s="15">
        <f t="shared" si="32"/>
        <v>0</v>
      </c>
      <c r="T113" s="15">
        <f t="shared" si="33"/>
        <v>0</v>
      </c>
      <c r="U113" s="41">
        <f t="shared" si="34"/>
        <v>412</v>
      </c>
      <c r="V113" s="104">
        <f t="shared" si="35"/>
        <v>1.9903381642512077</v>
      </c>
      <c r="W113" s="85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</row>
    <row r="114" spans="1:54" s="5" customFormat="1" ht="26.4" x14ac:dyDescent="0.25">
      <c r="A114" s="66" t="s">
        <v>202</v>
      </c>
      <c r="B114" s="77" t="s">
        <v>189</v>
      </c>
      <c r="C114" s="18">
        <v>8</v>
      </c>
      <c r="D114" s="45">
        <v>41729.699999999997</v>
      </c>
      <c r="E114" s="15">
        <v>205</v>
      </c>
      <c r="F114" s="15">
        <v>1708.5</v>
      </c>
      <c r="G114" s="15">
        <v>289.66000000000003</v>
      </c>
      <c r="H114" s="15">
        <v>360</v>
      </c>
      <c r="I114" s="41">
        <f t="shared" si="27"/>
        <v>44292.86</v>
      </c>
      <c r="J114" s="45">
        <v>8531</v>
      </c>
      <c r="K114" s="15">
        <v>0</v>
      </c>
      <c r="L114" s="15">
        <v>0</v>
      </c>
      <c r="M114" s="15">
        <v>0</v>
      </c>
      <c r="N114" s="15">
        <v>0</v>
      </c>
      <c r="O114" s="41">
        <f t="shared" si="28"/>
        <v>8531</v>
      </c>
      <c r="P114" s="45">
        <f t="shared" si="29"/>
        <v>33198.699999999997</v>
      </c>
      <c r="Q114" s="15">
        <f t="shared" si="30"/>
        <v>205</v>
      </c>
      <c r="R114" s="15">
        <f t="shared" si="31"/>
        <v>1708.5</v>
      </c>
      <c r="S114" s="15">
        <f t="shared" si="32"/>
        <v>289.66000000000003</v>
      </c>
      <c r="T114" s="15">
        <f t="shared" si="33"/>
        <v>360</v>
      </c>
      <c r="U114" s="41">
        <f t="shared" si="34"/>
        <v>35761.86</v>
      </c>
      <c r="V114" s="104">
        <f t="shared" si="35"/>
        <v>4.191989215801196</v>
      </c>
      <c r="W114" s="85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</row>
    <row r="115" spans="1:54" s="5" customFormat="1" ht="13.2" x14ac:dyDescent="0.25">
      <c r="A115" s="66" t="s">
        <v>163</v>
      </c>
      <c r="B115" s="77" t="s">
        <v>190</v>
      </c>
      <c r="C115" s="18">
        <v>8</v>
      </c>
      <c r="D115" s="45">
        <v>1120.3800000000001</v>
      </c>
      <c r="E115" s="15">
        <v>2972</v>
      </c>
      <c r="F115" s="15">
        <v>7027</v>
      </c>
      <c r="G115" s="15">
        <v>283.39999999999998</v>
      </c>
      <c r="H115" s="15">
        <v>3003</v>
      </c>
      <c r="I115" s="41">
        <f t="shared" si="27"/>
        <v>14405.78</v>
      </c>
      <c r="J115" s="45">
        <v>950</v>
      </c>
      <c r="K115" s="15">
        <v>5073</v>
      </c>
      <c r="L115" s="15">
        <v>11121</v>
      </c>
      <c r="M115" s="15">
        <v>102</v>
      </c>
      <c r="N115" s="15">
        <v>4345</v>
      </c>
      <c r="O115" s="41">
        <f t="shared" si="28"/>
        <v>21591</v>
      </c>
      <c r="P115" s="45">
        <f t="shared" si="29"/>
        <v>170.38000000000011</v>
      </c>
      <c r="Q115" s="15">
        <f t="shared" si="30"/>
        <v>-2101</v>
      </c>
      <c r="R115" s="15">
        <f t="shared" si="31"/>
        <v>-4094</v>
      </c>
      <c r="S115" s="15">
        <f t="shared" si="32"/>
        <v>181.39999999999998</v>
      </c>
      <c r="T115" s="15">
        <f t="shared" si="33"/>
        <v>-1342</v>
      </c>
      <c r="U115" s="41">
        <f t="shared" si="34"/>
        <v>-7185.22</v>
      </c>
      <c r="V115" s="104">
        <f t="shared" si="35"/>
        <v>-0.33278773563058683</v>
      </c>
      <c r="W115" s="85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</row>
    <row r="116" spans="1:54" s="5" customFormat="1" ht="31.2" x14ac:dyDescent="0.25">
      <c r="A116" s="66" t="s">
        <v>201</v>
      </c>
      <c r="B116" s="77" t="s">
        <v>84</v>
      </c>
      <c r="C116" s="44" t="s">
        <v>212</v>
      </c>
      <c r="D116" s="45">
        <v>12617.65</v>
      </c>
      <c r="E116" s="15">
        <v>0</v>
      </c>
      <c r="F116" s="15">
        <v>0</v>
      </c>
      <c r="G116" s="15">
        <v>7496</v>
      </c>
      <c r="H116" s="15">
        <v>21003.05</v>
      </c>
      <c r="I116" s="41">
        <f t="shared" si="27"/>
        <v>41116.699999999997</v>
      </c>
      <c r="J116" s="45">
        <v>15945</v>
      </c>
      <c r="K116" s="15">
        <v>0</v>
      </c>
      <c r="L116" s="15">
        <v>0</v>
      </c>
      <c r="M116" s="15">
        <v>0</v>
      </c>
      <c r="N116" s="15">
        <v>25285</v>
      </c>
      <c r="O116" s="41">
        <f t="shared" si="28"/>
        <v>41230</v>
      </c>
      <c r="P116" s="45">
        <f t="shared" si="29"/>
        <v>-3327.3500000000004</v>
      </c>
      <c r="Q116" s="15">
        <f t="shared" si="30"/>
        <v>0</v>
      </c>
      <c r="R116" s="15">
        <f t="shared" si="31"/>
        <v>0</v>
      </c>
      <c r="S116" s="15">
        <f t="shared" si="32"/>
        <v>7496</v>
      </c>
      <c r="T116" s="15">
        <f t="shared" si="33"/>
        <v>-4281.9500000000007</v>
      </c>
      <c r="U116" s="41">
        <f t="shared" si="34"/>
        <v>-113.30000000000109</v>
      </c>
      <c r="V116" s="104">
        <f t="shared" si="35"/>
        <v>-2.7479990298326928E-3</v>
      </c>
      <c r="W116" s="30" t="s">
        <v>241</v>
      </c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</row>
    <row r="117" spans="1:54" s="5" customFormat="1" ht="13.2" x14ac:dyDescent="0.25">
      <c r="A117" s="66" t="s">
        <v>228</v>
      </c>
      <c r="B117" s="77" t="s">
        <v>91</v>
      </c>
      <c r="C117" s="31" t="s">
        <v>212</v>
      </c>
      <c r="D117" s="45">
        <v>0</v>
      </c>
      <c r="E117" s="15">
        <v>0</v>
      </c>
      <c r="F117" s="15">
        <v>0</v>
      </c>
      <c r="G117" s="15">
        <v>0</v>
      </c>
      <c r="H117" s="15">
        <v>0</v>
      </c>
      <c r="I117" s="41">
        <f t="shared" si="27"/>
        <v>0</v>
      </c>
      <c r="J117" s="45">
        <v>0</v>
      </c>
      <c r="K117" s="15">
        <v>0</v>
      </c>
      <c r="L117" s="15">
        <v>0</v>
      </c>
      <c r="M117" s="15">
        <v>0</v>
      </c>
      <c r="N117" s="15">
        <v>0</v>
      </c>
      <c r="O117" s="41">
        <f t="shared" si="28"/>
        <v>0</v>
      </c>
      <c r="P117" s="45">
        <f t="shared" si="29"/>
        <v>0</v>
      </c>
      <c r="Q117" s="15">
        <f t="shared" si="30"/>
        <v>0</v>
      </c>
      <c r="R117" s="15">
        <f t="shared" si="31"/>
        <v>0</v>
      </c>
      <c r="S117" s="15">
        <f t="shared" si="32"/>
        <v>0</v>
      </c>
      <c r="T117" s="15">
        <f t="shared" si="33"/>
        <v>0</v>
      </c>
      <c r="U117" s="41">
        <f t="shared" si="34"/>
        <v>0</v>
      </c>
      <c r="V117" s="104" t="str">
        <f t="shared" si="35"/>
        <v/>
      </c>
      <c r="W117" s="95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</row>
    <row r="118" spans="1:54" s="5" customFormat="1" ht="13.2" x14ac:dyDescent="0.25">
      <c r="A118" s="66" t="s">
        <v>221</v>
      </c>
      <c r="B118" s="77" t="s">
        <v>140</v>
      </c>
      <c r="C118" s="31" t="s">
        <v>212</v>
      </c>
      <c r="D118" s="45">
        <v>5447.25</v>
      </c>
      <c r="E118" s="15">
        <v>0</v>
      </c>
      <c r="F118" s="15">
        <v>0</v>
      </c>
      <c r="G118" s="15">
        <v>0</v>
      </c>
      <c r="H118" s="15">
        <v>0</v>
      </c>
      <c r="I118" s="41">
        <f t="shared" si="27"/>
        <v>5447.25</v>
      </c>
      <c r="J118" s="45">
        <v>20679</v>
      </c>
      <c r="K118" s="15">
        <v>0</v>
      </c>
      <c r="L118" s="15">
        <v>0</v>
      </c>
      <c r="M118" s="15">
        <v>0</v>
      </c>
      <c r="N118" s="15">
        <v>0</v>
      </c>
      <c r="O118" s="41">
        <f t="shared" si="28"/>
        <v>20679</v>
      </c>
      <c r="P118" s="45">
        <f t="shared" si="29"/>
        <v>-15231.75</v>
      </c>
      <c r="Q118" s="15">
        <f t="shared" si="30"/>
        <v>0</v>
      </c>
      <c r="R118" s="15">
        <f t="shared" si="31"/>
        <v>0</v>
      </c>
      <c r="S118" s="15">
        <f t="shared" si="32"/>
        <v>0</v>
      </c>
      <c r="T118" s="15">
        <f t="shared" si="33"/>
        <v>0</v>
      </c>
      <c r="U118" s="41">
        <f t="shared" si="34"/>
        <v>-15231.75</v>
      </c>
      <c r="V118" s="104">
        <f t="shared" si="35"/>
        <v>-0.73658058900333678</v>
      </c>
      <c r="W118" s="95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</row>
    <row r="119" spans="1:54" s="5" customFormat="1" thickBot="1" x14ac:dyDescent="0.3">
      <c r="A119" s="69" t="s">
        <v>226</v>
      </c>
      <c r="B119" s="77" t="s">
        <v>173</v>
      </c>
      <c r="C119" s="31" t="s">
        <v>212</v>
      </c>
      <c r="D119" s="45">
        <v>295.87</v>
      </c>
      <c r="E119" s="15">
        <v>300</v>
      </c>
      <c r="F119" s="15">
        <v>0</v>
      </c>
      <c r="G119" s="15">
        <v>0</v>
      </c>
      <c r="H119" s="15">
        <v>2945</v>
      </c>
      <c r="I119" s="41">
        <f t="shared" si="27"/>
        <v>3540.87</v>
      </c>
      <c r="J119" s="45">
        <v>72</v>
      </c>
      <c r="K119" s="15">
        <v>200</v>
      </c>
      <c r="L119" s="15">
        <v>0</v>
      </c>
      <c r="M119" s="15">
        <v>0</v>
      </c>
      <c r="N119" s="15">
        <v>5610</v>
      </c>
      <c r="O119" s="41">
        <f t="shared" si="28"/>
        <v>5882</v>
      </c>
      <c r="P119" s="45">
        <f t="shared" si="29"/>
        <v>223.87</v>
      </c>
      <c r="Q119" s="15">
        <f t="shared" si="30"/>
        <v>100</v>
      </c>
      <c r="R119" s="15">
        <f t="shared" si="31"/>
        <v>0</v>
      </c>
      <c r="S119" s="15">
        <f t="shared" si="32"/>
        <v>0</v>
      </c>
      <c r="T119" s="15">
        <f t="shared" si="33"/>
        <v>-2665</v>
      </c>
      <c r="U119" s="41">
        <f t="shared" si="34"/>
        <v>-2341.13</v>
      </c>
      <c r="V119" s="104">
        <f t="shared" si="35"/>
        <v>-0.3980159809588576</v>
      </c>
      <c r="W119" s="95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</row>
    <row r="120" spans="1:54" s="38" customFormat="1" thickBot="1" x14ac:dyDescent="0.3">
      <c r="A120" s="68" t="s">
        <v>17</v>
      </c>
      <c r="B120" s="78"/>
      <c r="C120" s="36"/>
      <c r="D120" s="34">
        <f t="shared" ref="D120:O120" si="36">SUM(D6:D119)</f>
        <v>216071.7000000001</v>
      </c>
      <c r="E120" s="34">
        <f t="shared" si="36"/>
        <v>245309.71999999997</v>
      </c>
      <c r="F120" s="34">
        <f t="shared" si="36"/>
        <v>524397.39</v>
      </c>
      <c r="G120" s="34">
        <f t="shared" si="36"/>
        <v>21463.53</v>
      </c>
      <c r="H120" s="34">
        <f t="shared" si="36"/>
        <v>189522.05</v>
      </c>
      <c r="I120" s="98">
        <f t="shared" si="36"/>
        <v>1196764.3900000001</v>
      </c>
      <c r="J120" s="34">
        <f t="shared" si="36"/>
        <v>220440</v>
      </c>
      <c r="K120" s="34">
        <f t="shared" si="36"/>
        <v>408283</v>
      </c>
      <c r="L120" s="34">
        <f t="shared" si="36"/>
        <v>602623</v>
      </c>
      <c r="M120" s="34">
        <f t="shared" si="36"/>
        <v>8248</v>
      </c>
      <c r="N120" s="34">
        <f t="shared" si="36"/>
        <v>285285</v>
      </c>
      <c r="O120" s="98">
        <f t="shared" si="36"/>
        <v>1524879</v>
      </c>
      <c r="P120" s="37">
        <f t="shared" ref="P120:U120" si="37">D120-J120</f>
        <v>-4368.299999999901</v>
      </c>
      <c r="Q120" s="37">
        <f t="shared" si="37"/>
        <v>-162973.28000000003</v>
      </c>
      <c r="R120" s="37">
        <f t="shared" si="37"/>
        <v>-78225.609999999986</v>
      </c>
      <c r="S120" s="37">
        <f t="shared" si="37"/>
        <v>13215.529999999999</v>
      </c>
      <c r="T120" s="37">
        <f t="shared" si="37"/>
        <v>-95762.950000000012</v>
      </c>
      <c r="U120" s="99">
        <f t="shared" si="37"/>
        <v>-328114.60999999987</v>
      </c>
      <c r="V120" s="100">
        <f t="shared" si="35"/>
        <v>-0.21517419414917505</v>
      </c>
      <c r="W120" s="96"/>
    </row>
    <row r="121" spans="1:54" s="29" customFormat="1" ht="12" x14ac:dyDescent="0.25">
      <c r="B121" s="79"/>
      <c r="C121" s="28"/>
      <c r="D121" s="27">
        <v>0</v>
      </c>
      <c r="E121" s="27">
        <v>0</v>
      </c>
      <c r="F121" s="27">
        <v>0</v>
      </c>
      <c r="G121" s="27">
        <v>0</v>
      </c>
      <c r="H121" s="27">
        <v>0</v>
      </c>
      <c r="I121" s="15">
        <f>SUM(D121:H121)</f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15">
        <f>SUM(J121:N121)</f>
        <v>0</v>
      </c>
      <c r="P121" s="65">
        <f>+D120-J120-P120</f>
        <v>0</v>
      </c>
      <c r="Q121" s="65">
        <f>+E120-K120-Q120</f>
        <v>0</v>
      </c>
      <c r="R121" s="65">
        <f>+F120-L120-R120</f>
        <v>0</v>
      </c>
      <c r="S121" s="65">
        <f>+G120-M120-S120</f>
        <v>0</v>
      </c>
      <c r="T121" s="65">
        <f>+H120-N120-T120</f>
        <v>0</v>
      </c>
      <c r="U121" s="15">
        <f>SUM(P121:T121)</f>
        <v>0</v>
      </c>
      <c r="V121" s="105"/>
      <c r="W121" s="97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</row>
    <row r="122" spans="1:54" s="53" customFormat="1" x14ac:dyDescent="0.25">
      <c r="A122" s="46"/>
      <c r="B122" s="80"/>
      <c r="C122" s="47"/>
      <c r="D122" s="48"/>
      <c r="E122" s="48"/>
      <c r="F122" s="48"/>
      <c r="G122" s="48"/>
      <c r="H122" s="48"/>
      <c r="I122" s="49"/>
      <c r="J122" s="50"/>
      <c r="K122" s="50"/>
      <c r="L122" s="50"/>
      <c r="M122" s="50"/>
      <c r="N122" s="50"/>
      <c r="O122" s="51"/>
      <c r="P122" s="52"/>
      <c r="Q122" s="52"/>
      <c r="R122" s="52"/>
      <c r="S122" s="52"/>
      <c r="T122" s="52"/>
      <c r="U122" s="52"/>
      <c r="V122" s="106"/>
      <c r="W122" s="54"/>
    </row>
    <row r="123" spans="1:54" s="58" customFormat="1" ht="13.2" x14ac:dyDescent="0.25">
      <c r="A123" s="70"/>
      <c r="B123" s="81"/>
      <c r="C123" s="71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107"/>
      <c r="W123" s="73"/>
    </row>
    <row r="124" spans="1:54" s="53" customFormat="1" x14ac:dyDescent="0.25">
      <c r="A124" s="46"/>
      <c r="B124" s="80"/>
      <c r="C124" s="47"/>
      <c r="D124" s="48"/>
      <c r="E124" s="48"/>
      <c r="F124" s="48"/>
      <c r="G124" s="48"/>
      <c r="H124" s="48"/>
      <c r="I124" s="49"/>
      <c r="J124" s="50"/>
      <c r="K124" s="50"/>
      <c r="L124" s="50"/>
      <c r="M124" s="50"/>
      <c r="N124" s="50"/>
      <c r="O124" s="51"/>
      <c r="P124" s="52"/>
      <c r="Q124" s="52"/>
      <c r="R124" s="52"/>
      <c r="S124" s="52"/>
      <c r="T124" s="52"/>
      <c r="U124" s="52"/>
      <c r="V124" s="106"/>
      <c r="W124" s="54"/>
    </row>
    <row r="125" spans="1:54" s="53" customFormat="1" x14ac:dyDescent="0.25">
      <c r="A125" s="46"/>
      <c r="B125" s="80"/>
      <c r="C125" s="47"/>
      <c r="D125" s="48"/>
      <c r="E125" s="48"/>
      <c r="F125" s="48"/>
      <c r="G125" s="48"/>
      <c r="H125" s="48"/>
      <c r="I125" s="49"/>
      <c r="J125" s="50"/>
      <c r="K125" s="50"/>
      <c r="L125" s="50"/>
      <c r="M125" s="50"/>
      <c r="N125" s="50"/>
      <c r="O125" s="51"/>
      <c r="P125" s="52"/>
      <c r="Q125" s="52"/>
      <c r="R125" s="52"/>
      <c r="S125" s="52"/>
      <c r="T125" s="52"/>
      <c r="U125" s="52"/>
      <c r="V125" s="106"/>
      <c r="W125" s="54"/>
    </row>
    <row r="126" spans="1:54" s="53" customFormat="1" x14ac:dyDescent="0.25">
      <c r="A126" s="46"/>
      <c r="B126" s="80"/>
      <c r="C126" s="47"/>
      <c r="D126" s="48"/>
      <c r="E126" s="48"/>
      <c r="F126" s="48"/>
      <c r="G126" s="48"/>
      <c r="H126" s="48"/>
      <c r="I126" s="49"/>
      <c r="J126" s="50"/>
      <c r="K126" s="50"/>
      <c r="L126" s="50"/>
      <c r="M126" s="50"/>
      <c r="N126" s="50"/>
      <c r="O126" s="51"/>
      <c r="P126" s="52"/>
      <c r="Q126" s="52"/>
      <c r="R126" s="52"/>
      <c r="S126" s="52"/>
      <c r="T126" s="52"/>
      <c r="U126" s="52"/>
      <c r="V126" s="106"/>
      <c r="W126" s="54"/>
    </row>
    <row r="127" spans="1:54" s="53" customFormat="1" x14ac:dyDescent="0.25">
      <c r="A127" s="46"/>
      <c r="B127" s="80"/>
      <c r="C127" s="47"/>
      <c r="D127" s="48"/>
      <c r="E127" s="48"/>
      <c r="F127" s="48"/>
      <c r="G127" s="48"/>
      <c r="H127" s="48"/>
      <c r="I127" s="49"/>
      <c r="J127" s="50"/>
      <c r="K127" s="50"/>
      <c r="L127" s="50"/>
      <c r="M127" s="50"/>
      <c r="N127" s="50"/>
      <c r="O127" s="51"/>
      <c r="P127" s="52"/>
      <c r="Q127" s="52"/>
      <c r="R127" s="52"/>
      <c r="S127" s="52"/>
      <c r="T127" s="52"/>
      <c r="U127" s="52"/>
      <c r="V127" s="106"/>
      <c r="W127" s="54"/>
    </row>
    <row r="128" spans="1:54" s="53" customFormat="1" x14ac:dyDescent="0.25">
      <c r="A128" s="46"/>
      <c r="B128" s="80"/>
      <c r="C128" s="47"/>
      <c r="D128" s="48"/>
      <c r="E128" s="48"/>
      <c r="F128" s="48"/>
      <c r="G128" s="48"/>
      <c r="H128" s="48"/>
      <c r="I128" s="49"/>
      <c r="J128" s="50"/>
      <c r="K128" s="50"/>
      <c r="L128" s="50"/>
      <c r="M128" s="50"/>
      <c r="N128" s="50"/>
      <c r="O128" s="51"/>
      <c r="P128" s="52"/>
      <c r="Q128" s="52"/>
      <c r="R128" s="52"/>
      <c r="S128" s="52"/>
      <c r="T128" s="52"/>
      <c r="U128" s="52"/>
      <c r="V128" s="106"/>
      <c r="W128" s="54"/>
    </row>
    <row r="129" spans="1:73" s="53" customFormat="1" x14ac:dyDescent="0.25">
      <c r="A129" s="46"/>
      <c r="B129" s="80"/>
      <c r="C129" s="47"/>
      <c r="D129" s="48"/>
      <c r="E129" s="48"/>
      <c r="F129" s="48"/>
      <c r="G129" s="48"/>
      <c r="H129" s="48"/>
      <c r="I129" s="49"/>
      <c r="J129" s="50"/>
      <c r="K129" s="50"/>
      <c r="L129" s="50"/>
      <c r="M129" s="50"/>
      <c r="N129" s="50"/>
      <c r="O129" s="51"/>
      <c r="P129" s="52"/>
      <c r="Q129" s="52"/>
      <c r="R129" s="52"/>
      <c r="S129" s="52"/>
      <c r="T129" s="52"/>
      <c r="U129" s="52"/>
      <c r="V129" s="106"/>
      <c r="W129" s="54"/>
    </row>
    <row r="130" spans="1:73" s="53" customFormat="1" x14ac:dyDescent="0.25">
      <c r="A130" s="46"/>
      <c r="B130" s="80"/>
      <c r="C130" s="47"/>
      <c r="D130" s="48"/>
      <c r="E130" s="48"/>
      <c r="F130" s="48"/>
      <c r="G130" s="48"/>
      <c r="H130" s="48"/>
      <c r="I130" s="49"/>
      <c r="J130" s="50"/>
      <c r="K130" s="50"/>
      <c r="L130" s="50"/>
      <c r="M130" s="50"/>
      <c r="N130" s="50"/>
      <c r="O130" s="51"/>
      <c r="P130" s="52"/>
      <c r="Q130" s="52"/>
      <c r="R130" s="52"/>
      <c r="S130" s="52"/>
      <c r="T130" s="52"/>
      <c r="U130" s="52"/>
      <c r="V130" s="106"/>
      <c r="W130" s="54"/>
    </row>
    <row r="131" spans="1:73" s="53" customFormat="1" x14ac:dyDescent="0.25">
      <c r="A131" s="46"/>
      <c r="B131" s="80"/>
      <c r="C131" s="47"/>
      <c r="D131" s="48"/>
      <c r="E131" s="48"/>
      <c r="F131" s="48"/>
      <c r="G131" s="48"/>
      <c r="H131" s="48"/>
      <c r="I131" s="49"/>
      <c r="J131" s="50"/>
      <c r="K131" s="50"/>
      <c r="L131" s="50"/>
      <c r="M131" s="50"/>
      <c r="N131" s="50"/>
      <c r="O131" s="51"/>
      <c r="P131" s="52"/>
      <c r="Q131" s="52"/>
      <c r="R131" s="52"/>
      <c r="S131" s="52"/>
      <c r="T131" s="52"/>
      <c r="U131" s="52"/>
      <c r="V131" s="106"/>
      <c r="W131" s="54"/>
    </row>
    <row r="132" spans="1:73" s="53" customFormat="1" x14ac:dyDescent="0.25">
      <c r="A132" s="46"/>
      <c r="B132" s="80"/>
      <c r="C132" s="47"/>
      <c r="D132" s="48"/>
      <c r="E132" s="48"/>
      <c r="F132" s="48"/>
      <c r="G132" s="48"/>
      <c r="H132" s="48"/>
      <c r="I132" s="49"/>
      <c r="J132" s="50"/>
      <c r="K132" s="50"/>
      <c r="L132" s="50"/>
      <c r="M132" s="50"/>
      <c r="N132" s="50"/>
      <c r="O132" s="51"/>
      <c r="P132" s="52"/>
      <c r="Q132" s="52"/>
      <c r="R132" s="52"/>
      <c r="S132" s="52"/>
      <c r="T132" s="52"/>
      <c r="U132" s="52"/>
      <c r="V132" s="106"/>
      <c r="W132" s="54"/>
    </row>
    <row r="133" spans="1:73" s="53" customFormat="1" x14ac:dyDescent="0.25">
      <c r="A133" s="46"/>
      <c r="B133" s="80"/>
      <c r="C133" s="47"/>
      <c r="D133" s="48"/>
      <c r="E133" s="48"/>
      <c r="F133" s="48"/>
      <c r="G133" s="48"/>
      <c r="H133" s="48"/>
      <c r="I133" s="49"/>
      <c r="J133" s="50"/>
      <c r="K133" s="50"/>
      <c r="L133" s="50"/>
      <c r="M133" s="50"/>
      <c r="N133" s="50"/>
      <c r="O133" s="51"/>
      <c r="P133" s="52"/>
      <c r="Q133" s="52"/>
      <c r="R133" s="52"/>
      <c r="S133" s="52"/>
      <c r="T133" s="52"/>
      <c r="U133" s="52"/>
      <c r="V133" s="106"/>
      <c r="W133" s="54"/>
    </row>
    <row r="134" spans="1:73" s="53" customFormat="1" x14ac:dyDescent="0.25">
      <c r="A134" s="46"/>
      <c r="B134" s="80"/>
      <c r="C134" s="47"/>
      <c r="D134" s="48"/>
      <c r="E134" s="48"/>
      <c r="F134" s="48"/>
      <c r="G134" s="48"/>
      <c r="H134" s="48"/>
      <c r="I134" s="49"/>
      <c r="J134" s="50"/>
      <c r="K134" s="50"/>
      <c r="L134" s="50"/>
      <c r="M134" s="50"/>
      <c r="N134" s="50"/>
      <c r="O134" s="51"/>
      <c r="P134" s="52"/>
      <c r="Q134" s="52"/>
      <c r="R134" s="52"/>
      <c r="S134" s="52"/>
      <c r="T134" s="52"/>
      <c r="U134" s="52"/>
      <c r="V134" s="106"/>
      <c r="W134" s="54"/>
    </row>
    <row r="135" spans="1:73" s="53" customFormat="1" x14ac:dyDescent="0.25">
      <c r="A135" s="46"/>
      <c r="B135" s="80"/>
      <c r="C135" s="47"/>
      <c r="D135" s="48"/>
      <c r="E135" s="48"/>
      <c r="F135" s="48"/>
      <c r="G135" s="48"/>
      <c r="H135" s="48"/>
      <c r="I135" s="49"/>
      <c r="J135" s="50"/>
      <c r="K135" s="50"/>
      <c r="L135" s="50"/>
      <c r="M135" s="50"/>
      <c r="N135" s="50"/>
      <c r="O135" s="51"/>
      <c r="P135" s="52"/>
      <c r="Q135" s="52"/>
      <c r="R135" s="52"/>
      <c r="S135" s="52"/>
      <c r="T135" s="52"/>
      <c r="U135" s="52"/>
      <c r="V135" s="106"/>
      <c r="W135" s="54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</row>
    <row r="136" spans="1:73" s="53" customFormat="1" x14ac:dyDescent="0.25">
      <c r="A136" s="46"/>
      <c r="B136" s="80"/>
      <c r="C136" s="47"/>
      <c r="D136" s="48"/>
      <c r="E136" s="48"/>
      <c r="F136" s="48"/>
      <c r="G136" s="48"/>
      <c r="H136" s="48"/>
      <c r="I136" s="49"/>
      <c r="J136" s="50"/>
      <c r="K136" s="50"/>
      <c r="L136" s="50"/>
      <c r="M136" s="50"/>
      <c r="N136" s="50"/>
      <c r="O136" s="51"/>
      <c r="P136" s="52"/>
      <c r="Q136" s="52"/>
      <c r="R136" s="52"/>
      <c r="S136" s="52"/>
      <c r="T136" s="52"/>
      <c r="U136" s="52"/>
      <c r="V136" s="106"/>
      <c r="W136" s="54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</row>
    <row r="137" spans="1:73" s="53" customFormat="1" x14ac:dyDescent="0.25">
      <c r="A137" s="46"/>
      <c r="B137" s="80"/>
      <c r="C137" s="47"/>
      <c r="D137" s="48"/>
      <c r="E137" s="48"/>
      <c r="F137" s="48"/>
      <c r="G137" s="48"/>
      <c r="H137" s="48"/>
      <c r="I137" s="49"/>
      <c r="J137" s="50"/>
      <c r="K137" s="50"/>
      <c r="L137" s="50"/>
      <c r="M137" s="50"/>
      <c r="N137" s="50"/>
      <c r="O137" s="51"/>
      <c r="P137" s="52"/>
      <c r="Q137" s="52"/>
      <c r="R137" s="52"/>
      <c r="S137" s="52"/>
      <c r="T137" s="52"/>
      <c r="U137" s="52"/>
      <c r="V137" s="106"/>
      <c r="W137" s="54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</row>
    <row r="138" spans="1:73" s="53" customFormat="1" x14ac:dyDescent="0.25">
      <c r="A138" s="46"/>
      <c r="B138" s="80"/>
      <c r="C138" s="47"/>
      <c r="D138" s="48"/>
      <c r="E138" s="48"/>
      <c r="F138" s="48"/>
      <c r="G138" s="48"/>
      <c r="H138" s="48"/>
      <c r="I138" s="49"/>
      <c r="J138" s="50"/>
      <c r="K138" s="50"/>
      <c r="L138" s="50"/>
      <c r="M138" s="50"/>
      <c r="N138" s="50"/>
      <c r="O138" s="51"/>
      <c r="P138" s="52"/>
      <c r="Q138" s="52"/>
      <c r="R138" s="52"/>
      <c r="S138" s="52"/>
      <c r="T138" s="52"/>
      <c r="U138" s="52"/>
      <c r="V138" s="106"/>
      <c r="W138" s="54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</row>
    <row r="139" spans="1:73" s="53" customFormat="1" x14ac:dyDescent="0.25">
      <c r="A139" s="46"/>
      <c r="B139" s="80"/>
      <c r="C139" s="47"/>
      <c r="D139" s="48"/>
      <c r="E139" s="48"/>
      <c r="F139" s="48"/>
      <c r="G139" s="48"/>
      <c r="H139" s="48"/>
      <c r="I139" s="49"/>
      <c r="J139" s="50"/>
      <c r="K139" s="50"/>
      <c r="L139" s="50"/>
      <c r="M139" s="50"/>
      <c r="N139" s="50"/>
      <c r="O139" s="51"/>
      <c r="P139" s="52"/>
      <c r="Q139" s="52"/>
      <c r="R139" s="52"/>
      <c r="S139" s="52"/>
      <c r="T139" s="52"/>
      <c r="U139" s="52"/>
      <c r="V139" s="106"/>
      <c r="W139" s="54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</row>
    <row r="140" spans="1:73" s="53" customFormat="1" x14ac:dyDescent="0.25">
      <c r="A140" s="46"/>
      <c r="B140" s="80"/>
      <c r="C140" s="47"/>
      <c r="D140" s="48"/>
      <c r="E140" s="48"/>
      <c r="F140" s="48"/>
      <c r="G140" s="48"/>
      <c r="H140" s="48"/>
      <c r="I140" s="49"/>
      <c r="J140" s="50"/>
      <c r="K140" s="50"/>
      <c r="L140" s="50"/>
      <c r="M140" s="50"/>
      <c r="N140" s="50"/>
      <c r="O140" s="51"/>
      <c r="P140" s="52"/>
      <c r="Q140" s="52"/>
      <c r="R140" s="52"/>
      <c r="S140" s="52"/>
      <c r="T140" s="52"/>
      <c r="U140" s="52"/>
      <c r="V140" s="106"/>
      <c r="W140" s="54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</row>
    <row r="141" spans="1:73" s="53" customFormat="1" x14ac:dyDescent="0.25">
      <c r="A141" s="46"/>
      <c r="B141" s="80"/>
      <c r="C141" s="47"/>
      <c r="D141" s="48"/>
      <c r="E141" s="48"/>
      <c r="F141" s="48"/>
      <c r="G141" s="48"/>
      <c r="H141" s="48"/>
      <c r="I141" s="49"/>
      <c r="J141" s="50"/>
      <c r="K141" s="50"/>
      <c r="L141" s="50"/>
      <c r="M141" s="50"/>
      <c r="N141" s="50"/>
      <c r="O141" s="51"/>
      <c r="P141" s="52"/>
      <c r="Q141" s="52"/>
      <c r="R141" s="52"/>
      <c r="S141" s="52"/>
      <c r="T141" s="52"/>
      <c r="U141" s="52"/>
      <c r="V141" s="106"/>
      <c r="W141" s="54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</row>
    <row r="142" spans="1:73" s="53" customFormat="1" x14ac:dyDescent="0.25">
      <c r="A142" s="46"/>
      <c r="B142" s="80"/>
      <c r="C142" s="47"/>
      <c r="D142" s="48"/>
      <c r="E142" s="48"/>
      <c r="F142" s="48"/>
      <c r="G142" s="48"/>
      <c r="H142" s="48"/>
      <c r="I142" s="49"/>
      <c r="J142" s="50"/>
      <c r="K142" s="50"/>
      <c r="L142" s="50"/>
      <c r="M142" s="50"/>
      <c r="N142" s="50"/>
      <c r="O142" s="51"/>
      <c r="P142" s="52"/>
      <c r="Q142" s="52"/>
      <c r="R142" s="52"/>
      <c r="S142" s="52"/>
      <c r="T142" s="52"/>
      <c r="U142" s="52"/>
      <c r="V142" s="106"/>
      <c r="W142" s="54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</row>
    <row r="143" spans="1:73" s="53" customFormat="1" x14ac:dyDescent="0.25">
      <c r="A143" s="46"/>
      <c r="B143" s="80"/>
      <c r="C143" s="47"/>
      <c r="D143" s="48"/>
      <c r="E143" s="48"/>
      <c r="F143" s="48"/>
      <c r="G143" s="48"/>
      <c r="H143" s="48"/>
      <c r="I143" s="49"/>
      <c r="J143" s="50"/>
      <c r="K143" s="50"/>
      <c r="L143" s="50"/>
      <c r="M143" s="50"/>
      <c r="N143" s="50"/>
      <c r="O143" s="51"/>
      <c r="P143" s="52"/>
      <c r="Q143" s="52"/>
      <c r="R143" s="52"/>
      <c r="S143" s="52"/>
      <c r="T143" s="52"/>
      <c r="U143" s="52"/>
      <c r="V143" s="106"/>
      <c r="W143" s="54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</row>
    <row r="144" spans="1:73" s="53" customFormat="1" x14ac:dyDescent="0.25">
      <c r="A144" s="46"/>
      <c r="B144" s="80"/>
      <c r="C144" s="47"/>
      <c r="D144" s="48"/>
      <c r="E144" s="48"/>
      <c r="F144" s="48"/>
      <c r="G144" s="48"/>
      <c r="H144" s="48"/>
      <c r="I144" s="49"/>
      <c r="J144" s="50"/>
      <c r="K144" s="50"/>
      <c r="L144" s="50"/>
      <c r="M144" s="50"/>
      <c r="N144" s="50"/>
      <c r="O144" s="51"/>
      <c r="P144" s="52"/>
      <c r="Q144" s="52"/>
      <c r="R144" s="52"/>
      <c r="S144" s="52"/>
      <c r="T144" s="52"/>
      <c r="U144" s="52"/>
      <c r="V144" s="106"/>
      <c r="W144" s="54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</row>
    <row r="145" spans="1:73" s="53" customFormat="1" x14ac:dyDescent="0.25">
      <c r="A145" s="46"/>
      <c r="B145" s="80"/>
      <c r="C145" s="47"/>
      <c r="D145" s="48"/>
      <c r="E145" s="48"/>
      <c r="F145" s="48"/>
      <c r="G145" s="48"/>
      <c r="H145" s="48"/>
      <c r="I145" s="49"/>
      <c r="J145" s="50"/>
      <c r="K145" s="50"/>
      <c r="L145" s="50"/>
      <c r="M145" s="50"/>
      <c r="N145" s="50"/>
      <c r="O145" s="51"/>
      <c r="P145" s="52"/>
      <c r="Q145" s="52"/>
      <c r="R145" s="52"/>
      <c r="S145" s="52"/>
      <c r="T145" s="52"/>
      <c r="U145" s="52"/>
      <c r="V145" s="106"/>
      <c r="W145" s="54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</row>
    <row r="146" spans="1:73" s="53" customFormat="1" x14ac:dyDescent="0.25">
      <c r="A146" s="46"/>
      <c r="B146" s="80"/>
      <c r="C146" s="47"/>
      <c r="D146" s="48"/>
      <c r="E146" s="48"/>
      <c r="F146" s="48"/>
      <c r="G146" s="48"/>
      <c r="H146" s="48"/>
      <c r="I146" s="49"/>
      <c r="J146" s="50"/>
      <c r="K146" s="50"/>
      <c r="L146" s="50"/>
      <c r="M146" s="50"/>
      <c r="N146" s="50"/>
      <c r="O146" s="51"/>
      <c r="P146" s="52"/>
      <c r="Q146" s="52"/>
      <c r="R146" s="52"/>
      <c r="S146" s="52"/>
      <c r="T146" s="52"/>
      <c r="U146" s="52"/>
      <c r="V146" s="106"/>
      <c r="W146" s="54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</row>
    <row r="147" spans="1:73" s="53" customFormat="1" x14ac:dyDescent="0.25">
      <c r="A147" s="46"/>
      <c r="B147" s="80"/>
      <c r="C147" s="47"/>
      <c r="D147" s="48"/>
      <c r="E147" s="48"/>
      <c r="F147" s="48"/>
      <c r="G147" s="48"/>
      <c r="H147" s="48"/>
      <c r="I147" s="49"/>
      <c r="J147" s="50"/>
      <c r="K147" s="50"/>
      <c r="L147" s="50"/>
      <c r="M147" s="50"/>
      <c r="N147" s="50"/>
      <c r="O147" s="51"/>
      <c r="P147" s="52"/>
      <c r="Q147" s="52"/>
      <c r="R147" s="52"/>
      <c r="S147" s="52"/>
      <c r="T147" s="52"/>
      <c r="U147" s="52"/>
      <c r="V147" s="106"/>
      <c r="W147" s="54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</row>
    <row r="148" spans="1:73" s="53" customFormat="1" x14ac:dyDescent="0.25">
      <c r="A148" s="46"/>
      <c r="B148" s="80"/>
      <c r="C148" s="47"/>
      <c r="D148" s="48"/>
      <c r="E148" s="48"/>
      <c r="F148" s="48"/>
      <c r="G148" s="48"/>
      <c r="H148" s="48"/>
      <c r="I148" s="49"/>
      <c r="J148" s="50"/>
      <c r="K148" s="50"/>
      <c r="L148" s="50"/>
      <c r="M148" s="50"/>
      <c r="N148" s="50"/>
      <c r="O148" s="51"/>
      <c r="P148" s="52"/>
      <c r="Q148" s="52"/>
      <c r="R148" s="52"/>
      <c r="S148" s="52"/>
      <c r="T148" s="52"/>
      <c r="U148" s="52"/>
      <c r="V148" s="106"/>
      <c r="W148" s="54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</row>
    <row r="149" spans="1:73" s="53" customFormat="1" x14ac:dyDescent="0.25">
      <c r="A149" s="46"/>
      <c r="B149" s="80"/>
      <c r="C149" s="47"/>
      <c r="D149" s="48"/>
      <c r="E149" s="48"/>
      <c r="F149" s="48"/>
      <c r="G149" s="48"/>
      <c r="H149" s="48"/>
      <c r="I149" s="49"/>
      <c r="J149" s="50"/>
      <c r="K149" s="50"/>
      <c r="L149" s="50"/>
      <c r="M149" s="50"/>
      <c r="N149" s="50"/>
      <c r="O149" s="51"/>
      <c r="P149" s="52"/>
      <c r="Q149" s="52"/>
      <c r="R149" s="52"/>
      <c r="S149" s="52"/>
      <c r="T149" s="52"/>
      <c r="U149" s="52"/>
      <c r="V149" s="106"/>
      <c r="W149" s="54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</row>
    <row r="150" spans="1:73" s="53" customFormat="1" x14ac:dyDescent="0.25">
      <c r="A150" s="46"/>
      <c r="B150" s="80"/>
      <c r="C150" s="47"/>
      <c r="D150" s="48"/>
      <c r="E150" s="48"/>
      <c r="F150" s="48"/>
      <c r="G150" s="48"/>
      <c r="H150" s="48"/>
      <c r="I150" s="49"/>
      <c r="J150" s="50"/>
      <c r="K150" s="50"/>
      <c r="L150" s="50"/>
      <c r="M150" s="50"/>
      <c r="N150" s="50"/>
      <c r="O150" s="51"/>
      <c r="P150" s="52"/>
      <c r="Q150" s="52"/>
      <c r="R150" s="52"/>
      <c r="S150" s="52"/>
      <c r="T150" s="52"/>
      <c r="U150" s="52"/>
      <c r="V150" s="106"/>
      <c r="W150" s="54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</row>
    <row r="151" spans="1:73" s="53" customFormat="1" x14ac:dyDescent="0.25">
      <c r="A151" s="46"/>
      <c r="B151" s="80"/>
      <c r="C151" s="47"/>
      <c r="D151" s="48"/>
      <c r="E151" s="48"/>
      <c r="F151" s="48"/>
      <c r="G151" s="48"/>
      <c r="H151" s="48"/>
      <c r="I151" s="49"/>
      <c r="J151" s="50"/>
      <c r="K151" s="50"/>
      <c r="L151" s="50"/>
      <c r="M151" s="50"/>
      <c r="N151" s="50"/>
      <c r="O151" s="51"/>
      <c r="P151" s="52"/>
      <c r="Q151" s="52"/>
      <c r="R151" s="52"/>
      <c r="S151" s="52"/>
      <c r="T151" s="52"/>
      <c r="U151" s="52"/>
      <c r="V151" s="106"/>
      <c r="W151" s="54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</row>
    <row r="152" spans="1:73" s="53" customFormat="1" x14ac:dyDescent="0.25">
      <c r="A152" s="46"/>
      <c r="B152" s="80"/>
      <c r="C152" s="47"/>
      <c r="D152" s="48"/>
      <c r="E152" s="48"/>
      <c r="F152" s="48"/>
      <c r="G152" s="48"/>
      <c r="H152" s="48"/>
      <c r="I152" s="49"/>
      <c r="J152" s="50"/>
      <c r="K152" s="50"/>
      <c r="L152" s="50"/>
      <c r="M152" s="50"/>
      <c r="N152" s="50"/>
      <c r="O152" s="51"/>
      <c r="P152" s="52"/>
      <c r="Q152" s="52"/>
      <c r="R152" s="52"/>
      <c r="S152" s="52"/>
      <c r="T152" s="52"/>
      <c r="U152" s="52"/>
      <c r="V152" s="106"/>
      <c r="W152" s="54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</row>
    <row r="153" spans="1:73" s="53" customFormat="1" x14ac:dyDescent="0.25">
      <c r="A153" s="46"/>
      <c r="B153" s="80"/>
      <c r="C153" s="47"/>
      <c r="D153" s="48"/>
      <c r="E153" s="48"/>
      <c r="F153" s="48"/>
      <c r="G153" s="48"/>
      <c r="H153" s="48"/>
      <c r="I153" s="49"/>
      <c r="J153" s="50"/>
      <c r="K153" s="50"/>
      <c r="L153" s="50"/>
      <c r="M153" s="50"/>
      <c r="N153" s="50"/>
      <c r="O153" s="51"/>
      <c r="P153" s="52"/>
      <c r="Q153" s="52"/>
      <c r="R153" s="52"/>
      <c r="S153" s="52"/>
      <c r="T153" s="52"/>
      <c r="U153" s="52"/>
      <c r="V153" s="106"/>
      <c r="W153" s="54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</row>
    <row r="154" spans="1:73" s="53" customFormat="1" x14ac:dyDescent="0.25">
      <c r="A154" s="46"/>
      <c r="B154" s="80"/>
      <c r="C154" s="47"/>
      <c r="D154" s="48"/>
      <c r="E154" s="48"/>
      <c r="F154" s="48"/>
      <c r="G154" s="48"/>
      <c r="H154" s="48"/>
      <c r="I154" s="49"/>
      <c r="J154" s="50"/>
      <c r="K154" s="50"/>
      <c r="L154" s="50"/>
      <c r="M154" s="50"/>
      <c r="N154" s="50"/>
      <c r="O154" s="51"/>
      <c r="P154" s="52"/>
      <c r="Q154" s="52"/>
      <c r="R154" s="52"/>
      <c r="S154" s="52"/>
      <c r="T154" s="52"/>
      <c r="U154" s="52"/>
      <c r="V154" s="106"/>
      <c r="W154" s="54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</row>
    <row r="155" spans="1:73" s="53" customFormat="1" x14ac:dyDescent="0.25">
      <c r="A155" s="46"/>
      <c r="B155" s="80"/>
      <c r="C155" s="47"/>
      <c r="D155" s="48"/>
      <c r="E155" s="48"/>
      <c r="F155" s="48"/>
      <c r="G155" s="48"/>
      <c r="H155" s="48"/>
      <c r="I155" s="49"/>
      <c r="J155" s="50"/>
      <c r="K155" s="50"/>
      <c r="L155" s="50"/>
      <c r="M155" s="50"/>
      <c r="N155" s="50"/>
      <c r="O155" s="51"/>
      <c r="P155" s="52"/>
      <c r="Q155" s="52"/>
      <c r="R155" s="52"/>
      <c r="S155" s="52"/>
      <c r="T155" s="52"/>
      <c r="U155" s="52"/>
      <c r="V155" s="106"/>
      <c r="W155" s="54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</row>
    <row r="156" spans="1:73" s="53" customFormat="1" x14ac:dyDescent="0.25">
      <c r="A156" s="46"/>
      <c r="B156" s="80"/>
      <c r="C156" s="47"/>
      <c r="D156" s="48"/>
      <c r="E156" s="48"/>
      <c r="F156" s="48"/>
      <c r="G156" s="48"/>
      <c r="H156" s="48"/>
      <c r="I156" s="49"/>
      <c r="J156" s="50"/>
      <c r="K156" s="50"/>
      <c r="L156" s="50"/>
      <c r="M156" s="50"/>
      <c r="N156" s="50"/>
      <c r="O156" s="51"/>
      <c r="P156" s="52"/>
      <c r="Q156" s="52"/>
      <c r="R156" s="52"/>
      <c r="S156" s="52"/>
      <c r="T156" s="52"/>
      <c r="U156" s="52"/>
      <c r="V156" s="106"/>
      <c r="W156" s="54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</row>
    <row r="157" spans="1:73" s="53" customFormat="1" x14ac:dyDescent="0.25">
      <c r="A157" s="46"/>
      <c r="B157" s="80"/>
      <c r="C157" s="47"/>
      <c r="D157" s="48"/>
      <c r="E157" s="48"/>
      <c r="F157" s="48"/>
      <c r="G157" s="48"/>
      <c r="H157" s="48"/>
      <c r="I157" s="49"/>
      <c r="J157" s="50"/>
      <c r="K157" s="50"/>
      <c r="L157" s="50"/>
      <c r="M157" s="50"/>
      <c r="N157" s="50"/>
      <c r="O157" s="51"/>
      <c r="P157" s="52"/>
      <c r="Q157" s="52"/>
      <c r="R157" s="52"/>
      <c r="S157" s="52"/>
      <c r="T157" s="52"/>
      <c r="U157" s="52"/>
      <c r="V157" s="106"/>
      <c r="W157" s="54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</row>
    <row r="158" spans="1:73" s="53" customFormat="1" x14ac:dyDescent="0.25">
      <c r="A158" s="46"/>
      <c r="B158" s="80"/>
      <c r="C158" s="47"/>
      <c r="D158" s="48"/>
      <c r="E158" s="48"/>
      <c r="F158" s="48"/>
      <c r="G158" s="48"/>
      <c r="H158" s="48"/>
      <c r="I158" s="49"/>
      <c r="J158" s="50"/>
      <c r="K158" s="50"/>
      <c r="L158" s="50"/>
      <c r="M158" s="50"/>
      <c r="N158" s="50"/>
      <c r="O158" s="51"/>
      <c r="P158" s="52"/>
      <c r="Q158" s="52"/>
      <c r="R158" s="52"/>
      <c r="S158" s="52"/>
      <c r="T158" s="52"/>
      <c r="U158" s="52"/>
      <c r="V158" s="106"/>
      <c r="W158" s="54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</row>
    <row r="159" spans="1:73" s="53" customFormat="1" x14ac:dyDescent="0.25">
      <c r="A159" s="46"/>
      <c r="B159" s="80"/>
      <c r="C159" s="47"/>
      <c r="D159" s="48"/>
      <c r="E159" s="48"/>
      <c r="F159" s="48"/>
      <c r="G159" s="48"/>
      <c r="H159" s="48"/>
      <c r="I159" s="49"/>
      <c r="J159" s="50"/>
      <c r="K159" s="50"/>
      <c r="L159" s="50"/>
      <c r="M159" s="50"/>
      <c r="N159" s="50"/>
      <c r="O159" s="51"/>
      <c r="P159" s="52"/>
      <c r="Q159" s="52"/>
      <c r="R159" s="52"/>
      <c r="S159" s="52"/>
      <c r="T159" s="52"/>
      <c r="U159" s="52"/>
      <c r="V159" s="106"/>
      <c r="W159" s="54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</row>
    <row r="160" spans="1:73" s="53" customFormat="1" x14ac:dyDescent="0.25">
      <c r="A160" s="46"/>
      <c r="B160" s="80"/>
      <c r="C160" s="47"/>
      <c r="D160" s="48"/>
      <c r="E160" s="48"/>
      <c r="F160" s="48"/>
      <c r="G160" s="48"/>
      <c r="H160" s="48"/>
      <c r="I160" s="49"/>
      <c r="J160" s="50"/>
      <c r="K160" s="50"/>
      <c r="L160" s="50"/>
      <c r="M160" s="50"/>
      <c r="N160" s="50"/>
      <c r="O160" s="51"/>
      <c r="P160" s="52"/>
      <c r="Q160" s="52"/>
      <c r="R160" s="52"/>
      <c r="S160" s="52"/>
      <c r="T160" s="52"/>
      <c r="U160" s="52"/>
      <c r="V160" s="106"/>
      <c r="W160" s="54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</row>
    <row r="161" spans="1:73" s="53" customFormat="1" x14ac:dyDescent="0.25">
      <c r="A161" s="46"/>
      <c r="B161" s="80"/>
      <c r="C161" s="47"/>
      <c r="D161" s="48"/>
      <c r="E161" s="48"/>
      <c r="F161" s="48"/>
      <c r="G161" s="48"/>
      <c r="H161" s="48"/>
      <c r="I161" s="49"/>
      <c r="J161" s="50"/>
      <c r="K161" s="50"/>
      <c r="L161" s="50"/>
      <c r="M161" s="50"/>
      <c r="N161" s="50"/>
      <c r="O161" s="51"/>
      <c r="P161" s="52"/>
      <c r="Q161" s="52"/>
      <c r="R161" s="52"/>
      <c r="S161" s="52"/>
      <c r="T161" s="52"/>
      <c r="U161" s="52"/>
      <c r="V161" s="106"/>
      <c r="W161" s="54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</row>
  </sheetData>
  <mergeCells count="3">
    <mergeCell ref="P4:U4"/>
    <mergeCell ref="D4:I4"/>
    <mergeCell ref="J4:O4"/>
  </mergeCells>
  <phoneticPr fontId="4" type="noConversion"/>
  <conditionalFormatting sqref="V1:V3 V5 O1:O3">
    <cfRule type="cellIs" dxfId="99" priority="1" stopIfTrue="1" operator="greaterThan">
      <formula>10</formula>
    </cfRule>
    <cfRule type="cellIs" dxfId="98" priority="2" stopIfTrue="1" operator="lessThan">
      <formula>10</formula>
    </cfRule>
  </conditionalFormatting>
  <conditionalFormatting sqref="P6:U119">
    <cfRule type="cellIs" dxfId="97" priority="3" stopIfTrue="1" operator="notBetween">
      <formula>-1000</formula>
      <formula>1000</formula>
    </cfRule>
  </conditionalFormatting>
  <printOptions gridLines="1"/>
  <pageMargins left="0.37" right="0.28999999999999998" top="1.18" bottom="0.68" header="0.68" footer="0.28000000000000003"/>
  <pageSetup paperSize="5" scale="70" fitToHeight="0" orientation="landscape" r:id="rId1"/>
  <headerFooter alignWithMargins="0">
    <oddFooter>&amp;L&amp;Z
&amp;C&amp;"Arial,Bold Italic"&amp;A&amp;"Arial,Regular"
&amp;"Arial,Bold"&amp;11&amp;F&amp;R&amp;P/&amp;N
&amp;D/&amp;T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">
    <pageSetUpPr fitToPage="1"/>
  </sheetPr>
  <dimension ref="A1:AB109"/>
  <sheetViews>
    <sheetView showZeros="0" zoomScale="90" zoomScaleNormal="90" zoomScaleSheetLayoutView="50" workbookViewId="0">
      <pane xSplit="2" ySplit="5" topLeftCell="V96" activePane="bottomRight" state="frozen"/>
      <selection activeCell="R34" sqref="R34"/>
      <selection pane="topRight" activeCell="R34" sqref="R34"/>
      <selection pane="bottomLeft" activeCell="R34" sqref="R34"/>
      <selection pane="bottomRight" activeCell="Z46" sqref="Z46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</cols>
  <sheetData>
    <row r="1" spans="1:27" s="111" customFormat="1" ht="22.8" x14ac:dyDescent="0.35">
      <c r="B1" s="544"/>
      <c r="C1" s="546" t="s">
        <v>263</v>
      </c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6"/>
      <c r="S1" s="546"/>
      <c r="T1" s="546"/>
      <c r="U1" s="546"/>
      <c r="V1" s="546"/>
      <c r="W1" s="546"/>
      <c r="X1" s="546"/>
      <c r="Y1" s="546"/>
      <c r="Z1" s="546"/>
    </row>
    <row r="2" spans="1:27" s="111" customFormat="1" ht="22.8" x14ac:dyDescent="0.35">
      <c r="B2" s="544"/>
      <c r="C2" s="550"/>
      <c r="D2" s="550"/>
      <c r="E2" s="550"/>
      <c r="F2" s="550"/>
      <c r="G2" s="550"/>
      <c r="H2" s="550"/>
      <c r="I2" s="550"/>
      <c r="J2" s="550"/>
      <c r="K2" s="550"/>
      <c r="L2" s="550"/>
      <c r="M2" s="550"/>
      <c r="N2" s="550"/>
      <c r="O2" s="550"/>
      <c r="P2" s="550"/>
      <c r="Q2" s="550"/>
      <c r="R2" s="550"/>
      <c r="S2" s="550"/>
      <c r="T2" s="550"/>
      <c r="U2" s="550"/>
      <c r="V2" s="550"/>
      <c r="W2" s="550"/>
      <c r="X2" s="550"/>
      <c r="Y2" s="550"/>
      <c r="Z2" s="550"/>
    </row>
    <row r="3" spans="1:27" s="111" customFormat="1" ht="21" thickBot="1" x14ac:dyDescent="0.4">
      <c r="B3" s="545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7" ht="21" customHeight="1" thickTop="1" thickBot="1" x14ac:dyDescent="0.3">
      <c r="A4" s="145"/>
      <c r="B4" s="167"/>
      <c r="C4" s="547" t="s">
        <v>253</v>
      </c>
      <c r="D4" s="548"/>
      <c r="E4" s="548"/>
      <c r="F4" s="548"/>
      <c r="G4" s="548"/>
      <c r="H4" s="548"/>
      <c r="I4" s="548"/>
      <c r="J4" s="548"/>
      <c r="K4" s="548"/>
      <c r="L4" s="549"/>
      <c r="M4" s="547" t="s">
        <v>262</v>
      </c>
      <c r="N4" s="548"/>
      <c r="O4" s="548"/>
      <c r="P4" s="548"/>
      <c r="Q4" s="548"/>
      <c r="R4" s="548"/>
      <c r="S4" s="548"/>
      <c r="T4" s="548"/>
      <c r="U4" s="548"/>
      <c r="V4" s="549"/>
      <c r="W4" s="202"/>
      <c r="X4" s="202"/>
      <c r="Y4" s="272" t="s">
        <v>472</v>
      </c>
      <c r="Z4" s="202"/>
      <c r="AA4" s="202"/>
    </row>
    <row r="5" spans="1:27" ht="45" customHeight="1" thickBot="1" x14ac:dyDescent="0.3">
      <c r="A5" s="146" t="s">
        <v>360</v>
      </c>
      <c r="B5" s="168" t="s">
        <v>456</v>
      </c>
      <c r="C5" s="315" t="s">
        <v>254</v>
      </c>
      <c r="D5" s="316" t="s">
        <v>219</v>
      </c>
      <c r="E5" s="317" t="s">
        <v>255</v>
      </c>
      <c r="F5" s="318" t="s">
        <v>256</v>
      </c>
      <c r="G5" s="318" t="s">
        <v>257</v>
      </c>
      <c r="H5" s="318" t="s">
        <v>258</v>
      </c>
      <c r="I5" s="318" t="s">
        <v>259</v>
      </c>
      <c r="J5" s="318" t="s">
        <v>260</v>
      </c>
      <c r="K5" s="319" t="s">
        <v>261</v>
      </c>
      <c r="L5" s="171" t="s">
        <v>208</v>
      </c>
      <c r="M5" s="324" t="s">
        <v>254</v>
      </c>
      <c r="N5" s="316" t="s">
        <v>219</v>
      </c>
      <c r="O5" s="317" t="s">
        <v>255</v>
      </c>
      <c r="P5" s="318" t="s">
        <v>256</v>
      </c>
      <c r="Q5" s="318" t="s">
        <v>257</v>
      </c>
      <c r="R5" s="318" t="s">
        <v>258</v>
      </c>
      <c r="S5" s="318" t="s">
        <v>259</v>
      </c>
      <c r="T5" s="318" t="s">
        <v>260</v>
      </c>
      <c r="U5" s="152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</row>
    <row r="6" spans="1:27" ht="12.75" customHeight="1" x14ac:dyDescent="0.25">
      <c r="A6" s="136" t="s">
        <v>68</v>
      </c>
      <c r="B6" s="139" t="s">
        <v>268</v>
      </c>
      <c r="C6" s="230">
        <v>518</v>
      </c>
      <c r="D6" s="230">
        <v>181</v>
      </c>
      <c r="E6" s="230">
        <v>165</v>
      </c>
      <c r="F6" s="230">
        <v>19</v>
      </c>
      <c r="G6" s="230">
        <v>0</v>
      </c>
      <c r="H6" s="230">
        <v>0</v>
      </c>
      <c r="I6" s="230">
        <v>0</v>
      </c>
      <c r="J6" s="230">
        <v>79</v>
      </c>
      <c r="K6" s="230">
        <v>0</v>
      </c>
      <c r="L6" s="356">
        <f t="shared" ref="L6:L22" si="0">SUM(C6:K6)</f>
        <v>962</v>
      </c>
      <c r="M6" s="230">
        <v>0</v>
      </c>
      <c r="N6" s="230">
        <v>0</v>
      </c>
      <c r="O6" s="230">
        <v>0</v>
      </c>
      <c r="P6" s="230">
        <v>0</v>
      </c>
      <c r="Q6" s="230">
        <v>0</v>
      </c>
      <c r="R6" s="230">
        <v>0</v>
      </c>
      <c r="S6" s="230">
        <v>0</v>
      </c>
      <c r="T6" s="230">
        <v>0</v>
      </c>
      <c r="U6" s="445"/>
      <c r="V6" s="176">
        <f>SUM(M6:U6)</f>
        <v>0</v>
      </c>
      <c r="W6" s="204">
        <v>1468</v>
      </c>
      <c r="X6" s="204"/>
      <c r="Y6" s="204"/>
      <c r="Z6" s="214">
        <f>L6+V6+W6+X6+Y6</f>
        <v>2430</v>
      </c>
      <c r="AA6" s="215">
        <f t="shared" ref="AA6:AA22" si="1">C6+D6+F6+K6+M6+N6+P6+U6</f>
        <v>718</v>
      </c>
    </row>
    <row r="7" spans="1:27" x14ac:dyDescent="0.25">
      <c r="A7" s="136" t="s">
        <v>69</v>
      </c>
      <c r="B7" s="137" t="s">
        <v>269</v>
      </c>
      <c r="C7" s="230">
        <v>355</v>
      </c>
      <c r="D7" s="230">
        <v>122</v>
      </c>
      <c r="E7" s="230">
        <v>35</v>
      </c>
      <c r="F7" s="230">
        <v>17</v>
      </c>
      <c r="G7" s="230">
        <v>3</v>
      </c>
      <c r="H7" s="230">
        <v>0</v>
      </c>
      <c r="I7" s="230">
        <v>28</v>
      </c>
      <c r="J7" s="230">
        <v>233</v>
      </c>
      <c r="K7" s="230">
        <v>0</v>
      </c>
      <c r="L7" s="234">
        <f t="shared" si="0"/>
        <v>793</v>
      </c>
      <c r="M7" s="230">
        <v>71</v>
      </c>
      <c r="N7" s="230">
        <v>51</v>
      </c>
      <c r="O7" s="230">
        <v>15</v>
      </c>
      <c r="P7" s="230">
        <v>0</v>
      </c>
      <c r="Q7" s="230">
        <v>1</v>
      </c>
      <c r="R7" s="230">
        <v>0</v>
      </c>
      <c r="S7" s="230">
        <v>0</v>
      </c>
      <c r="T7" s="230">
        <v>36</v>
      </c>
      <c r="U7" s="381"/>
      <c r="V7" s="176">
        <f>SUM(M7:U7)</f>
        <v>174</v>
      </c>
      <c r="W7" s="205"/>
      <c r="X7" s="204"/>
      <c r="Y7" s="204"/>
      <c r="Z7" s="214">
        <f t="shared" ref="Z7:Z22" si="2">L7+V7+W7+X7+Y7</f>
        <v>967</v>
      </c>
      <c r="AA7" s="215">
        <f t="shared" si="1"/>
        <v>616</v>
      </c>
    </row>
    <row r="8" spans="1:27" x14ac:dyDescent="0.25">
      <c r="A8" s="136" t="s">
        <v>73</v>
      </c>
      <c r="B8" s="137" t="s">
        <v>270</v>
      </c>
      <c r="C8" s="230">
        <v>16</v>
      </c>
      <c r="D8" s="230">
        <v>11</v>
      </c>
      <c r="E8" s="230">
        <v>0</v>
      </c>
      <c r="F8" s="230">
        <v>0</v>
      </c>
      <c r="G8" s="230">
        <v>0</v>
      </c>
      <c r="H8" s="230">
        <v>0</v>
      </c>
      <c r="I8" s="230">
        <v>0</v>
      </c>
      <c r="J8" s="230">
        <v>7</v>
      </c>
      <c r="K8" s="230">
        <v>0</v>
      </c>
      <c r="L8" s="232">
        <f t="shared" si="0"/>
        <v>34</v>
      </c>
      <c r="M8" s="230">
        <v>124</v>
      </c>
      <c r="N8" s="230">
        <v>57</v>
      </c>
      <c r="O8" s="230">
        <v>1</v>
      </c>
      <c r="P8" s="230">
        <v>10</v>
      </c>
      <c r="Q8" s="230">
        <v>0</v>
      </c>
      <c r="R8" s="230">
        <v>0</v>
      </c>
      <c r="S8" s="230">
        <v>0</v>
      </c>
      <c r="T8" s="230">
        <v>7</v>
      </c>
      <c r="U8" s="381"/>
      <c r="V8" s="176">
        <f>SUM(M8:U8)</f>
        <v>199</v>
      </c>
      <c r="W8" s="205"/>
      <c r="X8" s="204"/>
      <c r="Y8" s="204"/>
      <c r="Z8" s="214">
        <f t="shared" si="2"/>
        <v>233</v>
      </c>
      <c r="AA8" s="215">
        <f t="shared" si="1"/>
        <v>218</v>
      </c>
    </row>
    <row r="9" spans="1:27" x14ac:dyDescent="0.25">
      <c r="A9" s="136" t="s">
        <v>74</v>
      </c>
      <c r="B9" s="137" t="s">
        <v>358</v>
      </c>
      <c r="C9" s="128"/>
      <c r="D9" s="128"/>
      <c r="E9" s="128"/>
      <c r="F9" s="128"/>
      <c r="G9" s="128"/>
      <c r="H9" s="128"/>
      <c r="I9" s="128"/>
      <c r="J9" s="128"/>
      <c r="K9" s="128"/>
      <c r="L9" s="232">
        <f t="shared" si="0"/>
        <v>0</v>
      </c>
      <c r="M9" s="459"/>
      <c r="N9" s="230"/>
      <c r="O9" s="230"/>
      <c r="P9" s="230"/>
      <c r="Q9" s="230"/>
      <c r="R9" s="147"/>
      <c r="S9" s="147"/>
      <c r="T9" s="147"/>
      <c r="U9" s="381"/>
      <c r="V9" s="176">
        <f>SUM(M9:U9)</f>
        <v>0</v>
      </c>
      <c r="W9" s="204">
        <v>12041</v>
      </c>
      <c r="X9" s="204"/>
      <c r="Y9" s="204"/>
      <c r="Z9" s="214">
        <f t="shared" si="2"/>
        <v>12041</v>
      </c>
      <c r="AA9" s="215">
        <f t="shared" si="1"/>
        <v>0</v>
      </c>
    </row>
    <row r="10" spans="1:27" x14ac:dyDescent="0.25">
      <c r="A10" s="136" t="s">
        <v>94</v>
      </c>
      <c r="B10" s="137" t="s">
        <v>271</v>
      </c>
      <c r="C10" s="230">
        <v>795</v>
      </c>
      <c r="D10" s="230">
        <v>627</v>
      </c>
      <c r="E10" s="230">
        <v>131</v>
      </c>
      <c r="F10" s="230">
        <v>117</v>
      </c>
      <c r="G10" s="230">
        <v>35</v>
      </c>
      <c r="H10" s="230">
        <v>0</v>
      </c>
      <c r="I10" s="230">
        <v>131</v>
      </c>
      <c r="J10" s="230">
        <v>39</v>
      </c>
      <c r="K10" s="230">
        <v>0</v>
      </c>
      <c r="L10" s="232">
        <f t="shared" si="0"/>
        <v>1875</v>
      </c>
      <c r="M10">
        <v>1004</v>
      </c>
      <c r="N10" s="230">
        <v>2527</v>
      </c>
      <c r="O10" s="230">
        <v>498</v>
      </c>
      <c r="P10" s="230">
        <v>148</v>
      </c>
      <c r="Q10" s="230">
        <v>60</v>
      </c>
      <c r="R10" s="230">
        <v>0</v>
      </c>
      <c r="S10" s="230">
        <v>163</v>
      </c>
      <c r="T10" s="230">
        <v>89</v>
      </c>
      <c r="V10" s="176">
        <f t="shared" ref="V10:V22" si="3">SUM(M10:U10)</f>
        <v>4489</v>
      </c>
      <c r="W10" s="204">
        <v>1715</v>
      </c>
      <c r="X10" s="204"/>
      <c r="Y10" s="204"/>
      <c r="Z10" s="214">
        <f t="shared" si="2"/>
        <v>8079</v>
      </c>
      <c r="AA10" s="215">
        <f t="shared" si="1"/>
        <v>5218</v>
      </c>
    </row>
    <row r="11" spans="1:27" x14ac:dyDescent="0.25">
      <c r="A11" s="136" t="s">
        <v>95</v>
      </c>
      <c r="B11" s="137" t="s">
        <v>272</v>
      </c>
      <c r="C11">
        <v>0</v>
      </c>
      <c r="D11">
        <v>0</v>
      </c>
      <c r="E11">
        <v>6</v>
      </c>
      <c r="F11">
        <v>0</v>
      </c>
      <c r="G11">
        <v>0</v>
      </c>
      <c r="H11">
        <v>0</v>
      </c>
      <c r="I11">
        <v>0</v>
      </c>
      <c r="J11">
        <v>278</v>
      </c>
      <c r="K11">
        <v>0</v>
      </c>
      <c r="L11" s="232">
        <f t="shared" si="0"/>
        <v>284</v>
      </c>
      <c r="M11" s="459">
        <v>0</v>
      </c>
      <c r="N11" s="230">
        <v>0</v>
      </c>
      <c r="O11" s="230">
        <v>16</v>
      </c>
      <c r="P11" s="230">
        <v>0</v>
      </c>
      <c r="Q11" s="230">
        <v>0</v>
      </c>
      <c r="R11" s="230">
        <v>0</v>
      </c>
      <c r="S11" s="230">
        <v>0</v>
      </c>
      <c r="T11" s="230">
        <v>431</v>
      </c>
      <c r="U11" s="340"/>
      <c r="V11" s="229">
        <f t="shared" si="3"/>
        <v>447</v>
      </c>
      <c r="W11" s="205"/>
      <c r="X11" s="204"/>
      <c r="Y11" s="204"/>
      <c r="Z11" s="214">
        <f t="shared" si="2"/>
        <v>731</v>
      </c>
      <c r="AA11" s="215">
        <f t="shared" si="1"/>
        <v>0</v>
      </c>
    </row>
    <row r="12" spans="1:27" x14ac:dyDescent="0.25">
      <c r="A12" s="136" t="s">
        <v>361</v>
      </c>
      <c r="B12" s="137" t="s">
        <v>355</v>
      </c>
      <c r="C12" s="128"/>
      <c r="D12" s="128"/>
      <c r="E12" s="128"/>
      <c r="F12" s="128"/>
      <c r="G12" s="128"/>
      <c r="H12" s="128"/>
      <c r="I12" s="128"/>
      <c r="J12" s="128"/>
      <c r="K12" s="128"/>
      <c r="L12" s="232">
        <f t="shared" si="0"/>
        <v>0</v>
      </c>
      <c r="M12" s="189"/>
      <c r="N12" s="147"/>
      <c r="O12" s="147"/>
      <c r="P12" s="147"/>
      <c r="Q12" s="147"/>
      <c r="R12" s="147"/>
      <c r="S12" s="147"/>
      <c r="T12" s="147"/>
      <c r="U12" s="381"/>
      <c r="V12" s="176">
        <f t="shared" si="3"/>
        <v>0</v>
      </c>
      <c r="W12" s="205"/>
      <c r="X12" s="204">
        <v>110</v>
      </c>
      <c r="Y12" s="204">
        <v>23</v>
      </c>
      <c r="Z12" s="214">
        <f t="shared" si="2"/>
        <v>133</v>
      </c>
      <c r="AA12" s="215">
        <f t="shared" si="1"/>
        <v>0</v>
      </c>
    </row>
    <row r="13" spans="1:27" x14ac:dyDescent="0.25">
      <c r="A13" s="136" t="s">
        <v>106</v>
      </c>
      <c r="B13" s="137" t="s">
        <v>273</v>
      </c>
      <c r="C13" s="230">
        <v>195</v>
      </c>
      <c r="D13" s="230">
        <v>87</v>
      </c>
      <c r="E13" s="230">
        <v>6</v>
      </c>
      <c r="F13" s="230">
        <v>8</v>
      </c>
      <c r="G13" s="230">
        <v>6</v>
      </c>
      <c r="H13" s="230">
        <v>0</v>
      </c>
      <c r="I13" s="230">
        <v>0</v>
      </c>
      <c r="J13" s="230">
        <v>35</v>
      </c>
      <c r="K13" s="230">
        <v>0</v>
      </c>
      <c r="L13" s="232">
        <f t="shared" si="0"/>
        <v>337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340"/>
      <c r="V13" s="229">
        <f t="shared" si="3"/>
        <v>0</v>
      </c>
      <c r="W13" s="205"/>
      <c r="X13" s="204"/>
      <c r="Y13" s="204"/>
      <c r="Z13" s="214">
        <f t="shared" si="2"/>
        <v>337</v>
      </c>
      <c r="AA13" s="215">
        <f t="shared" si="1"/>
        <v>290</v>
      </c>
    </row>
    <row r="14" spans="1:27" x14ac:dyDescent="0.25">
      <c r="A14" s="136" t="s">
        <v>110</v>
      </c>
      <c r="B14" s="137" t="s">
        <v>274</v>
      </c>
      <c r="C14" s="230">
        <v>2986</v>
      </c>
      <c r="D14" s="230">
        <v>976</v>
      </c>
      <c r="E14" s="230">
        <v>624</v>
      </c>
      <c r="F14" s="230">
        <v>24</v>
      </c>
      <c r="G14" s="230">
        <v>98</v>
      </c>
      <c r="H14" s="230">
        <v>0</v>
      </c>
      <c r="I14" s="230">
        <v>120</v>
      </c>
      <c r="J14" s="230">
        <v>42</v>
      </c>
      <c r="K14" s="230">
        <v>0</v>
      </c>
      <c r="L14" s="232">
        <f t="shared" si="0"/>
        <v>4870</v>
      </c>
      <c r="M14" s="230">
        <v>59</v>
      </c>
      <c r="N14" s="230">
        <v>25</v>
      </c>
      <c r="O14" s="230">
        <v>16</v>
      </c>
      <c r="P14" s="230">
        <v>1</v>
      </c>
      <c r="Q14" s="230">
        <v>0</v>
      </c>
      <c r="R14" s="230">
        <v>0</v>
      </c>
      <c r="S14" s="230">
        <v>0</v>
      </c>
      <c r="T14" s="230">
        <v>0</v>
      </c>
      <c r="U14" s="340"/>
      <c r="V14" s="229">
        <f t="shared" si="3"/>
        <v>101</v>
      </c>
      <c r="W14" s="205"/>
      <c r="X14" s="204"/>
      <c r="Y14" s="204"/>
      <c r="Z14" s="214">
        <f t="shared" si="2"/>
        <v>4971</v>
      </c>
      <c r="AA14" s="215">
        <f t="shared" si="1"/>
        <v>4071</v>
      </c>
    </row>
    <row r="15" spans="1:27" x14ac:dyDescent="0.25">
      <c r="A15" s="136" t="s">
        <v>119</v>
      </c>
      <c r="B15" s="137" t="s">
        <v>275</v>
      </c>
      <c r="C15" s="230">
        <v>1071</v>
      </c>
      <c r="D15" s="230">
        <v>318</v>
      </c>
      <c r="E15" s="230">
        <v>197</v>
      </c>
      <c r="F15" s="230">
        <v>24</v>
      </c>
      <c r="G15" s="230">
        <v>9</v>
      </c>
      <c r="H15" s="230">
        <v>0</v>
      </c>
      <c r="I15" s="230">
        <v>35</v>
      </c>
      <c r="J15" s="230">
        <v>38</v>
      </c>
      <c r="K15" s="230">
        <v>0</v>
      </c>
      <c r="L15" s="232">
        <f t="shared" si="0"/>
        <v>1692</v>
      </c>
      <c r="M15" s="230">
        <v>187</v>
      </c>
      <c r="N15" s="230">
        <v>258</v>
      </c>
      <c r="O15" s="230">
        <v>67</v>
      </c>
      <c r="P15" s="230">
        <v>14</v>
      </c>
      <c r="Q15" s="230">
        <v>7</v>
      </c>
      <c r="R15" s="230">
        <v>132</v>
      </c>
      <c r="S15" s="230">
        <v>0</v>
      </c>
      <c r="T15" s="230">
        <v>0</v>
      </c>
      <c r="U15" s="340"/>
      <c r="V15" s="229">
        <f t="shared" si="3"/>
        <v>665</v>
      </c>
      <c r="W15" s="205"/>
      <c r="X15" s="204">
        <v>120</v>
      </c>
      <c r="Y15" s="204"/>
      <c r="Z15" s="214">
        <f t="shared" si="2"/>
        <v>2477</v>
      </c>
      <c r="AA15" s="215">
        <f t="shared" si="1"/>
        <v>1872</v>
      </c>
    </row>
    <row r="16" spans="1:27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1017</v>
      </c>
      <c r="K16" s="230">
        <v>0</v>
      </c>
      <c r="L16" s="232">
        <f t="shared" si="0"/>
        <v>1017</v>
      </c>
      <c r="M16" s="230">
        <v>0</v>
      </c>
      <c r="N16" s="230">
        <v>0</v>
      </c>
      <c r="O16" s="230">
        <v>0</v>
      </c>
      <c r="P16" s="230">
        <v>0</v>
      </c>
      <c r="Q16" s="230">
        <v>0</v>
      </c>
      <c r="R16" s="230">
        <v>0</v>
      </c>
      <c r="S16" s="230">
        <v>0</v>
      </c>
      <c r="T16" s="230">
        <v>0</v>
      </c>
      <c r="U16" s="340"/>
      <c r="V16" s="229">
        <f t="shared" si="3"/>
        <v>0</v>
      </c>
      <c r="W16" s="205"/>
      <c r="X16" s="204"/>
      <c r="Y16" s="204"/>
      <c r="Z16" s="214">
        <f t="shared" si="2"/>
        <v>1017</v>
      </c>
      <c r="AA16" s="215">
        <f t="shared" si="1"/>
        <v>0</v>
      </c>
    </row>
    <row r="17" spans="1:27" x14ac:dyDescent="0.25">
      <c r="A17" s="136" t="s">
        <v>123</v>
      </c>
      <c r="B17" s="137" t="s">
        <v>277</v>
      </c>
      <c r="C17" s="230">
        <v>87</v>
      </c>
      <c r="D17" s="230">
        <v>30</v>
      </c>
      <c r="E17" s="230">
        <v>1</v>
      </c>
      <c r="F17" s="230">
        <v>5</v>
      </c>
      <c r="G17" s="230">
        <v>0</v>
      </c>
      <c r="H17" s="230">
        <v>0</v>
      </c>
      <c r="I17" s="230">
        <v>0</v>
      </c>
      <c r="J17" s="230">
        <v>0</v>
      </c>
      <c r="K17" s="230">
        <v>0</v>
      </c>
      <c r="L17" s="232">
        <f t="shared" si="0"/>
        <v>123</v>
      </c>
      <c r="M17" s="230">
        <v>96</v>
      </c>
      <c r="N17" s="230">
        <v>160</v>
      </c>
      <c r="O17" s="230">
        <v>43</v>
      </c>
      <c r="P17" s="230">
        <v>3</v>
      </c>
      <c r="Q17" s="230">
        <v>4</v>
      </c>
      <c r="R17" s="230">
        <v>0</v>
      </c>
      <c r="S17" s="230">
        <v>0</v>
      </c>
      <c r="T17" s="230">
        <v>4</v>
      </c>
      <c r="U17" s="340"/>
      <c r="V17" s="229">
        <f t="shared" si="3"/>
        <v>310</v>
      </c>
      <c r="W17" s="204">
        <v>163</v>
      </c>
      <c r="X17" s="204"/>
      <c r="Y17" s="204"/>
      <c r="Z17" s="214">
        <f t="shared" si="2"/>
        <v>596</v>
      </c>
      <c r="AA17" s="215">
        <f t="shared" si="1"/>
        <v>381</v>
      </c>
    </row>
    <row r="18" spans="1:27" x14ac:dyDescent="0.25">
      <c r="A18" s="136" t="s">
        <v>128</v>
      </c>
      <c r="B18" s="137" t="s">
        <v>332</v>
      </c>
      <c r="C18" s="230">
        <v>487</v>
      </c>
      <c r="D18" s="230">
        <v>126</v>
      </c>
      <c r="E18" s="230">
        <v>198</v>
      </c>
      <c r="F18" s="230">
        <v>10</v>
      </c>
      <c r="G18" s="230">
        <v>6</v>
      </c>
      <c r="H18" s="230">
        <v>0</v>
      </c>
      <c r="I18" s="230">
        <v>0</v>
      </c>
      <c r="J18" s="230">
        <v>41</v>
      </c>
      <c r="K18" s="230">
        <v>34</v>
      </c>
      <c r="L18" s="232">
        <f t="shared" si="0"/>
        <v>902</v>
      </c>
      <c r="M18" s="230">
        <v>624</v>
      </c>
      <c r="N18" s="230">
        <v>443</v>
      </c>
      <c r="O18" s="230">
        <v>275</v>
      </c>
      <c r="P18" s="230">
        <v>21</v>
      </c>
      <c r="Q18" s="230">
        <v>7</v>
      </c>
      <c r="R18" s="230">
        <v>0</v>
      </c>
      <c r="S18" s="230">
        <v>0</v>
      </c>
      <c r="T18" s="230">
        <v>0</v>
      </c>
      <c r="U18" s="340"/>
      <c r="V18" s="229">
        <f>SUM(M18:U18)</f>
        <v>1370</v>
      </c>
      <c r="W18" s="205"/>
      <c r="X18" s="204"/>
      <c r="Y18" s="204"/>
      <c r="Z18" s="214">
        <f t="shared" si="2"/>
        <v>2272</v>
      </c>
      <c r="AA18" s="215">
        <f t="shared" si="1"/>
        <v>1745</v>
      </c>
    </row>
    <row r="19" spans="1:27" x14ac:dyDescent="0.25">
      <c r="A19" s="136" t="s">
        <v>150</v>
      </c>
      <c r="B19" s="137" t="s">
        <v>278</v>
      </c>
      <c r="C19" s="230">
        <v>1434</v>
      </c>
      <c r="D19" s="230">
        <v>201</v>
      </c>
      <c r="E19" s="230">
        <v>535</v>
      </c>
      <c r="F19" s="230">
        <v>50</v>
      </c>
      <c r="G19" s="230">
        <v>8</v>
      </c>
      <c r="H19" s="230">
        <v>0</v>
      </c>
      <c r="I19" s="230">
        <v>157</v>
      </c>
      <c r="J19" s="230">
        <v>865</v>
      </c>
      <c r="K19" s="230">
        <v>0</v>
      </c>
      <c r="L19" s="232">
        <f t="shared" si="0"/>
        <v>3250</v>
      </c>
      <c r="M19" s="230">
        <v>512</v>
      </c>
      <c r="N19" s="230">
        <v>212</v>
      </c>
      <c r="O19" s="230">
        <v>118</v>
      </c>
      <c r="P19" s="230">
        <v>17</v>
      </c>
      <c r="Q19" s="230">
        <v>10</v>
      </c>
      <c r="R19" s="230">
        <v>0</v>
      </c>
      <c r="S19" s="230">
        <v>0</v>
      </c>
      <c r="T19" s="230">
        <v>8</v>
      </c>
      <c r="U19" s="340"/>
      <c r="V19" s="229">
        <f t="shared" si="3"/>
        <v>877</v>
      </c>
      <c r="W19" s="204">
        <v>53</v>
      </c>
      <c r="X19" s="204"/>
      <c r="Y19" s="204"/>
      <c r="Z19" s="214">
        <f t="shared" si="2"/>
        <v>4180</v>
      </c>
      <c r="AA19" s="215">
        <f t="shared" si="1"/>
        <v>2426</v>
      </c>
    </row>
    <row r="20" spans="1:27" x14ac:dyDescent="0.25">
      <c r="A20" s="136" t="s">
        <v>181</v>
      </c>
      <c r="B20" s="137" t="s">
        <v>335</v>
      </c>
      <c r="C20" s="230">
        <v>1406</v>
      </c>
      <c r="D20" s="230">
        <v>1391</v>
      </c>
      <c r="E20" s="230">
        <v>321</v>
      </c>
      <c r="F20" s="230">
        <v>102</v>
      </c>
      <c r="G20" s="230">
        <v>95</v>
      </c>
      <c r="H20" s="230">
        <v>0</v>
      </c>
      <c r="I20" s="230">
        <v>245</v>
      </c>
      <c r="J20" s="230">
        <v>912</v>
      </c>
      <c r="K20" s="230">
        <v>0</v>
      </c>
      <c r="L20" s="232">
        <f t="shared" si="0"/>
        <v>4472</v>
      </c>
      <c r="M20" s="230">
        <v>756</v>
      </c>
      <c r="N20" s="230">
        <v>1187</v>
      </c>
      <c r="O20" s="230">
        <v>342</v>
      </c>
      <c r="P20" s="230">
        <v>63</v>
      </c>
      <c r="Q20" s="230">
        <v>46</v>
      </c>
      <c r="R20" s="230">
        <v>0</v>
      </c>
      <c r="S20" s="230">
        <v>36</v>
      </c>
      <c r="T20" s="230">
        <v>0</v>
      </c>
      <c r="U20" s="340"/>
      <c r="V20" s="229">
        <f>SUM(M20:U20)</f>
        <v>2430</v>
      </c>
      <c r="W20" s="206"/>
      <c r="X20" s="209"/>
      <c r="Y20" s="209"/>
      <c r="Z20" s="214">
        <f t="shared" si="2"/>
        <v>6902</v>
      </c>
      <c r="AA20" s="215">
        <f t="shared" si="1"/>
        <v>4905</v>
      </c>
    </row>
    <row r="21" spans="1:27" x14ac:dyDescent="0.25">
      <c r="A21" s="136" t="s">
        <v>184</v>
      </c>
      <c r="B21" s="137" t="s">
        <v>279</v>
      </c>
      <c r="C21" s="230">
        <v>243</v>
      </c>
      <c r="D21" s="230">
        <v>105</v>
      </c>
      <c r="E21" s="230">
        <v>30</v>
      </c>
      <c r="F21" s="230">
        <v>28</v>
      </c>
      <c r="G21" s="230">
        <v>9</v>
      </c>
      <c r="H21" s="230">
        <v>0</v>
      </c>
      <c r="I21" s="230">
        <v>90</v>
      </c>
      <c r="J21" s="230">
        <v>2</v>
      </c>
      <c r="K21" s="230">
        <v>0</v>
      </c>
      <c r="L21" s="232">
        <f t="shared" si="0"/>
        <v>507</v>
      </c>
      <c r="M21" s="230">
        <v>235</v>
      </c>
      <c r="N21" s="230">
        <v>297</v>
      </c>
      <c r="O21" s="230">
        <v>24</v>
      </c>
      <c r="P21" s="230">
        <v>10</v>
      </c>
      <c r="Q21" s="230">
        <v>11</v>
      </c>
      <c r="R21" s="230">
        <v>0</v>
      </c>
      <c r="S21" s="230">
        <v>0</v>
      </c>
      <c r="T21" s="230">
        <v>0</v>
      </c>
      <c r="U21" s="340"/>
      <c r="V21" s="229">
        <f t="shared" si="3"/>
        <v>577</v>
      </c>
      <c r="W21" s="204">
        <v>154</v>
      </c>
      <c r="X21" s="204"/>
      <c r="Y21" s="204"/>
      <c r="Z21" s="214">
        <f t="shared" si="2"/>
        <v>1238</v>
      </c>
      <c r="AA21" s="215">
        <f t="shared" si="1"/>
        <v>918</v>
      </c>
    </row>
    <row r="22" spans="1:27" ht="17.25" customHeight="1" thickBot="1" x14ac:dyDescent="0.3">
      <c r="A22" s="136" t="s">
        <v>194</v>
      </c>
      <c r="B22" s="138" t="s">
        <v>280</v>
      </c>
      <c r="C22" s="265">
        <v>0</v>
      </c>
      <c r="D22" s="265">
        <v>0</v>
      </c>
      <c r="E22" s="265">
        <v>638</v>
      </c>
      <c r="F22" s="265">
        <v>0</v>
      </c>
      <c r="G22" s="265">
        <v>0</v>
      </c>
      <c r="H22" s="265">
        <v>0</v>
      </c>
      <c r="I22" s="265">
        <v>0</v>
      </c>
      <c r="J22" s="265">
        <v>3329</v>
      </c>
      <c r="K22" s="265">
        <v>0</v>
      </c>
      <c r="L22" s="239">
        <f t="shared" si="0"/>
        <v>3967</v>
      </c>
      <c r="M22" s="265">
        <v>0</v>
      </c>
      <c r="N22" s="265">
        <v>0</v>
      </c>
      <c r="O22" s="265">
        <v>0</v>
      </c>
      <c r="P22" s="265">
        <v>0</v>
      </c>
      <c r="Q22" s="265">
        <v>0</v>
      </c>
      <c r="R22" s="265">
        <v>0</v>
      </c>
      <c r="S22" s="265">
        <v>0</v>
      </c>
      <c r="T22" s="265">
        <v>0</v>
      </c>
      <c r="U22" s="375"/>
      <c r="V22" s="361">
        <f t="shared" si="3"/>
        <v>0</v>
      </c>
      <c r="W22" s="207"/>
      <c r="X22" s="227"/>
      <c r="Y22" s="209"/>
      <c r="Z22" s="214">
        <f t="shared" si="2"/>
        <v>3967</v>
      </c>
      <c r="AA22" s="216">
        <f t="shared" si="1"/>
        <v>0</v>
      </c>
    </row>
    <row r="23" spans="1:27" s="110" customFormat="1" ht="14.4" thickBot="1" x14ac:dyDescent="0.3">
      <c r="A23" s="134"/>
      <c r="B23" s="159" t="s">
        <v>457</v>
      </c>
      <c r="C23" s="258">
        <f t="shared" ref="C23:AA23" si="4">SUM(C6:C22)</f>
        <v>9593</v>
      </c>
      <c r="D23" s="157">
        <f t="shared" si="4"/>
        <v>4175</v>
      </c>
      <c r="E23" s="157">
        <f t="shared" si="4"/>
        <v>2887</v>
      </c>
      <c r="F23" s="157">
        <f t="shared" si="4"/>
        <v>404</v>
      </c>
      <c r="G23" s="157">
        <f t="shared" si="4"/>
        <v>269</v>
      </c>
      <c r="H23" s="157">
        <f t="shared" si="4"/>
        <v>0</v>
      </c>
      <c r="I23" s="166">
        <f t="shared" si="4"/>
        <v>806</v>
      </c>
      <c r="J23" s="362">
        <f t="shared" si="4"/>
        <v>6917</v>
      </c>
      <c r="K23" s="259">
        <f t="shared" si="4"/>
        <v>34</v>
      </c>
      <c r="L23" s="260">
        <f t="shared" si="4"/>
        <v>25085</v>
      </c>
      <c r="M23" s="262">
        <f t="shared" si="4"/>
        <v>3668</v>
      </c>
      <c r="N23" s="158">
        <f t="shared" si="4"/>
        <v>5217</v>
      </c>
      <c r="O23" s="158">
        <f t="shared" si="4"/>
        <v>1415</v>
      </c>
      <c r="P23" s="158">
        <f t="shared" si="4"/>
        <v>287</v>
      </c>
      <c r="Q23" s="158">
        <f t="shared" si="4"/>
        <v>146</v>
      </c>
      <c r="R23" s="158">
        <f t="shared" si="4"/>
        <v>132</v>
      </c>
      <c r="S23" s="158">
        <f t="shared" si="4"/>
        <v>199</v>
      </c>
      <c r="T23" s="158">
        <f t="shared" si="4"/>
        <v>575</v>
      </c>
      <c r="U23" s="264">
        <f t="shared" si="4"/>
        <v>0</v>
      </c>
      <c r="V23" s="180">
        <f t="shared" si="4"/>
        <v>11639</v>
      </c>
      <c r="W23" s="208">
        <f t="shared" si="4"/>
        <v>15594</v>
      </c>
      <c r="X23" s="273">
        <f t="shared" si="4"/>
        <v>230</v>
      </c>
      <c r="Y23" s="275">
        <f t="shared" si="4"/>
        <v>23</v>
      </c>
      <c r="Z23" s="276">
        <f t="shared" si="4"/>
        <v>52571</v>
      </c>
      <c r="AA23" s="274">
        <f t="shared" si="4"/>
        <v>23378</v>
      </c>
    </row>
    <row r="24" spans="1:27" x14ac:dyDescent="0.25">
      <c r="A24" s="136" t="s">
        <v>72</v>
      </c>
      <c r="B24" s="137" t="s">
        <v>356</v>
      </c>
      <c r="C24" s="280">
        <v>433</v>
      </c>
      <c r="D24" s="280">
        <v>523</v>
      </c>
      <c r="E24" s="280">
        <v>169</v>
      </c>
      <c r="F24" s="280">
        <v>20</v>
      </c>
      <c r="G24" s="280">
        <v>20</v>
      </c>
      <c r="H24" s="280">
        <v>10</v>
      </c>
      <c r="I24" s="280">
        <v>0</v>
      </c>
      <c r="J24" s="280">
        <v>22</v>
      </c>
      <c r="K24" s="280">
        <v>114</v>
      </c>
      <c r="L24" s="234">
        <f t="shared" ref="L24:L36" si="5">SUM(C24:K24)</f>
        <v>1311</v>
      </c>
      <c r="M24" s="280">
        <v>24</v>
      </c>
      <c r="N24" s="280">
        <v>11</v>
      </c>
      <c r="O24" s="280">
        <v>4</v>
      </c>
      <c r="P24" s="280">
        <v>0</v>
      </c>
      <c r="Q24" s="280">
        <v>1</v>
      </c>
      <c r="R24" s="280">
        <v>0</v>
      </c>
      <c r="S24" s="280">
        <v>0</v>
      </c>
      <c r="T24" s="280">
        <v>0</v>
      </c>
      <c r="U24" s="280"/>
      <c r="V24" s="256">
        <f>SUM(M24:U24)</f>
        <v>40</v>
      </c>
      <c r="W24" s="205"/>
      <c r="X24" s="204"/>
      <c r="Y24" s="204"/>
      <c r="Z24" s="214">
        <f>L24+V24+W24+X24</f>
        <v>1351</v>
      </c>
      <c r="AA24" s="215">
        <f t="shared" ref="AA24:AA36" si="6">C24+D24+F24+K24+M24+N24+P24+U24</f>
        <v>1125</v>
      </c>
    </row>
    <row r="25" spans="1:27" x14ac:dyDescent="0.25">
      <c r="A25" s="136" t="s">
        <v>85</v>
      </c>
      <c r="B25" s="137" t="s">
        <v>281</v>
      </c>
      <c r="C25" s="230">
        <v>1967</v>
      </c>
      <c r="D25" s="230">
        <v>1128</v>
      </c>
      <c r="E25" s="230">
        <v>384</v>
      </c>
      <c r="F25" s="230">
        <v>126</v>
      </c>
      <c r="G25" s="230">
        <v>104</v>
      </c>
      <c r="H25" s="230">
        <v>8</v>
      </c>
      <c r="I25" s="230">
        <v>92</v>
      </c>
      <c r="J25" s="230">
        <v>65</v>
      </c>
      <c r="K25" s="230">
        <v>0</v>
      </c>
      <c r="L25" s="232">
        <f t="shared" si="5"/>
        <v>3874</v>
      </c>
      <c r="M25" s="230">
        <v>819</v>
      </c>
      <c r="N25" s="230">
        <v>835</v>
      </c>
      <c r="O25" s="230">
        <v>368</v>
      </c>
      <c r="P25" s="230">
        <v>28</v>
      </c>
      <c r="Q25" s="230">
        <v>43</v>
      </c>
      <c r="R25" s="230">
        <v>127</v>
      </c>
      <c r="S25" s="230">
        <v>0</v>
      </c>
      <c r="T25" s="230">
        <v>2</v>
      </c>
      <c r="U25" s="230"/>
      <c r="V25" s="229">
        <f>SUM(M25:U25)</f>
        <v>2222</v>
      </c>
      <c r="W25" s="204">
        <v>435</v>
      </c>
      <c r="X25" s="204"/>
      <c r="Y25" s="204"/>
      <c r="Z25" s="214">
        <f t="shared" ref="Z25:Z88" si="7">L25+V25+W25+X25</f>
        <v>6531</v>
      </c>
      <c r="AA25" s="215">
        <f t="shared" si="6"/>
        <v>4903</v>
      </c>
    </row>
    <row r="26" spans="1:27" x14ac:dyDescent="0.25">
      <c r="A26" s="136" t="s">
        <v>214</v>
      </c>
      <c r="B26" s="137" t="s">
        <v>282</v>
      </c>
      <c r="C26" s="230">
        <v>846</v>
      </c>
      <c r="D26" s="230">
        <v>416</v>
      </c>
      <c r="E26" s="230">
        <v>198</v>
      </c>
      <c r="F26" s="230">
        <v>22</v>
      </c>
      <c r="G26" s="230">
        <v>7</v>
      </c>
      <c r="H26" s="230">
        <v>0</v>
      </c>
      <c r="I26" s="230">
        <v>0</v>
      </c>
      <c r="J26" s="230">
        <v>323</v>
      </c>
      <c r="K26" s="230">
        <v>0</v>
      </c>
      <c r="L26" s="232">
        <f t="shared" si="5"/>
        <v>1812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230"/>
      <c r="V26" s="229">
        <f t="shared" ref="V26:V36" si="8">SUM(M26:U26)</f>
        <v>0</v>
      </c>
      <c r="W26" s="205"/>
      <c r="X26" s="204"/>
      <c r="Y26" s="204"/>
      <c r="Z26" s="214">
        <f t="shared" si="7"/>
        <v>1812</v>
      </c>
      <c r="AA26" s="215">
        <f t="shared" si="6"/>
        <v>1284</v>
      </c>
    </row>
    <row r="27" spans="1:27" x14ac:dyDescent="0.25">
      <c r="A27" s="136" t="s">
        <v>101</v>
      </c>
      <c r="B27" s="137" t="s">
        <v>283</v>
      </c>
      <c r="C27" s="230">
        <v>3520</v>
      </c>
      <c r="D27" s="230">
        <v>766</v>
      </c>
      <c r="E27" s="230">
        <v>879</v>
      </c>
      <c r="F27" s="230">
        <v>48</v>
      </c>
      <c r="G27" s="230">
        <v>56</v>
      </c>
      <c r="H27" s="230">
        <v>0</v>
      </c>
      <c r="I27" s="230">
        <v>0</v>
      </c>
      <c r="J27" s="230">
        <v>93</v>
      </c>
      <c r="K27" s="230">
        <v>0</v>
      </c>
      <c r="L27" s="232">
        <f t="shared" si="5"/>
        <v>5362</v>
      </c>
      <c r="M27" s="230">
        <v>211</v>
      </c>
      <c r="N27" s="230">
        <v>248</v>
      </c>
      <c r="O27" s="230">
        <v>69</v>
      </c>
      <c r="P27" s="230">
        <v>3</v>
      </c>
      <c r="Q27" s="230">
        <v>31</v>
      </c>
      <c r="R27" s="230">
        <v>0</v>
      </c>
      <c r="S27" s="230">
        <v>0</v>
      </c>
      <c r="T27" s="230">
        <v>10</v>
      </c>
      <c r="U27" s="230"/>
      <c r="V27" s="229">
        <f t="shared" si="8"/>
        <v>572</v>
      </c>
      <c r="W27" s="204">
        <v>0</v>
      </c>
      <c r="X27" s="204"/>
      <c r="Y27" s="204"/>
      <c r="Z27" s="214">
        <f t="shared" si="7"/>
        <v>5934</v>
      </c>
      <c r="AA27" s="215">
        <f t="shared" si="6"/>
        <v>4796</v>
      </c>
    </row>
    <row r="28" spans="1:27" x14ac:dyDescent="0.25">
      <c r="A28" s="136" t="s">
        <v>114</v>
      </c>
      <c r="B28" s="137" t="s">
        <v>284</v>
      </c>
      <c r="C28" s="230">
        <v>1100</v>
      </c>
      <c r="D28" s="230">
        <v>256</v>
      </c>
      <c r="E28" s="230">
        <v>195</v>
      </c>
      <c r="F28" s="230">
        <v>87</v>
      </c>
      <c r="G28" s="230">
        <v>31</v>
      </c>
      <c r="H28" s="230">
        <v>0</v>
      </c>
      <c r="I28" s="230">
        <v>1188</v>
      </c>
      <c r="J28" s="230">
        <v>290</v>
      </c>
      <c r="K28" s="230">
        <v>0</v>
      </c>
      <c r="L28" s="232">
        <f t="shared" si="5"/>
        <v>3147</v>
      </c>
      <c r="M28" s="230">
        <v>342</v>
      </c>
      <c r="N28" s="230">
        <v>701</v>
      </c>
      <c r="O28" s="230">
        <v>256</v>
      </c>
      <c r="P28" s="230">
        <v>41</v>
      </c>
      <c r="Q28" s="230">
        <v>36</v>
      </c>
      <c r="R28" s="230">
        <v>18</v>
      </c>
      <c r="S28" s="230">
        <v>0</v>
      </c>
      <c r="T28" s="230">
        <v>70</v>
      </c>
      <c r="U28" s="230"/>
      <c r="V28" s="229">
        <f t="shared" si="8"/>
        <v>1464</v>
      </c>
      <c r="W28" s="204">
        <v>685</v>
      </c>
      <c r="X28" s="204"/>
      <c r="Y28" s="204"/>
      <c r="Z28" s="214">
        <f t="shared" si="7"/>
        <v>5296</v>
      </c>
      <c r="AA28" s="215">
        <f t="shared" si="6"/>
        <v>2527</v>
      </c>
    </row>
    <row r="29" spans="1:27" x14ac:dyDescent="0.25">
      <c r="A29" s="136" t="s">
        <v>115</v>
      </c>
      <c r="B29" s="137" t="s">
        <v>285</v>
      </c>
      <c r="C29" s="230">
        <v>1602</v>
      </c>
      <c r="D29" s="230">
        <v>2227</v>
      </c>
      <c r="E29" s="230">
        <v>191</v>
      </c>
      <c r="F29" s="230">
        <v>44</v>
      </c>
      <c r="G29" s="230">
        <v>100</v>
      </c>
      <c r="H29" s="230">
        <v>0</v>
      </c>
      <c r="I29" s="230">
        <v>23</v>
      </c>
      <c r="J29" s="230">
        <v>319</v>
      </c>
      <c r="K29" s="230">
        <v>0</v>
      </c>
      <c r="L29" s="232">
        <f t="shared" si="5"/>
        <v>4506</v>
      </c>
      <c r="M29" s="230">
        <v>694</v>
      </c>
      <c r="N29" s="230">
        <v>1614</v>
      </c>
      <c r="O29" s="230">
        <v>539</v>
      </c>
      <c r="P29" s="230">
        <v>55</v>
      </c>
      <c r="Q29" s="230">
        <v>66</v>
      </c>
      <c r="R29" s="230">
        <v>63</v>
      </c>
      <c r="S29" s="230">
        <v>0</v>
      </c>
      <c r="T29" s="230">
        <v>4</v>
      </c>
      <c r="U29" s="230"/>
      <c r="V29" s="229">
        <f t="shared" si="8"/>
        <v>3035</v>
      </c>
      <c r="W29" s="204">
        <v>1831</v>
      </c>
      <c r="X29" s="204"/>
      <c r="Y29" s="204"/>
      <c r="Z29" s="214">
        <f t="shared" si="7"/>
        <v>9372</v>
      </c>
      <c r="AA29" s="215">
        <f t="shared" si="6"/>
        <v>6236</v>
      </c>
    </row>
    <row r="30" spans="1:27" x14ac:dyDescent="0.25">
      <c r="A30" s="136" t="s">
        <v>127</v>
      </c>
      <c r="B30" s="137" t="s">
        <v>286</v>
      </c>
      <c r="C30" s="230">
        <v>9644</v>
      </c>
      <c r="D30" s="230">
        <v>2954</v>
      </c>
      <c r="E30" s="230">
        <v>4501</v>
      </c>
      <c r="F30" s="230">
        <v>53</v>
      </c>
      <c r="G30" s="230">
        <v>146</v>
      </c>
      <c r="H30" s="230">
        <v>14</v>
      </c>
      <c r="I30" s="230">
        <v>0</v>
      </c>
      <c r="J30" s="230">
        <v>90</v>
      </c>
      <c r="K30" s="230">
        <v>0</v>
      </c>
      <c r="L30" s="232">
        <f t="shared" si="5"/>
        <v>17402</v>
      </c>
      <c r="M30" s="230">
        <v>382</v>
      </c>
      <c r="N30" s="230">
        <v>1018</v>
      </c>
      <c r="O30" s="230">
        <v>260</v>
      </c>
      <c r="P30" s="230">
        <v>0</v>
      </c>
      <c r="Q30" s="230">
        <v>19</v>
      </c>
      <c r="R30" s="230">
        <v>0</v>
      </c>
      <c r="S30" s="230">
        <v>0</v>
      </c>
      <c r="T30" s="230">
        <v>0</v>
      </c>
      <c r="U30" s="230"/>
      <c r="V30" s="229">
        <f t="shared" si="8"/>
        <v>1679</v>
      </c>
      <c r="W30" s="204">
        <v>294</v>
      </c>
      <c r="X30" s="204"/>
      <c r="Y30" s="204"/>
      <c r="Z30" s="214">
        <f t="shared" si="7"/>
        <v>19375</v>
      </c>
      <c r="AA30" s="215">
        <f t="shared" si="6"/>
        <v>14051</v>
      </c>
    </row>
    <row r="31" spans="1:27" x14ac:dyDescent="0.25">
      <c r="A31" s="136" t="s">
        <v>129</v>
      </c>
      <c r="B31" s="137" t="s">
        <v>287</v>
      </c>
      <c r="C31" s="230">
        <v>7293</v>
      </c>
      <c r="D31" s="230">
        <v>2696</v>
      </c>
      <c r="E31" s="230">
        <v>3580</v>
      </c>
      <c r="F31" s="230">
        <v>136</v>
      </c>
      <c r="G31" s="230">
        <v>174</v>
      </c>
      <c r="H31" s="230">
        <v>0</v>
      </c>
      <c r="I31" s="230">
        <v>160</v>
      </c>
      <c r="J31" s="230">
        <v>192</v>
      </c>
      <c r="K31" s="230">
        <v>0</v>
      </c>
      <c r="L31" s="232">
        <f t="shared" si="5"/>
        <v>14231</v>
      </c>
      <c r="M31" s="230">
        <v>1428</v>
      </c>
      <c r="N31" s="230">
        <v>2033</v>
      </c>
      <c r="O31" s="230">
        <v>1283</v>
      </c>
      <c r="P31" s="230">
        <v>113</v>
      </c>
      <c r="Q31" s="230">
        <v>142</v>
      </c>
      <c r="R31" s="230">
        <v>26</v>
      </c>
      <c r="S31" s="230">
        <v>0</v>
      </c>
      <c r="T31" s="230">
        <v>6</v>
      </c>
      <c r="U31" s="230"/>
      <c r="V31" s="229">
        <f t="shared" si="8"/>
        <v>5031</v>
      </c>
      <c r="W31" s="204">
        <v>124</v>
      </c>
      <c r="X31" s="204"/>
      <c r="Y31" s="204"/>
      <c r="Z31" s="214">
        <f t="shared" si="7"/>
        <v>19386</v>
      </c>
      <c r="AA31" s="215">
        <f t="shared" si="6"/>
        <v>13699</v>
      </c>
    </row>
    <row r="32" spans="1:27" x14ac:dyDescent="0.25">
      <c r="A32" s="136" t="s">
        <v>139</v>
      </c>
      <c r="B32" s="137" t="s">
        <v>321</v>
      </c>
      <c r="C32" s="230">
        <v>1353</v>
      </c>
      <c r="D32" s="230">
        <v>1100</v>
      </c>
      <c r="E32" s="230">
        <v>899</v>
      </c>
      <c r="F32" s="230">
        <v>38</v>
      </c>
      <c r="G32" s="230">
        <v>46</v>
      </c>
      <c r="H32" s="230">
        <v>15</v>
      </c>
      <c r="I32" s="230">
        <v>27</v>
      </c>
      <c r="J32" s="230">
        <v>100</v>
      </c>
      <c r="K32" s="230">
        <v>256</v>
      </c>
      <c r="L32" s="232">
        <f t="shared" si="5"/>
        <v>3834</v>
      </c>
      <c r="M32" s="230">
        <v>203</v>
      </c>
      <c r="N32" s="230">
        <v>460</v>
      </c>
      <c r="O32" s="230">
        <v>161</v>
      </c>
      <c r="P32" s="230">
        <v>51</v>
      </c>
      <c r="Q32" s="230">
        <v>46</v>
      </c>
      <c r="R32" s="230">
        <v>0</v>
      </c>
      <c r="S32" s="230">
        <v>0</v>
      </c>
      <c r="T32" s="230">
        <v>0</v>
      </c>
      <c r="U32" s="230">
        <v>30</v>
      </c>
      <c r="V32" s="229">
        <f>SUM(M32:U32)</f>
        <v>951</v>
      </c>
      <c r="W32" s="204">
        <v>621</v>
      </c>
      <c r="X32" s="204"/>
      <c r="Y32" s="204"/>
      <c r="Z32" s="214">
        <f t="shared" si="7"/>
        <v>5406</v>
      </c>
      <c r="AA32" s="215">
        <f t="shared" si="6"/>
        <v>3491</v>
      </c>
    </row>
    <row r="33" spans="1:27" x14ac:dyDescent="0.25">
      <c r="A33" s="140" t="s">
        <v>151</v>
      </c>
      <c r="B33" s="161" t="s">
        <v>323</v>
      </c>
      <c r="C33">
        <v>0</v>
      </c>
      <c r="D33">
        <v>0</v>
      </c>
      <c r="E33">
        <v>167</v>
      </c>
      <c r="F33">
        <v>0</v>
      </c>
      <c r="G33">
        <v>0</v>
      </c>
      <c r="H33">
        <v>0</v>
      </c>
      <c r="I33">
        <v>194</v>
      </c>
      <c r="J33">
        <v>1946</v>
      </c>
      <c r="K33" s="230">
        <v>0</v>
      </c>
      <c r="L33" s="241">
        <f t="shared" si="5"/>
        <v>2307</v>
      </c>
      <c r="M33" s="147"/>
      <c r="N33" s="147"/>
      <c r="O33" s="147"/>
      <c r="P33" s="147"/>
      <c r="Q33" s="147"/>
      <c r="R33" s="147"/>
      <c r="S33" s="147"/>
      <c r="T33" s="147"/>
      <c r="U33" s="147"/>
      <c r="V33" s="229"/>
      <c r="W33" s="206"/>
      <c r="X33" s="209"/>
      <c r="Y33" s="209"/>
      <c r="Z33" s="214">
        <f t="shared" si="7"/>
        <v>2307</v>
      </c>
      <c r="AA33" s="215">
        <f t="shared" si="6"/>
        <v>0</v>
      </c>
    </row>
    <row r="34" spans="1:27" x14ac:dyDescent="0.25">
      <c r="A34" s="136" t="s">
        <v>170</v>
      </c>
      <c r="B34" s="137" t="s">
        <v>288</v>
      </c>
      <c r="C34" s="230">
        <v>5658</v>
      </c>
      <c r="D34" s="230">
        <v>2026</v>
      </c>
      <c r="E34" s="230">
        <v>2149</v>
      </c>
      <c r="F34" s="230">
        <v>36</v>
      </c>
      <c r="G34" s="230">
        <v>243</v>
      </c>
      <c r="H34" s="230">
        <v>0</v>
      </c>
      <c r="I34" s="230">
        <v>214</v>
      </c>
      <c r="J34" s="230">
        <v>125</v>
      </c>
      <c r="K34" s="230">
        <v>0</v>
      </c>
      <c r="L34" s="232">
        <f t="shared" si="5"/>
        <v>10451</v>
      </c>
      <c r="M34" s="230">
        <v>0</v>
      </c>
      <c r="N34" s="230">
        <v>0</v>
      </c>
      <c r="O34" s="230">
        <v>0</v>
      </c>
      <c r="P34" s="230">
        <v>0</v>
      </c>
      <c r="Q34" s="230">
        <v>0</v>
      </c>
      <c r="R34" s="230">
        <v>0</v>
      </c>
      <c r="S34" s="230">
        <v>0</v>
      </c>
      <c r="T34" s="230">
        <v>0</v>
      </c>
      <c r="U34" s="230">
        <v>0</v>
      </c>
      <c r="V34" s="229">
        <f t="shared" si="8"/>
        <v>0</v>
      </c>
      <c r="W34" s="209">
        <v>232</v>
      </c>
      <c r="X34" s="209"/>
      <c r="Y34" s="209"/>
      <c r="Z34" s="214">
        <f t="shared" si="7"/>
        <v>10683</v>
      </c>
      <c r="AA34" s="217">
        <f t="shared" si="6"/>
        <v>7720</v>
      </c>
    </row>
    <row r="35" spans="1:27" x14ac:dyDescent="0.25">
      <c r="A35" s="136" t="s">
        <v>171</v>
      </c>
      <c r="B35" s="137" t="s">
        <v>324</v>
      </c>
      <c r="C35" s="230">
        <v>1740</v>
      </c>
      <c r="D35" s="230">
        <v>792</v>
      </c>
      <c r="E35" s="230">
        <v>537</v>
      </c>
      <c r="F35" s="230">
        <v>58</v>
      </c>
      <c r="G35" s="230">
        <v>36</v>
      </c>
      <c r="H35" s="230">
        <v>0</v>
      </c>
      <c r="I35" s="230">
        <v>324</v>
      </c>
      <c r="J35" s="230">
        <v>209</v>
      </c>
      <c r="K35" s="230">
        <v>0</v>
      </c>
      <c r="L35" s="232">
        <f t="shared" si="5"/>
        <v>3696</v>
      </c>
      <c r="M35" s="230">
        <v>656</v>
      </c>
      <c r="N35" s="230">
        <v>619</v>
      </c>
      <c r="O35" s="230">
        <v>455</v>
      </c>
      <c r="P35" s="230">
        <v>47</v>
      </c>
      <c r="Q35" s="230">
        <v>47</v>
      </c>
      <c r="R35" s="230">
        <v>62</v>
      </c>
      <c r="S35" s="230">
        <v>23</v>
      </c>
      <c r="T35" s="230">
        <v>0</v>
      </c>
      <c r="U35" s="230">
        <v>0</v>
      </c>
      <c r="V35" s="229">
        <f>SUM(M35:U35)</f>
        <v>1909</v>
      </c>
      <c r="W35" s="204">
        <f>1491+1525</f>
        <v>3016</v>
      </c>
      <c r="X35" s="204"/>
      <c r="Y35" s="204"/>
      <c r="Z35" s="214">
        <f t="shared" si="7"/>
        <v>8621</v>
      </c>
      <c r="AA35" s="215">
        <f t="shared" si="6"/>
        <v>3912</v>
      </c>
    </row>
    <row r="36" spans="1:27" ht="13.8" thickBot="1" x14ac:dyDescent="0.3">
      <c r="A36" s="136" t="s">
        <v>362</v>
      </c>
      <c r="B36" s="137" t="s">
        <v>289</v>
      </c>
      <c r="C36" s="265">
        <v>249</v>
      </c>
      <c r="D36" s="265">
        <v>201</v>
      </c>
      <c r="E36" s="265">
        <v>748</v>
      </c>
      <c r="F36" s="265">
        <v>19</v>
      </c>
      <c r="G36" s="265">
        <v>7</v>
      </c>
      <c r="H36" s="265">
        <v>0</v>
      </c>
      <c r="I36" s="265">
        <v>0</v>
      </c>
      <c r="J36" s="265">
        <v>903</v>
      </c>
      <c r="K36" s="265">
        <v>0</v>
      </c>
      <c r="L36" s="239">
        <f t="shared" si="5"/>
        <v>2127</v>
      </c>
      <c r="M36" s="265">
        <v>0</v>
      </c>
      <c r="N36" s="265">
        <v>0</v>
      </c>
      <c r="O36" s="265">
        <v>0</v>
      </c>
      <c r="P36" s="265">
        <v>0</v>
      </c>
      <c r="Q36" s="265">
        <v>0</v>
      </c>
      <c r="R36" s="265">
        <v>0</v>
      </c>
      <c r="S36" s="265">
        <v>0</v>
      </c>
      <c r="T36" s="265">
        <v>15</v>
      </c>
      <c r="U36" s="265">
        <v>0</v>
      </c>
      <c r="V36" s="231">
        <f t="shared" si="8"/>
        <v>15</v>
      </c>
      <c r="W36" s="206"/>
      <c r="X36" s="209"/>
      <c r="Y36" s="209"/>
      <c r="Z36" s="214">
        <f t="shared" si="7"/>
        <v>2142</v>
      </c>
      <c r="AA36" s="217">
        <f t="shared" si="6"/>
        <v>469</v>
      </c>
    </row>
    <row r="37" spans="1:27" s="109" customFormat="1" ht="14.4" thickBot="1" x14ac:dyDescent="0.3">
      <c r="A37" s="134"/>
      <c r="B37" s="159" t="s">
        <v>458</v>
      </c>
      <c r="C37" s="258">
        <f t="shared" ref="C37:AA37" si="9">SUM(C24:C36)</f>
        <v>35405</v>
      </c>
      <c r="D37" s="157">
        <f t="shared" si="9"/>
        <v>15085</v>
      </c>
      <c r="E37" s="157">
        <f t="shared" si="9"/>
        <v>14597</v>
      </c>
      <c r="F37" s="157">
        <f t="shared" si="9"/>
        <v>687</v>
      </c>
      <c r="G37" s="157">
        <f t="shared" si="9"/>
        <v>970</v>
      </c>
      <c r="H37" s="157">
        <f t="shared" si="9"/>
        <v>47</v>
      </c>
      <c r="I37" s="157">
        <f t="shared" si="9"/>
        <v>2222</v>
      </c>
      <c r="J37" s="157">
        <f t="shared" si="9"/>
        <v>4677</v>
      </c>
      <c r="K37" s="259">
        <f t="shared" si="9"/>
        <v>370</v>
      </c>
      <c r="L37" s="263">
        <f t="shared" si="9"/>
        <v>74060</v>
      </c>
      <c r="M37" s="262">
        <f t="shared" si="9"/>
        <v>4759</v>
      </c>
      <c r="N37" s="158">
        <f t="shared" si="9"/>
        <v>7539</v>
      </c>
      <c r="O37" s="158">
        <f t="shared" si="9"/>
        <v>3395</v>
      </c>
      <c r="P37" s="158">
        <f t="shared" si="9"/>
        <v>338</v>
      </c>
      <c r="Q37" s="158">
        <f t="shared" si="9"/>
        <v>431</v>
      </c>
      <c r="R37" s="158">
        <f t="shared" si="9"/>
        <v>296</v>
      </c>
      <c r="S37" s="158">
        <f t="shared" si="9"/>
        <v>23</v>
      </c>
      <c r="T37" s="158">
        <f t="shared" si="9"/>
        <v>107</v>
      </c>
      <c r="U37" s="264">
        <f t="shared" si="9"/>
        <v>30</v>
      </c>
      <c r="V37" s="263">
        <f t="shared" si="9"/>
        <v>16918</v>
      </c>
      <c r="W37" s="261">
        <f t="shared" si="9"/>
        <v>7238</v>
      </c>
      <c r="X37" s="210">
        <f t="shared" si="9"/>
        <v>0</v>
      </c>
      <c r="Y37" s="210">
        <f t="shared" si="9"/>
        <v>0</v>
      </c>
      <c r="Z37" s="210">
        <f t="shared" si="9"/>
        <v>98216</v>
      </c>
      <c r="AA37" s="210">
        <f t="shared" si="9"/>
        <v>64213</v>
      </c>
    </row>
    <row r="38" spans="1:27" x14ac:dyDescent="0.25">
      <c r="A38" s="136" t="s">
        <v>70</v>
      </c>
      <c r="B38" s="137" t="s">
        <v>313</v>
      </c>
      <c r="C38" s="280">
        <v>993</v>
      </c>
      <c r="D38" s="280">
        <v>1500</v>
      </c>
      <c r="E38" s="280">
        <v>312</v>
      </c>
      <c r="F38" s="280">
        <v>43</v>
      </c>
      <c r="G38" s="280">
        <v>56</v>
      </c>
      <c r="H38" s="280">
        <v>0</v>
      </c>
      <c r="I38" s="280">
        <v>22</v>
      </c>
      <c r="J38" s="280">
        <v>726</v>
      </c>
      <c r="K38" s="280">
        <v>67</v>
      </c>
      <c r="L38" s="234">
        <f t="shared" ref="L38:L54" si="10">SUM(C38:K38)</f>
        <v>3719</v>
      </c>
      <c r="M38" s="280">
        <v>952</v>
      </c>
      <c r="N38" s="280">
        <v>1183</v>
      </c>
      <c r="O38" s="280">
        <v>616</v>
      </c>
      <c r="P38" s="280">
        <v>43</v>
      </c>
      <c r="Q38" s="280">
        <v>71</v>
      </c>
      <c r="R38" s="280">
        <v>22</v>
      </c>
      <c r="S38" s="280">
        <v>0</v>
      </c>
      <c r="T38" s="280">
        <v>0</v>
      </c>
      <c r="U38" s="280">
        <v>52</v>
      </c>
      <c r="V38" s="256">
        <f t="shared" ref="V38:V47" si="11">SUM(M38:U38)</f>
        <v>2939</v>
      </c>
      <c r="W38" s="211">
        <v>865</v>
      </c>
      <c r="X38" s="211"/>
      <c r="Y38" s="211"/>
      <c r="Z38" s="214">
        <f t="shared" si="7"/>
        <v>7523</v>
      </c>
      <c r="AA38" s="215">
        <f t="shared" ref="AA38:AA54" si="12">C38+D38+F38+K38+M38+N38+P38+U38</f>
        <v>4833</v>
      </c>
    </row>
    <row r="39" spans="1:27" x14ac:dyDescent="0.25">
      <c r="A39" s="136" t="s">
        <v>75</v>
      </c>
      <c r="B39" s="137" t="s">
        <v>336</v>
      </c>
      <c r="C39" s="230">
        <v>4122</v>
      </c>
      <c r="D39" s="230">
        <v>2098</v>
      </c>
      <c r="E39" s="230">
        <v>2125</v>
      </c>
      <c r="F39" s="230">
        <v>120</v>
      </c>
      <c r="G39" s="230">
        <v>169</v>
      </c>
      <c r="H39" s="230">
        <v>0</v>
      </c>
      <c r="I39" s="230">
        <v>88</v>
      </c>
      <c r="J39" s="230">
        <v>240</v>
      </c>
      <c r="K39" s="230">
        <v>0</v>
      </c>
      <c r="L39" s="232">
        <f t="shared" si="10"/>
        <v>8962</v>
      </c>
      <c r="M39" s="230">
        <v>504</v>
      </c>
      <c r="N39" s="230">
        <v>1227</v>
      </c>
      <c r="O39" s="230">
        <v>469</v>
      </c>
      <c r="P39" s="230">
        <v>75</v>
      </c>
      <c r="Q39" s="230">
        <v>85</v>
      </c>
      <c r="R39" s="230">
        <v>16</v>
      </c>
      <c r="S39" s="230">
        <v>0</v>
      </c>
      <c r="T39" s="230">
        <v>6</v>
      </c>
      <c r="U39" s="230">
        <v>0</v>
      </c>
      <c r="V39" s="229">
        <f t="shared" si="11"/>
        <v>2382</v>
      </c>
      <c r="W39" s="204">
        <v>1025</v>
      </c>
      <c r="X39" s="204"/>
      <c r="Y39" s="204"/>
      <c r="Z39" s="214">
        <f t="shared" si="7"/>
        <v>12369</v>
      </c>
      <c r="AA39" s="215">
        <f t="shared" si="12"/>
        <v>8146</v>
      </c>
    </row>
    <row r="40" spans="1:27" x14ac:dyDescent="0.25">
      <c r="A40" s="136" t="s">
        <v>78</v>
      </c>
      <c r="B40" s="137" t="s">
        <v>314</v>
      </c>
      <c r="C40" s="230">
        <v>546</v>
      </c>
      <c r="D40" s="230">
        <v>761</v>
      </c>
      <c r="E40" s="230">
        <v>221</v>
      </c>
      <c r="F40" s="230">
        <v>13</v>
      </c>
      <c r="G40" s="230">
        <v>51</v>
      </c>
      <c r="H40" s="230">
        <v>9</v>
      </c>
      <c r="I40" s="230">
        <v>0</v>
      </c>
      <c r="J40" s="230">
        <v>101</v>
      </c>
      <c r="K40" s="230">
        <v>153</v>
      </c>
      <c r="L40" s="232">
        <f t="shared" si="10"/>
        <v>1855</v>
      </c>
      <c r="M40" s="230">
        <v>506</v>
      </c>
      <c r="N40" s="230">
        <v>695</v>
      </c>
      <c r="O40" s="230">
        <v>410</v>
      </c>
      <c r="P40" s="230">
        <v>22</v>
      </c>
      <c r="Q40" s="230">
        <v>28</v>
      </c>
      <c r="R40" s="230">
        <v>26</v>
      </c>
      <c r="S40" s="230">
        <v>0</v>
      </c>
      <c r="T40" s="230">
        <v>2</v>
      </c>
      <c r="U40" s="230">
        <v>0</v>
      </c>
      <c r="V40" s="229">
        <f t="shared" si="11"/>
        <v>1689</v>
      </c>
      <c r="W40" s="204">
        <v>577</v>
      </c>
      <c r="X40" s="204"/>
      <c r="Y40" s="204"/>
      <c r="Z40" s="214">
        <f t="shared" si="7"/>
        <v>4121</v>
      </c>
      <c r="AA40" s="215">
        <f t="shared" si="12"/>
        <v>2696</v>
      </c>
    </row>
    <row r="41" spans="1:27" x14ac:dyDescent="0.25">
      <c r="A41" s="136" t="s">
        <v>88</v>
      </c>
      <c r="B41" s="137" t="s">
        <v>337</v>
      </c>
      <c r="C41" s="230">
        <v>2434</v>
      </c>
      <c r="D41" s="230">
        <v>761</v>
      </c>
      <c r="E41" s="230">
        <v>642</v>
      </c>
      <c r="F41" s="230">
        <v>21</v>
      </c>
      <c r="G41" s="230">
        <v>103</v>
      </c>
      <c r="H41" s="230">
        <v>0</v>
      </c>
      <c r="I41" s="230">
        <v>93</v>
      </c>
      <c r="J41" s="230">
        <v>65</v>
      </c>
      <c r="K41" s="230">
        <v>0</v>
      </c>
      <c r="L41" s="232">
        <f t="shared" si="10"/>
        <v>4119</v>
      </c>
      <c r="M41" s="230">
        <v>1383</v>
      </c>
      <c r="N41" s="230">
        <v>588</v>
      </c>
      <c r="O41" s="230">
        <v>390</v>
      </c>
      <c r="P41" s="230">
        <v>6</v>
      </c>
      <c r="Q41" s="230">
        <v>24</v>
      </c>
      <c r="R41" s="230">
        <v>254</v>
      </c>
      <c r="S41" s="230">
        <v>78</v>
      </c>
      <c r="T41" s="230">
        <v>6</v>
      </c>
      <c r="U41" s="230">
        <v>0</v>
      </c>
      <c r="V41" s="229">
        <f t="shared" si="11"/>
        <v>2729</v>
      </c>
      <c r="W41" s="204">
        <v>705</v>
      </c>
      <c r="X41" s="204"/>
      <c r="Y41" s="204"/>
      <c r="Z41" s="214">
        <f t="shared" si="7"/>
        <v>7553</v>
      </c>
      <c r="AA41" s="215">
        <f t="shared" si="12"/>
        <v>5193</v>
      </c>
    </row>
    <row r="42" spans="1:27" x14ac:dyDescent="0.25">
      <c r="A42" s="136" t="s">
        <v>99</v>
      </c>
      <c r="B42" s="137" t="s">
        <v>338</v>
      </c>
      <c r="C42" s="230">
        <v>13681</v>
      </c>
      <c r="D42" s="230">
        <v>2225</v>
      </c>
      <c r="E42" s="230">
        <v>1907</v>
      </c>
      <c r="F42" s="230">
        <v>165</v>
      </c>
      <c r="G42" s="230">
        <v>181</v>
      </c>
      <c r="H42" s="230">
        <v>57</v>
      </c>
      <c r="I42" s="230">
        <v>1324</v>
      </c>
      <c r="J42" s="230">
        <v>479</v>
      </c>
      <c r="K42" s="230">
        <v>0</v>
      </c>
      <c r="L42" s="232">
        <f t="shared" si="10"/>
        <v>20019</v>
      </c>
      <c r="M42" s="230">
        <v>1057</v>
      </c>
      <c r="N42" s="230">
        <v>472</v>
      </c>
      <c r="O42" s="230">
        <v>569</v>
      </c>
      <c r="P42" s="230">
        <v>6</v>
      </c>
      <c r="Q42" s="230">
        <v>13</v>
      </c>
      <c r="R42" s="230">
        <v>297</v>
      </c>
      <c r="S42" s="230">
        <v>101</v>
      </c>
      <c r="T42" s="230">
        <v>37</v>
      </c>
      <c r="U42" s="230">
        <v>0</v>
      </c>
      <c r="V42" s="229">
        <f t="shared" si="11"/>
        <v>2552</v>
      </c>
      <c r="W42" s="204">
        <v>0</v>
      </c>
      <c r="X42" s="204"/>
      <c r="Y42" s="204"/>
      <c r="Z42" s="214">
        <f t="shared" si="7"/>
        <v>22571</v>
      </c>
      <c r="AA42" s="215">
        <f t="shared" si="12"/>
        <v>17606</v>
      </c>
    </row>
    <row r="43" spans="1:27" x14ac:dyDescent="0.25">
      <c r="A43" s="136" t="s">
        <v>113</v>
      </c>
      <c r="B43" s="137" t="s">
        <v>339</v>
      </c>
      <c r="C43" s="230">
        <v>5924</v>
      </c>
      <c r="D43" s="230">
        <v>2334</v>
      </c>
      <c r="E43" s="230">
        <v>2276</v>
      </c>
      <c r="F43" s="230">
        <v>101</v>
      </c>
      <c r="G43" s="230">
        <v>175</v>
      </c>
      <c r="H43" s="230">
        <v>52</v>
      </c>
      <c r="I43" s="230">
        <v>43</v>
      </c>
      <c r="J43" s="230">
        <v>177</v>
      </c>
      <c r="K43" s="230">
        <v>0</v>
      </c>
      <c r="L43" s="232">
        <f t="shared" si="10"/>
        <v>11082</v>
      </c>
      <c r="M43" s="230">
        <v>6319</v>
      </c>
      <c r="N43" s="230">
        <v>10774</v>
      </c>
      <c r="O43" s="230">
        <v>5643</v>
      </c>
      <c r="P43" s="230">
        <v>255</v>
      </c>
      <c r="Q43" s="230">
        <v>250</v>
      </c>
      <c r="R43" s="230">
        <v>111</v>
      </c>
      <c r="S43" s="230">
        <v>0</v>
      </c>
      <c r="T43" s="230">
        <v>24</v>
      </c>
      <c r="U43" s="230">
        <v>0</v>
      </c>
      <c r="V43" s="229">
        <f t="shared" si="11"/>
        <v>23376</v>
      </c>
      <c r="W43" s="204">
        <v>1474</v>
      </c>
      <c r="X43" s="204"/>
      <c r="Y43" s="204"/>
      <c r="Z43" s="214">
        <f t="shared" si="7"/>
        <v>35932</v>
      </c>
      <c r="AA43" s="215">
        <f t="shared" si="12"/>
        <v>25707</v>
      </c>
    </row>
    <row r="44" spans="1:27" x14ac:dyDescent="0.25">
      <c r="A44" s="136" t="s">
        <v>116</v>
      </c>
      <c r="B44" s="137" t="s">
        <v>316</v>
      </c>
      <c r="C44" s="230">
        <v>1839</v>
      </c>
      <c r="D44" s="230">
        <v>1640</v>
      </c>
      <c r="E44" s="230">
        <v>595</v>
      </c>
      <c r="F44" s="230">
        <v>30</v>
      </c>
      <c r="G44" s="230">
        <v>171</v>
      </c>
      <c r="H44" s="230">
        <v>2</v>
      </c>
      <c r="I44" s="230">
        <v>180</v>
      </c>
      <c r="J44" s="230">
        <v>147</v>
      </c>
      <c r="K44" s="230">
        <v>46</v>
      </c>
      <c r="L44" s="232">
        <f t="shared" si="10"/>
        <v>4650</v>
      </c>
      <c r="M44" s="230">
        <v>184</v>
      </c>
      <c r="N44" s="230">
        <v>127</v>
      </c>
      <c r="O44" s="230">
        <v>166</v>
      </c>
      <c r="P44" s="230">
        <v>2</v>
      </c>
      <c r="Q44" s="230">
        <v>1</v>
      </c>
      <c r="R44" s="230">
        <v>13</v>
      </c>
      <c r="S44" s="230">
        <v>0</v>
      </c>
      <c r="T44" s="230">
        <v>0</v>
      </c>
      <c r="U44" s="230">
        <v>0</v>
      </c>
      <c r="V44" s="229">
        <f t="shared" si="11"/>
        <v>493</v>
      </c>
      <c r="W44" s="204">
        <v>527</v>
      </c>
      <c r="X44" s="204"/>
      <c r="Y44" s="204"/>
      <c r="Z44" s="214">
        <f t="shared" si="7"/>
        <v>5670</v>
      </c>
      <c r="AA44" s="215">
        <f t="shared" si="12"/>
        <v>3868</v>
      </c>
    </row>
    <row r="45" spans="1:27" x14ac:dyDescent="0.25">
      <c r="A45" s="136" t="s">
        <v>117</v>
      </c>
      <c r="B45" s="137" t="s">
        <v>317</v>
      </c>
      <c r="C45" s="230">
        <v>7009</v>
      </c>
      <c r="D45" s="230">
        <v>3501</v>
      </c>
      <c r="E45" s="230">
        <v>3686</v>
      </c>
      <c r="F45" s="230">
        <v>177</v>
      </c>
      <c r="G45" s="230">
        <v>314</v>
      </c>
      <c r="H45" s="230">
        <v>0</v>
      </c>
      <c r="I45" s="230">
        <v>831</v>
      </c>
      <c r="J45" s="230">
        <v>240</v>
      </c>
      <c r="K45" s="230">
        <v>0</v>
      </c>
      <c r="L45" s="232">
        <f t="shared" si="10"/>
        <v>15758</v>
      </c>
      <c r="M45" s="230">
        <v>831</v>
      </c>
      <c r="N45" s="230">
        <v>1569</v>
      </c>
      <c r="O45" s="230">
        <v>791</v>
      </c>
      <c r="P45" s="230">
        <v>50</v>
      </c>
      <c r="Q45" s="230">
        <v>67</v>
      </c>
      <c r="R45" s="230">
        <v>0</v>
      </c>
      <c r="S45" s="230">
        <v>680</v>
      </c>
      <c r="T45" s="230">
        <v>14</v>
      </c>
      <c r="U45" s="230">
        <v>0</v>
      </c>
      <c r="V45" s="229">
        <f t="shared" si="11"/>
        <v>4002</v>
      </c>
      <c r="W45" s="204">
        <v>1480</v>
      </c>
      <c r="X45" s="204"/>
      <c r="Y45" s="204"/>
      <c r="Z45" s="214">
        <f t="shared" si="7"/>
        <v>21240</v>
      </c>
      <c r="AA45" s="215">
        <f t="shared" si="12"/>
        <v>13137</v>
      </c>
    </row>
    <row r="46" spans="1:27" x14ac:dyDescent="0.25">
      <c r="A46" s="136" t="s">
        <v>118</v>
      </c>
      <c r="B46" s="137" t="s">
        <v>340</v>
      </c>
      <c r="C46" s="230">
        <v>203</v>
      </c>
      <c r="D46" s="230">
        <v>374</v>
      </c>
      <c r="E46" s="230">
        <v>41</v>
      </c>
      <c r="F46" s="230">
        <v>11</v>
      </c>
      <c r="G46" s="230">
        <v>14</v>
      </c>
      <c r="H46" s="230">
        <v>0</v>
      </c>
      <c r="I46" s="230">
        <v>19</v>
      </c>
      <c r="J46" s="230">
        <v>68</v>
      </c>
      <c r="K46" s="230">
        <v>0</v>
      </c>
      <c r="L46" s="232">
        <f t="shared" si="10"/>
        <v>730</v>
      </c>
      <c r="M46" s="230">
        <v>212</v>
      </c>
      <c r="N46" s="230">
        <v>201</v>
      </c>
      <c r="O46" s="230">
        <v>93</v>
      </c>
      <c r="P46" s="230">
        <v>17</v>
      </c>
      <c r="Q46" s="230">
        <v>33</v>
      </c>
      <c r="R46" s="230">
        <v>39</v>
      </c>
      <c r="S46" s="230">
        <v>0</v>
      </c>
      <c r="T46" s="230">
        <v>0</v>
      </c>
      <c r="U46" s="230">
        <v>0</v>
      </c>
      <c r="V46" s="241">
        <f t="shared" si="11"/>
        <v>595</v>
      </c>
      <c r="W46" s="233">
        <v>354</v>
      </c>
      <c r="X46" s="204">
        <v>137</v>
      </c>
      <c r="Y46" s="204">
        <v>8</v>
      </c>
      <c r="Z46" s="382">
        <f>L46+V46+W46+X46+Y46</f>
        <v>1824</v>
      </c>
      <c r="AA46" s="215">
        <f t="shared" si="12"/>
        <v>1018</v>
      </c>
    </row>
    <row r="47" spans="1:27" x14ac:dyDescent="0.25">
      <c r="A47" s="136" t="s">
        <v>122</v>
      </c>
      <c r="B47" s="137" t="s">
        <v>341</v>
      </c>
      <c r="C47" s="230">
        <v>4892</v>
      </c>
      <c r="D47" s="230">
        <v>2598</v>
      </c>
      <c r="E47" s="230">
        <v>1747</v>
      </c>
      <c r="F47" s="230">
        <v>147</v>
      </c>
      <c r="G47" s="230">
        <v>245</v>
      </c>
      <c r="H47" s="230">
        <v>5</v>
      </c>
      <c r="I47" s="230">
        <v>38</v>
      </c>
      <c r="J47" s="230">
        <v>632</v>
      </c>
      <c r="K47" s="230">
        <v>12</v>
      </c>
      <c r="L47" s="232">
        <f t="shared" si="10"/>
        <v>10316</v>
      </c>
      <c r="M47" s="230">
        <v>3216</v>
      </c>
      <c r="N47" s="230">
        <v>4732</v>
      </c>
      <c r="O47" s="230">
        <v>2495</v>
      </c>
      <c r="P47" s="230">
        <v>209</v>
      </c>
      <c r="Q47" s="230">
        <v>227</v>
      </c>
      <c r="R47" s="230">
        <v>466</v>
      </c>
      <c r="S47" s="230">
        <v>96</v>
      </c>
      <c r="T47" s="230">
        <v>44</v>
      </c>
      <c r="U47" s="230">
        <v>4</v>
      </c>
      <c r="V47" s="241">
        <f t="shared" si="11"/>
        <v>11489</v>
      </c>
      <c r="W47" s="233">
        <v>225</v>
      </c>
      <c r="X47" s="204"/>
      <c r="Y47" s="204"/>
      <c r="Z47" s="382">
        <f t="shared" ref="Z47:Z54" si="13">L47+V47+W47+X47+Y47</f>
        <v>22030</v>
      </c>
      <c r="AA47" s="215">
        <f t="shared" si="12"/>
        <v>15810</v>
      </c>
    </row>
    <row r="48" spans="1:27" ht="17.25" customHeight="1" x14ac:dyDescent="0.25">
      <c r="A48" s="136" t="s">
        <v>140</v>
      </c>
      <c r="B48" s="137" t="s">
        <v>265</v>
      </c>
      <c r="C48" s="230"/>
      <c r="D48" s="230"/>
      <c r="E48" s="230"/>
      <c r="F48" s="230"/>
      <c r="G48" s="230"/>
      <c r="H48" s="230"/>
      <c r="I48" s="230"/>
      <c r="J48" s="230"/>
      <c r="K48" s="230"/>
      <c r="L48" s="232">
        <f t="shared" si="10"/>
        <v>0</v>
      </c>
      <c r="M48" s="147"/>
      <c r="N48" s="147"/>
      <c r="O48" s="147"/>
      <c r="P48" s="147"/>
      <c r="Q48" s="147"/>
      <c r="R48" s="147"/>
      <c r="S48" s="147"/>
      <c r="T48" s="147"/>
      <c r="U48" s="147"/>
      <c r="V48" s="241"/>
      <c r="W48" s="358"/>
      <c r="X48" s="204"/>
      <c r="Y48" s="204"/>
      <c r="Z48" s="382">
        <f t="shared" si="13"/>
        <v>0</v>
      </c>
      <c r="AA48" s="215">
        <f t="shared" si="12"/>
        <v>0</v>
      </c>
    </row>
    <row r="49" spans="1:28" x14ac:dyDescent="0.25">
      <c r="A49" s="136" t="s">
        <v>141</v>
      </c>
      <c r="B49" s="137" t="s">
        <v>342</v>
      </c>
      <c r="C49" s="230">
        <v>1125</v>
      </c>
      <c r="D49" s="230">
        <v>760</v>
      </c>
      <c r="E49" s="230">
        <v>259</v>
      </c>
      <c r="F49" s="230">
        <v>81</v>
      </c>
      <c r="G49" s="230">
        <v>28</v>
      </c>
      <c r="H49" s="230">
        <v>10</v>
      </c>
      <c r="I49" s="230">
        <v>0</v>
      </c>
      <c r="J49" s="230">
        <v>82</v>
      </c>
      <c r="K49" s="230">
        <v>0</v>
      </c>
      <c r="L49" s="232">
        <f t="shared" si="10"/>
        <v>2345</v>
      </c>
      <c r="M49" s="230">
        <v>401</v>
      </c>
      <c r="N49" s="230">
        <v>770</v>
      </c>
      <c r="O49" s="230">
        <v>213</v>
      </c>
      <c r="P49" s="230">
        <v>21</v>
      </c>
      <c r="Q49" s="230">
        <v>35</v>
      </c>
      <c r="R49" s="230">
        <v>8</v>
      </c>
      <c r="S49" s="230">
        <v>0</v>
      </c>
      <c r="T49" s="230">
        <v>20</v>
      </c>
      <c r="U49" s="230"/>
      <c r="V49" s="241">
        <f t="shared" ref="V49:V71" si="14">SUM(M49:U49)</f>
        <v>1468</v>
      </c>
      <c r="W49" s="233">
        <v>879</v>
      </c>
      <c r="X49" s="204"/>
      <c r="Y49" s="204"/>
      <c r="Z49" s="382">
        <f t="shared" si="13"/>
        <v>4692</v>
      </c>
      <c r="AA49" s="215">
        <f t="shared" si="12"/>
        <v>3158</v>
      </c>
    </row>
    <row r="50" spans="1:28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1262</v>
      </c>
      <c r="F50" s="230">
        <v>0</v>
      </c>
      <c r="G50" s="230">
        <v>0</v>
      </c>
      <c r="H50" s="230">
        <v>0</v>
      </c>
      <c r="I50" s="230">
        <v>0</v>
      </c>
      <c r="J50" s="230">
        <v>9273</v>
      </c>
      <c r="K50" s="230">
        <v>0</v>
      </c>
      <c r="L50" s="232">
        <f t="shared" si="10"/>
        <v>10535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230"/>
      <c r="V50" s="241">
        <f t="shared" si="14"/>
        <v>0</v>
      </c>
      <c r="W50" s="233">
        <f>590+600</f>
        <v>1190</v>
      </c>
      <c r="X50" s="204"/>
      <c r="Y50" s="204"/>
      <c r="Z50" s="382">
        <f t="shared" si="13"/>
        <v>11725</v>
      </c>
      <c r="AA50" s="215">
        <f t="shared" si="12"/>
        <v>0</v>
      </c>
    </row>
    <row r="51" spans="1:28" x14ac:dyDescent="0.25">
      <c r="A51" s="136" t="s">
        <v>147</v>
      </c>
      <c r="B51" s="137" t="s">
        <v>322</v>
      </c>
      <c r="C51" s="230">
        <v>12806</v>
      </c>
      <c r="D51" s="230">
        <v>3590</v>
      </c>
      <c r="E51" s="230">
        <v>2575</v>
      </c>
      <c r="F51" s="230">
        <v>107</v>
      </c>
      <c r="G51" s="230">
        <v>169</v>
      </c>
      <c r="H51" s="230">
        <v>0</v>
      </c>
      <c r="I51" s="230">
        <v>280</v>
      </c>
      <c r="J51" s="230">
        <v>1002</v>
      </c>
      <c r="K51" s="230">
        <v>0</v>
      </c>
      <c r="L51" s="232">
        <f t="shared" si="10"/>
        <v>20529</v>
      </c>
      <c r="M51" s="230">
        <v>1715</v>
      </c>
      <c r="N51" s="230">
        <v>1829</v>
      </c>
      <c r="O51" s="230">
        <v>953</v>
      </c>
      <c r="P51" s="230">
        <v>115</v>
      </c>
      <c r="Q51" s="230">
        <v>87</v>
      </c>
      <c r="R51" s="230">
        <v>84</v>
      </c>
      <c r="S51" s="230">
        <v>0</v>
      </c>
      <c r="T51" s="230">
        <v>83</v>
      </c>
      <c r="U51" s="230"/>
      <c r="V51" s="241">
        <f t="shared" si="14"/>
        <v>4866</v>
      </c>
      <c r="W51" s="233">
        <v>927</v>
      </c>
      <c r="X51" s="204"/>
      <c r="Y51" s="204"/>
      <c r="Z51" s="382">
        <f t="shared" si="13"/>
        <v>26322</v>
      </c>
      <c r="AA51" s="215">
        <f t="shared" si="12"/>
        <v>20162</v>
      </c>
    </row>
    <row r="52" spans="1:28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>
        <v>3206</v>
      </c>
      <c r="K52" s="128"/>
      <c r="L52" s="232">
        <f t="shared" si="10"/>
        <v>3206</v>
      </c>
      <c r="M52" s="147"/>
      <c r="N52" s="147"/>
      <c r="O52" s="147"/>
      <c r="P52" s="147"/>
      <c r="Q52" s="147"/>
      <c r="R52" s="147"/>
      <c r="S52" s="147"/>
      <c r="T52" s="147">
        <v>2584</v>
      </c>
      <c r="U52" s="147"/>
      <c r="V52" s="241">
        <f t="shared" si="14"/>
        <v>2584</v>
      </c>
      <c r="W52" s="358"/>
      <c r="X52" s="204"/>
      <c r="Y52" s="204"/>
      <c r="Z52" s="382">
        <f t="shared" si="13"/>
        <v>5790</v>
      </c>
      <c r="AA52" s="215">
        <f t="shared" si="12"/>
        <v>0</v>
      </c>
    </row>
    <row r="53" spans="1:28" x14ac:dyDescent="0.25">
      <c r="A53" s="136" t="s">
        <v>174</v>
      </c>
      <c r="B53" s="137" t="s">
        <v>344</v>
      </c>
      <c r="C53" s="230">
        <v>7611</v>
      </c>
      <c r="D53" s="230">
        <v>3401</v>
      </c>
      <c r="E53" s="230">
        <v>1745</v>
      </c>
      <c r="F53" s="230">
        <v>132</v>
      </c>
      <c r="G53" s="230">
        <v>98</v>
      </c>
      <c r="H53" s="230">
        <v>39</v>
      </c>
      <c r="I53" s="230">
        <v>95</v>
      </c>
      <c r="J53" s="230">
        <v>397</v>
      </c>
      <c r="K53" s="230">
        <v>0</v>
      </c>
      <c r="L53" s="232">
        <f t="shared" si="10"/>
        <v>13518</v>
      </c>
      <c r="M53" s="230">
        <v>968</v>
      </c>
      <c r="N53" s="230">
        <v>1180</v>
      </c>
      <c r="O53" s="230">
        <v>691</v>
      </c>
      <c r="P53" s="230">
        <v>48</v>
      </c>
      <c r="Q53" s="230">
        <v>29</v>
      </c>
      <c r="R53" s="230">
        <v>63</v>
      </c>
      <c r="S53" s="230">
        <v>0</v>
      </c>
      <c r="T53" s="230">
        <v>12</v>
      </c>
      <c r="U53" s="230">
        <v>0</v>
      </c>
      <c r="V53" s="229">
        <f t="shared" si="14"/>
        <v>2991</v>
      </c>
      <c r="W53" s="204">
        <v>923</v>
      </c>
      <c r="X53" s="204"/>
      <c r="Y53" s="204"/>
      <c r="Z53" s="382">
        <f t="shared" si="13"/>
        <v>17432</v>
      </c>
      <c r="AA53" s="215">
        <f t="shared" si="12"/>
        <v>13340</v>
      </c>
    </row>
    <row r="54" spans="1:28" ht="13.8" thickBot="1" x14ac:dyDescent="0.3">
      <c r="A54" s="136" t="s">
        <v>186</v>
      </c>
      <c r="B54" s="137" t="s">
        <v>345</v>
      </c>
      <c r="C54" s="265">
        <v>808</v>
      </c>
      <c r="D54" s="265">
        <v>717</v>
      </c>
      <c r="E54" s="265">
        <v>364</v>
      </c>
      <c r="F54" s="265">
        <v>78</v>
      </c>
      <c r="G54" s="265">
        <v>22</v>
      </c>
      <c r="H54" s="265">
        <v>66</v>
      </c>
      <c r="I54" s="265">
        <v>144</v>
      </c>
      <c r="J54" s="265">
        <v>85</v>
      </c>
      <c r="K54" s="265">
        <v>0</v>
      </c>
      <c r="L54" s="239">
        <f t="shared" si="10"/>
        <v>2284</v>
      </c>
      <c r="M54" s="265">
        <v>691</v>
      </c>
      <c r="N54" s="265">
        <v>1768</v>
      </c>
      <c r="O54" s="265">
        <v>513</v>
      </c>
      <c r="P54" s="265">
        <v>67</v>
      </c>
      <c r="Q54" s="265">
        <v>54</v>
      </c>
      <c r="R54" s="265">
        <v>86</v>
      </c>
      <c r="S54" s="265">
        <v>0</v>
      </c>
      <c r="T54" s="265">
        <v>92</v>
      </c>
      <c r="U54" s="265">
        <v>0</v>
      </c>
      <c r="V54" s="231">
        <f t="shared" si="14"/>
        <v>3271</v>
      </c>
      <c r="W54" s="209">
        <v>782</v>
      </c>
      <c r="X54" s="209"/>
      <c r="Y54" s="209"/>
      <c r="Z54" s="382">
        <f t="shared" si="13"/>
        <v>6337</v>
      </c>
      <c r="AA54" s="217">
        <f t="shared" si="12"/>
        <v>4129</v>
      </c>
    </row>
    <row r="55" spans="1:28" s="109" customFormat="1" ht="14.4" thickBot="1" x14ac:dyDescent="0.3">
      <c r="A55" s="134"/>
      <c r="B55" s="159" t="s">
        <v>459</v>
      </c>
      <c r="C55" s="258">
        <f t="shared" ref="C55:AA55" si="15">SUM(C38:C54)</f>
        <v>63993</v>
      </c>
      <c r="D55" s="157">
        <f t="shared" si="15"/>
        <v>26260</v>
      </c>
      <c r="E55" s="157">
        <f t="shared" si="15"/>
        <v>19757</v>
      </c>
      <c r="F55" s="157">
        <f t="shared" si="15"/>
        <v>1226</v>
      </c>
      <c r="G55" s="157">
        <f t="shared" si="15"/>
        <v>1796</v>
      </c>
      <c r="H55" s="157">
        <f t="shared" si="15"/>
        <v>240</v>
      </c>
      <c r="I55" s="166">
        <f t="shared" si="15"/>
        <v>3157</v>
      </c>
      <c r="J55" s="362">
        <f t="shared" si="15"/>
        <v>16920</v>
      </c>
      <c r="K55" s="259">
        <f t="shared" si="15"/>
        <v>278</v>
      </c>
      <c r="L55" s="260">
        <f t="shared" si="15"/>
        <v>133627</v>
      </c>
      <c r="M55" s="262">
        <f t="shared" si="15"/>
        <v>18939</v>
      </c>
      <c r="N55" s="158">
        <f t="shared" si="15"/>
        <v>27115</v>
      </c>
      <c r="O55" s="158">
        <f t="shared" si="15"/>
        <v>14012</v>
      </c>
      <c r="P55" s="158">
        <f t="shared" si="15"/>
        <v>936</v>
      </c>
      <c r="Q55" s="158">
        <f t="shared" si="15"/>
        <v>1004</v>
      </c>
      <c r="R55" s="158">
        <f t="shared" si="15"/>
        <v>1485</v>
      </c>
      <c r="S55" s="158">
        <f t="shared" si="15"/>
        <v>955</v>
      </c>
      <c r="T55" s="264">
        <f t="shared" si="15"/>
        <v>2924</v>
      </c>
      <c r="U55" s="263">
        <f t="shared" si="15"/>
        <v>56</v>
      </c>
      <c r="V55" s="180">
        <f t="shared" si="15"/>
        <v>67426</v>
      </c>
      <c r="W55" s="210">
        <f t="shared" si="15"/>
        <v>11933</v>
      </c>
      <c r="X55" s="210">
        <f t="shared" si="15"/>
        <v>137</v>
      </c>
      <c r="Y55" s="210">
        <f>SUM(Y38:Y54)</f>
        <v>8</v>
      </c>
      <c r="Z55" s="210">
        <f t="shared" si="15"/>
        <v>213131</v>
      </c>
      <c r="AA55" s="210">
        <f t="shared" si="15"/>
        <v>138803</v>
      </c>
    </row>
    <row r="56" spans="1:28" x14ac:dyDescent="0.25">
      <c r="A56" s="136" t="s">
        <v>71</v>
      </c>
      <c r="B56" s="137" t="s">
        <v>305</v>
      </c>
      <c r="C56" s="280">
        <v>0</v>
      </c>
      <c r="D56" s="280">
        <v>0</v>
      </c>
      <c r="E56" s="280">
        <v>0</v>
      </c>
      <c r="F56" s="280">
        <v>0</v>
      </c>
      <c r="G56" s="280">
        <v>0</v>
      </c>
      <c r="H56" s="280">
        <v>0</v>
      </c>
      <c r="I56" s="280">
        <v>2</v>
      </c>
      <c r="J56" s="280">
        <v>4683</v>
      </c>
      <c r="K56" s="280">
        <v>0</v>
      </c>
      <c r="L56" s="234">
        <f t="shared" ref="L56:L71" si="16">SUM(C56:K56)</f>
        <v>4685</v>
      </c>
      <c r="M56" s="280"/>
      <c r="N56" s="280"/>
      <c r="O56" s="280"/>
      <c r="P56" s="280"/>
      <c r="Q56" s="280"/>
      <c r="R56" s="280"/>
      <c r="S56" s="280"/>
      <c r="T56" s="280"/>
      <c r="U56" s="280"/>
      <c r="V56" s="229">
        <f t="shared" si="14"/>
        <v>0</v>
      </c>
      <c r="W56" s="211">
        <f>17607+4095+10750</f>
        <v>32452</v>
      </c>
      <c r="X56" s="211"/>
      <c r="Y56" s="211"/>
      <c r="Z56" s="214">
        <f t="shared" si="7"/>
        <v>37137</v>
      </c>
      <c r="AA56" s="215">
        <f>C56+D56+F56+K56+N58+O58+Q58+U56</f>
        <v>0</v>
      </c>
      <c r="AB56" s="142">
        <f>L56</f>
        <v>4685</v>
      </c>
    </row>
    <row r="57" spans="1:28" x14ac:dyDescent="0.25">
      <c r="A57" s="136" t="s">
        <v>77</v>
      </c>
      <c r="B57" s="137" t="s">
        <v>306</v>
      </c>
      <c r="C57" s="230">
        <v>7763</v>
      </c>
      <c r="D57" s="230">
        <v>3823</v>
      </c>
      <c r="E57" s="230">
        <v>3228</v>
      </c>
      <c r="F57" s="230">
        <v>355</v>
      </c>
      <c r="G57" s="230">
        <v>115</v>
      </c>
      <c r="H57" s="230">
        <v>18</v>
      </c>
      <c r="I57" s="230">
        <v>555</v>
      </c>
      <c r="J57" s="230">
        <v>464</v>
      </c>
      <c r="K57" s="230">
        <v>10</v>
      </c>
      <c r="L57" s="232">
        <f t="shared" si="16"/>
        <v>16331</v>
      </c>
      <c r="M57" s="230">
        <v>702</v>
      </c>
      <c r="N57" s="230">
        <v>1424</v>
      </c>
      <c r="O57" s="230">
        <v>686</v>
      </c>
      <c r="P57" s="230">
        <v>27</v>
      </c>
      <c r="Q57" s="230">
        <v>19</v>
      </c>
      <c r="R57" s="230">
        <v>42</v>
      </c>
      <c r="S57" s="230">
        <v>0</v>
      </c>
      <c r="T57" s="230">
        <v>97</v>
      </c>
      <c r="U57" s="230"/>
      <c r="V57" s="229">
        <f t="shared" si="14"/>
        <v>2997</v>
      </c>
      <c r="W57" s="204">
        <v>1216</v>
      </c>
      <c r="X57" s="204"/>
      <c r="Y57" s="204"/>
      <c r="Z57" s="214">
        <f t="shared" si="7"/>
        <v>20544</v>
      </c>
      <c r="AA57" s="215">
        <f t="shared" ref="AA57:AA71" si="17">C57+D57+F57+K57+M57+N57+P57+U57</f>
        <v>14104</v>
      </c>
    </row>
    <row r="58" spans="1:28" x14ac:dyDescent="0.25">
      <c r="A58" s="136" t="s">
        <v>102</v>
      </c>
      <c r="B58" s="137" t="s">
        <v>315</v>
      </c>
      <c r="C58" s="230"/>
      <c r="D58" s="230"/>
      <c r="E58" s="230"/>
      <c r="F58" s="230"/>
      <c r="G58" s="230"/>
      <c r="H58" s="230"/>
      <c r="I58" s="230"/>
      <c r="J58" s="230"/>
      <c r="K58" s="230"/>
      <c r="L58" s="232">
        <f t="shared" si="16"/>
        <v>0</v>
      </c>
      <c r="M58" s="230"/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230">
        <v>0</v>
      </c>
      <c r="V58" s="229">
        <f>SUM(M58:U58)</f>
        <v>0</v>
      </c>
      <c r="W58" s="205"/>
      <c r="X58" s="204"/>
      <c r="Y58" s="204"/>
      <c r="Z58" s="214">
        <f t="shared" si="7"/>
        <v>0</v>
      </c>
      <c r="AA58" s="215">
        <f t="shared" si="17"/>
        <v>0</v>
      </c>
    </row>
    <row r="59" spans="1:28" x14ac:dyDescent="0.25">
      <c r="A59" s="136" t="s">
        <v>103</v>
      </c>
      <c r="B59" s="137" t="s">
        <v>297</v>
      </c>
      <c r="C59" s="230">
        <v>767</v>
      </c>
      <c r="D59" s="230">
        <v>104</v>
      </c>
      <c r="E59" s="230">
        <v>318</v>
      </c>
      <c r="F59" s="230">
        <v>6</v>
      </c>
      <c r="G59" s="230">
        <v>10</v>
      </c>
      <c r="H59" s="230">
        <v>0</v>
      </c>
      <c r="I59" s="230">
        <v>0</v>
      </c>
      <c r="J59" s="230">
        <v>33</v>
      </c>
      <c r="K59" s="230">
        <v>0</v>
      </c>
      <c r="L59" s="232">
        <f t="shared" si="16"/>
        <v>1238</v>
      </c>
      <c r="M59" s="230">
        <v>76</v>
      </c>
      <c r="N59" s="230">
        <v>68</v>
      </c>
      <c r="O59" s="230">
        <v>51</v>
      </c>
      <c r="P59" s="230">
        <v>0</v>
      </c>
      <c r="Q59" s="230">
        <v>0</v>
      </c>
      <c r="R59" s="230">
        <v>0</v>
      </c>
      <c r="S59" s="230">
        <v>0</v>
      </c>
      <c r="T59" s="230">
        <v>0</v>
      </c>
      <c r="U59" s="230"/>
      <c r="V59" s="229">
        <f t="shared" si="14"/>
        <v>195</v>
      </c>
      <c r="W59" s="204">
        <v>676</v>
      </c>
      <c r="X59" s="204"/>
      <c r="Y59" s="204"/>
      <c r="Z59" s="214">
        <f t="shared" si="7"/>
        <v>2109</v>
      </c>
      <c r="AA59" s="215">
        <f t="shared" si="17"/>
        <v>1021</v>
      </c>
    </row>
    <row r="60" spans="1:28" x14ac:dyDescent="0.25">
      <c r="A60" s="136" t="s">
        <v>112</v>
      </c>
      <c r="B60" s="137" t="s">
        <v>307</v>
      </c>
      <c r="C60" s="230">
        <v>5908</v>
      </c>
      <c r="D60" s="230">
        <v>2904</v>
      </c>
      <c r="E60" s="230">
        <v>3033</v>
      </c>
      <c r="F60" s="230">
        <v>84</v>
      </c>
      <c r="G60" s="230">
        <v>105</v>
      </c>
      <c r="H60" s="230">
        <v>0</v>
      </c>
      <c r="I60" s="230">
        <v>888</v>
      </c>
      <c r="J60" s="230">
        <v>552</v>
      </c>
      <c r="K60" s="230">
        <v>0</v>
      </c>
      <c r="L60" s="232">
        <f t="shared" si="16"/>
        <v>13474</v>
      </c>
      <c r="M60" s="230">
        <v>1381</v>
      </c>
      <c r="N60" s="230">
        <v>1985</v>
      </c>
      <c r="O60" s="230">
        <v>1063</v>
      </c>
      <c r="P60" s="230">
        <v>57</v>
      </c>
      <c r="Q60" s="230">
        <v>90</v>
      </c>
      <c r="R60" s="230">
        <v>542</v>
      </c>
      <c r="S60" s="230">
        <v>183</v>
      </c>
      <c r="T60" s="230">
        <v>62</v>
      </c>
      <c r="U60" s="230">
        <v>0</v>
      </c>
      <c r="V60" s="229">
        <f t="shared" si="14"/>
        <v>5363</v>
      </c>
      <c r="W60" s="204">
        <v>390</v>
      </c>
      <c r="X60" s="204"/>
      <c r="Y60" s="204"/>
      <c r="Z60" s="214">
        <f t="shared" si="7"/>
        <v>19227</v>
      </c>
      <c r="AA60" s="215">
        <f t="shared" si="17"/>
        <v>12319</v>
      </c>
    </row>
    <row r="61" spans="1:28" x14ac:dyDescent="0.25">
      <c r="A61" s="136" t="s">
        <v>120</v>
      </c>
      <c r="B61" s="137" t="s">
        <v>318</v>
      </c>
      <c r="C61" s="230">
        <v>10692</v>
      </c>
      <c r="D61" s="230">
        <v>2161</v>
      </c>
      <c r="E61" s="230">
        <v>3735</v>
      </c>
      <c r="F61" s="230">
        <v>73</v>
      </c>
      <c r="G61" s="230">
        <v>144</v>
      </c>
      <c r="H61" s="230">
        <v>42</v>
      </c>
      <c r="I61" s="230">
        <v>415</v>
      </c>
      <c r="J61" s="230">
        <v>1204</v>
      </c>
      <c r="K61" s="230">
        <v>430</v>
      </c>
      <c r="L61" s="232">
        <f t="shared" si="16"/>
        <v>18896</v>
      </c>
      <c r="M61" s="230">
        <v>2366</v>
      </c>
      <c r="N61" s="230">
        <v>2121</v>
      </c>
      <c r="O61" s="230">
        <v>1406</v>
      </c>
      <c r="P61" s="230">
        <v>93</v>
      </c>
      <c r="Q61" s="230">
        <v>90</v>
      </c>
      <c r="R61" s="230">
        <v>141</v>
      </c>
      <c r="S61" s="230">
        <v>0</v>
      </c>
      <c r="T61" s="230">
        <v>134</v>
      </c>
      <c r="U61" s="230">
        <v>2</v>
      </c>
      <c r="V61" s="229">
        <f t="shared" si="14"/>
        <v>6353</v>
      </c>
      <c r="W61" s="204">
        <v>355</v>
      </c>
      <c r="X61" s="204"/>
      <c r="Y61" s="204"/>
      <c r="Z61" s="214">
        <f t="shared" si="7"/>
        <v>25604</v>
      </c>
      <c r="AA61" s="215">
        <f t="shared" si="17"/>
        <v>17938</v>
      </c>
    </row>
    <row r="62" spans="1:28" x14ac:dyDescent="0.25">
      <c r="A62" s="136" t="s">
        <v>131</v>
      </c>
      <c r="B62" s="137" t="s">
        <v>308</v>
      </c>
      <c r="C62" s="230">
        <v>4968</v>
      </c>
      <c r="D62" s="230">
        <v>1628</v>
      </c>
      <c r="E62" s="230">
        <v>1911</v>
      </c>
      <c r="F62" s="230">
        <v>200</v>
      </c>
      <c r="G62" s="230">
        <v>117</v>
      </c>
      <c r="H62" s="230">
        <v>0</v>
      </c>
      <c r="I62" s="230">
        <v>66</v>
      </c>
      <c r="J62" s="230">
        <v>401</v>
      </c>
      <c r="K62" s="230">
        <v>0</v>
      </c>
      <c r="L62" s="232">
        <f t="shared" si="16"/>
        <v>9291</v>
      </c>
      <c r="M62" s="230">
        <v>2169</v>
      </c>
      <c r="N62" s="230">
        <v>2787</v>
      </c>
      <c r="O62" s="230">
        <v>1684</v>
      </c>
      <c r="P62" s="230">
        <v>141</v>
      </c>
      <c r="Q62" s="230">
        <v>82</v>
      </c>
      <c r="R62" s="230">
        <v>41</v>
      </c>
      <c r="S62" s="230">
        <v>0</v>
      </c>
      <c r="T62" s="230">
        <v>36</v>
      </c>
      <c r="U62" s="230">
        <v>0</v>
      </c>
      <c r="V62" s="229">
        <f t="shared" si="14"/>
        <v>6940</v>
      </c>
      <c r="W62" s="204">
        <v>2377</v>
      </c>
      <c r="X62" s="204"/>
      <c r="Y62" s="204"/>
      <c r="Z62" s="214">
        <f t="shared" si="7"/>
        <v>18608</v>
      </c>
      <c r="AA62" s="215">
        <f t="shared" si="17"/>
        <v>11893</v>
      </c>
    </row>
    <row r="63" spans="1:28" x14ac:dyDescent="0.25">
      <c r="A63" s="136" t="s">
        <v>133</v>
      </c>
      <c r="B63" s="137" t="s">
        <v>319</v>
      </c>
      <c r="C63" s="230">
        <v>1903</v>
      </c>
      <c r="D63" s="230">
        <v>1478</v>
      </c>
      <c r="E63" s="230">
        <v>832</v>
      </c>
      <c r="F63" s="230">
        <v>85</v>
      </c>
      <c r="G63" s="230">
        <v>31</v>
      </c>
      <c r="H63" s="230">
        <v>0</v>
      </c>
      <c r="I63" s="230">
        <v>0</v>
      </c>
      <c r="J63" s="230">
        <v>97</v>
      </c>
      <c r="K63" s="230">
        <v>0</v>
      </c>
      <c r="L63" s="232">
        <f t="shared" si="16"/>
        <v>4426</v>
      </c>
      <c r="M63" s="230">
        <v>495</v>
      </c>
      <c r="N63" s="230">
        <v>620</v>
      </c>
      <c r="O63" s="230">
        <v>363</v>
      </c>
      <c r="P63" s="230">
        <v>45</v>
      </c>
      <c r="Q63" s="230">
        <v>15</v>
      </c>
      <c r="R63" s="230">
        <v>16</v>
      </c>
      <c r="S63" s="230">
        <v>0</v>
      </c>
      <c r="T63" s="230">
        <v>4</v>
      </c>
      <c r="U63" s="230">
        <v>0</v>
      </c>
      <c r="V63" s="229">
        <f t="shared" si="14"/>
        <v>1558</v>
      </c>
      <c r="W63" s="204">
        <v>0</v>
      </c>
      <c r="X63" s="204"/>
      <c r="Y63" s="204"/>
      <c r="Z63" s="214">
        <f t="shared" si="7"/>
        <v>5984</v>
      </c>
      <c r="AA63" s="215">
        <f t="shared" si="17"/>
        <v>4626</v>
      </c>
    </row>
    <row r="64" spans="1:28" x14ac:dyDescent="0.25">
      <c r="A64" s="136" t="s">
        <v>134</v>
      </c>
      <c r="B64" s="137" t="s">
        <v>320</v>
      </c>
      <c r="C64" s="230">
        <v>672</v>
      </c>
      <c r="D64" s="230">
        <v>425</v>
      </c>
      <c r="E64" s="230">
        <v>192</v>
      </c>
      <c r="F64" s="230">
        <v>23</v>
      </c>
      <c r="G64" s="230">
        <v>5</v>
      </c>
      <c r="H64" s="230">
        <v>0</v>
      </c>
      <c r="I64" s="230">
        <v>0</v>
      </c>
      <c r="J64" s="230">
        <v>77</v>
      </c>
      <c r="K64" s="230">
        <v>0</v>
      </c>
      <c r="L64" s="232">
        <f t="shared" si="16"/>
        <v>1394</v>
      </c>
      <c r="M64" s="230">
        <v>296</v>
      </c>
      <c r="N64" s="230">
        <v>241</v>
      </c>
      <c r="O64" s="230">
        <v>200</v>
      </c>
      <c r="P64" s="230">
        <v>10</v>
      </c>
      <c r="Q64" s="230">
        <v>4</v>
      </c>
      <c r="R64" s="230">
        <v>4</v>
      </c>
      <c r="S64" s="230">
        <v>0</v>
      </c>
      <c r="T64" s="230">
        <v>0</v>
      </c>
      <c r="U64" s="230">
        <v>0</v>
      </c>
      <c r="V64" s="229">
        <f t="shared" si="14"/>
        <v>755</v>
      </c>
      <c r="W64" s="204">
        <v>535</v>
      </c>
      <c r="X64" s="204"/>
      <c r="Y64" s="204"/>
      <c r="Z64" s="214">
        <f t="shared" si="7"/>
        <v>2684</v>
      </c>
      <c r="AA64" s="215">
        <f t="shared" si="17"/>
        <v>1667</v>
      </c>
    </row>
    <row r="65" spans="1:28" x14ac:dyDescent="0.25">
      <c r="A65" s="136" t="s">
        <v>145</v>
      </c>
      <c r="B65" s="137" t="s">
        <v>309</v>
      </c>
      <c r="C65" s="230">
        <v>1654</v>
      </c>
      <c r="D65" s="230">
        <v>557</v>
      </c>
      <c r="E65" s="230">
        <v>509</v>
      </c>
      <c r="F65" s="230">
        <v>107</v>
      </c>
      <c r="G65" s="230">
        <v>59</v>
      </c>
      <c r="H65" s="230">
        <v>0</v>
      </c>
      <c r="I65" s="230">
        <v>0</v>
      </c>
      <c r="J65" s="230">
        <v>323</v>
      </c>
      <c r="K65" s="230">
        <v>0</v>
      </c>
      <c r="L65" s="232">
        <f t="shared" si="16"/>
        <v>3209</v>
      </c>
      <c r="M65" s="230">
        <v>1917</v>
      </c>
      <c r="N65" s="230">
        <v>1443</v>
      </c>
      <c r="O65" s="230">
        <v>1080</v>
      </c>
      <c r="P65" s="230">
        <v>96</v>
      </c>
      <c r="Q65" s="230">
        <v>50</v>
      </c>
      <c r="R65" s="230">
        <v>53</v>
      </c>
      <c r="S65" s="230">
        <v>0</v>
      </c>
      <c r="T65" s="230">
        <v>200</v>
      </c>
      <c r="U65" s="230">
        <v>0</v>
      </c>
      <c r="V65" s="229">
        <f t="shared" si="14"/>
        <v>4839</v>
      </c>
      <c r="W65" s="204">
        <v>513</v>
      </c>
      <c r="X65" s="204"/>
      <c r="Y65" s="204"/>
      <c r="Z65" s="214">
        <f t="shared" si="7"/>
        <v>8561</v>
      </c>
      <c r="AA65" s="215">
        <f t="shared" si="17"/>
        <v>5774</v>
      </c>
    </row>
    <row r="66" spans="1:28" x14ac:dyDescent="0.25">
      <c r="A66" s="136" t="s">
        <v>149</v>
      </c>
      <c r="B66" s="137" t="s">
        <v>353</v>
      </c>
      <c r="C66" s="230">
        <v>301</v>
      </c>
      <c r="D66" s="230">
        <v>106</v>
      </c>
      <c r="E66" s="230">
        <v>80</v>
      </c>
      <c r="F66" s="230">
        <v>33</v>
      </c>
      <c r="G66" s="230">
        <v>6</v>
      </c>
      <c r="H66" s="230">
        <v>0</v>
      </c>
      <c r="I66" s="230">
        <v>345</v>
      </c>
      <c r="J66" s="230">
        <v>36</v>
      </c>
      <c r="K66" s="230">
        <v>0</v>
      </c>
      <c r="L66" s="232">
        <f t="shared" si="16"/>
        <v>907</v>
      </c>
      <c r="M66" s="230">
        <v>193</v>
      </c>
      <c r="N66" s="230">
        <v>228</v>
      </c>
      <c r="O66" s="230">
        <v>115</v>
      </c>
      <c r="P66" s="230">
        <v>10</v>
      </c>
      <c r="Q66" s="230">
        <v>4</v>
      </c>
      <c r="R66" s="230">
        <v>23</v>
      </c>
      <c r="S66" s="230">
        <v>0</v>
      </c>
      <c r="T66" s="230">
        <v>0</v>
      </c>
      <c r="U66" s="230">
        <v>0</v>
      </c>
      <c r="V66" s="229">
        <f t="shared" si="14"/>
        <v>573</v>
      </c>
      <c r="W66" s="204">
        <v>427</v>
      </c>
      <c r="X66" s="204"/>
      <c r="Y66" s="204"/>
      <c r="Z66" s="214">
        <f t="shared" si="7"/>
        <v>1907</v>
      </c>
      <c r="AA66" s="215">
        <f t="shared" si="17"/>
        <v>871</v>
      </c>
    </row>
    <row r="67" spans="1:28" x14ac:dyDescent="0.25">
      <c r="A67" s="136" t="s">
        <v>182</v>
      </c>
      <c r="B67" s="137" t="s">
        <v>357</v>
      </c>
      <c r="C67" s="230">
        <v>5110</v>
      </c>
      <c r="D67" s="230">
        <v>509</v>
      </c>
      <c r="E67" s="230">
        <v>2348</v>
      </c>
      <c r="F67" s="230">
        <v>49</v>
      </c>
      <c r="G67" s="230">
        <v>39</v>
      </c>
      <c r="H67" s="230">
        <v>0</v>
      </c>
      <c r="I67" s="230">
        <v>45</v>
      </c>
      <c r="J67" s="230">
        <v>94</v>
      </c>
      <c r="K67" s="230">
        <v>0</v>
      </c>
      <c r="L67" s="232">
        <f t="shared" si="16"/>
        <v>8194</v>
      </c>
      <c r="M67" s="230">
        <v>563</v>
      </c>
      <c r="N67" s="230">
        <v>470</v>
      </c>
      <c r="O67" s="230">
        <v>313</v>
      </c>
      <c r="P67" s="230">
        <v>6</v>
      </c>
      <c r="Q67" s="230">
        <v>23</v>
      </c>
      <c r="R67" s="230">
        <v>0</v>
      </c>
      <c r="S67" s="230">
        <v>0</v>
      </c>
      <c r="T67" s="230">
        <v>33</v>
      </c>
      <c r="U67" s="230">
        <v>0</v>
      </c>
      <c r="V67" s="229">
        <f t="shared" si="14"/>
        <v>1408</v>
      </c>
      <c r="W67" s="204">
        <v>1814</v>
      </c>
      <c r="X67" s="204"/>
      <c r="Y67" s="204"/>
      <c r="Z67" s="214">
        <f t="shared" si="7"/>
        <v>11416</v>
      </c>
      <c r="AA67" s="215">
        <f t="shared" si="17"/>
        <v>6707</v>
      </c>
      <c r="AB67" s="142">
        <f>L67+V67</f>
        <v>9602</v>
      </c>
    </row>
    <row r="68" spans="1:28" x14ac:dyDescent="0.25">
      <c r="A68" s="136" t="s">
        <v>185</v>
      </c>
      <c r="B68" s="137" t="s">
        <v>310</v>
      </c>
      <c r="C68" s="230"/>
      <c r="D68" s="230"/>
      <c r="E68" s="230"/>
      <c r="F68" s="230"/>
      <c r="G68" s="230"/>
      <c r="H68" s="230"/>
      <c r="I68" s="230"/>
      <c r="J68" s="230"/>
      <c r="K68" s="230"/>
      <c r="L68" s="379">
        <f t="shared" si="16"/>
        <v>0</v>
      </c>
      <c r="M68" s="230"/>
      <c r="N68" s="230"/>
      <c r="O68" s="230"/>
      <c r="P68" s="230"/>
      <c r="Q68" s="230"/>
      <c r="R68" s="230"/>
      <c r="S68" s="230"/>
      <c r="T68" s="230"/>
      <c r="U68" s="230"/>
      <c r="V68" s="229">
        <f t="shared" si="14"/>
        <v>0</v>
      </c>
      <c r="W68" s="204">
        <v>608</v>
      </c>
      <c r="X68" s="204"/>
      <c r="Y68" s="204"/>
      <c r="Z68" s="214">
        <f t="shared" si="7"/>
        <v>608</v>
      </c>
      <c r="AA68" s="215">
        <f t="shared" si="17"/>
        <v>0</v>
      </c>
    </row>
    <row r="69" spans="1:28" x14ac:dyDescent="0.25">
      <c r="A69" s="136" t="s">
        <v>188</v>
      </c>
      <c r="B69" s="137" t="s">
        <v>311</v>
      </c>
      <c r="C69" s="230">
        <v>715</v>
      </c>
      <c r="D69" s="230">
        <v>496</v>
      </c>
      <c r="E69" s="230">
        <v>437</v>
      </c>
      <c r="F69" s="230">
        <v>18</v>
      </c>
      <c r="G69" s="230">
        <v>21</v>
      </c>
      <c r="H69" s="230">
        <v>0</v>
      </c>
      <c r="I69" s="230">
        <v>125</v>
      </c>
      <c r="J69" s="230">
        <v>284</v>
      </c>
      <c r="K69" s="230">
        <v>0</v>
      </c>
      <c r="L69" s="232">
        <f t="shared" si="16"/>
        <v>2096</v>
      </c>
      <c r="M69" s="230">
        <v>736</v>
      </c>
      <c r="N69" s="230">
        <v>800</v>
      </c>
      <c r="O69" s="230">
        <v>556</v>
      </c>
      <c r="P69" s="230">
        <v>13</v>
      </c>
      <c r="Q69" s="230">
        <v>32</v>
      </c>
      <c r="R69" s="230">
        <v>16</v>
      </c>
      <c r="S69" s="230">
        <v>0</v>
      </c>
      <c r="T69" s="230">
        <v>16</v>
      </c>
      <c r="U69" s="230"/>
      <c r="V69" s="229">
        <f t="shared" si="14"/>
        <v>2169</v>
      </c>
      <c r="W69" s="209">
        <v>285</v>
      </c>
      <c r="X69" s="209"/>
      <c r="Y69" s="209"/>
      <c r="Z69" s="214">
        <f t="shared" si="7"/>
        <v>4550</v>
      </c>
      <c r="AA69" s="215">
        <f t="shared" si="17"/>
        <v>2778</v>
      </c>
    </row>
    <row r="70" spans="1:28" x14ac:dyDescent="0.25">
      <c r="A70" s="136" t="s">
        <v>192</v>
      </c>
      <c r="B70" s="137" t="s">
        <v>312</v>
      </c>
      <c r="C70" s="230">
        <v>26</v>
      </c>
      <c r="D70" s="230">
        <v>7</v>
      </c>
      <c r="E70" s="230">
        <v>6</v>
      </c>
      <c r="F70" s="230">
        <v>0</v>
      </c>
      <c r="G70" s="230">
        <v>0</v>
      </c>
      <c r="H70" s="230">
        <v>0</v>
      </c>
      <c r="I70" s="230">
        <v>0</v>
      </c>
      <c r="J70" s="230">
        <v>3</v>
      </c>
      <c r="K70" s="230">
        <v>0</v>
      </c>
      <c r="L70" s="232">
        <f t="shared" si="16"/>
        <v>42</v>
      </c>
      <c r="M70" s="230">
        <v>256</v>
      </c>
      <c r="N70" s="230">
        <v>202</v>
      </c>
      <c r="O70" s="230">
        <v>72</v>
      </c>
      <c r="P70" s="230">
        <v>31</v>
      </c>
      <c r="Q70" s="230">
        <v>5</v>
      </c>
      <c r="R70" s="230">
        <v>0</v>
      </c>
      <c r="S70" s="230">
        <v>0</v>
      </c>
      <c r="T70" s="230">
        <v>0</v>
      </c>
      <c r="U70" s="230"/>
      <c r="V70" s="229">
        <f t="shared" si="14"/>
        <v>566</v>
      </c>
      <c r="W70" s="209">
        <v>568</v>
      </c>
      <c r="X70" s="209"/>
      <c r="Y70" s="209"/>
      <c r="Z70" s="214">
        <f t="shared" si="7"/>
        <v>1176</v>
      </c>
      <c r="AA70" s="215">
        <f t="shared" si="17"/>
        <v>522</v>
      </c>
    </row>
    <row r="71" spans="1:28" ht="13.8" thickBot="1" x14ac:dyDescent="0.3">
      <c r="A71" s="136" t="s">
        <v>193</v>
      </c>
      <c r="B71" s="137" t="s">
        <v>325</v>
      </c>
      <c r="C71" s="265">
        <v>0</v>
      </c>
      <c r="D71" s="265">
        <v>0</v>
      </c>
      <c r="E71" s="265">
        <v>0</v>
      </c>
      <c r="F71" s="265">
        <v>0</v>
      </c>
      <c r="G71" s="265">
        <v>0</v>
      </c>
      <c r="H71" s="265">
        <v>0</v>
      </c>
      <c r="I71" s="265">
        <v>1440</v>
      </c>
      <c r="J71" s="265">
        <v>230</v>
      </c>
      <c r="K71" s="265">
        <v>0</v>
      </c>
      <c r="L71" s="239">
        <f t="shared" si="16"/>
        <v>1670</v>
      </c>
      <c r="M71" s="265">
        <v>0</v>
      </c>
      <c r="N71" s="265">
        <v>0</v>
      </c>
      <c r="O71" s="265">
        <v>0</v>
      </c>
      <c r="P71" s="265">
        <v>0</v>
      </c>
      <c r="Q71" s="265">
        <v>0</v>
      </c>
      <c r="R71" s="265">
        <v>0</v>
      </c>
      <c r="S71" s="265">
        <v>0</v>
      </c>
      <c r="T71" s="265">
        <v>0</v>
      </c>
      <c r="U71" s="265"/>
      <c r="V71" s="229">
        <f t="shared" si="14"/>
        <v>0</v>
      </c>
      <c r="W71" s="209">
        <v>5973</v>
      </c>
      <c r="X71" s="209"/>
      <c r="Y71" s="209"/>
      <c r="Z71" s="214">
        <f t="shared" si="7"/>
        <v>7643</v>
      </c>
      <c r="AA71" s="215">
        <f t="shared" si="17"/>
        <v>0</v>
      </c>
      <c r="AB71" s="142">
        <f>L71+V71</f>
        <v>1670</v>
      </c>
    </row>
    <row r="72" spans="1:28" s="109" customFormat="1" ht="14.4" thickBot="1" x14ac:dyDescent="0.3">
      <c r="A72" s="134"/>
      <c r="B72" s="159" t="s">
        <v>460</v>
      </c>
      <c r="C72" s="258">
        <f t="shared" ref="C72:AA72" si="18">SUM(C56:C71)</f>
        <v>40479</v>
      </c>
      <c r="D72" s="157">
        <f t="shared" si="18"/>
        <v>14198</v>
      </c>
      <c r="E72" s="157">
        <f t="shared" si="18"/>
        <v>16629</v>
      </c>
      <c r="F72" s="157">
        <f t="shared" si="18"/>
        <v>1033</v>
      </c>
      <c r="G72" s="157">
        <f t="shared" si="18"/>
        <v>652</v>
      </c>
      <c r="H72" s="157">
        <f t="shared" si="18"/>
        <v>60</v>
      </c>
      <c r="I72" s="166">
        <f t="shared" si="18"/>
        <v>3881</v>
      </c>
      <c r="J72" s="362">
        <f t="shared" si="18"/>
        <v>8481</v>
      </c>
      <c r="K72" s="259">
        <f t="shared" si="18"/>
        <v>440</v>
      </c>
      <c r="L72" s="260">
        <f t="shared" si="18"/>
        <v>85853</v>
      </c>
      <c r="M72" s="262">
        <f t="shared" si="18"/>
        <v>11150</v>
      </c>
      <c r="N72" s="158">
        <f t="shared" si="18"/>
        <v>12389</v>
      </c>
      <c r="O72" s="158">
        <f t="shared" si="18"/>
        <v>7589</v>
      </c>
      <c r="P72" s="158">
        <f t="shared" si="18"/>
        <v>529</v>
      </c>
      <c r="Q72" s="158">
        <f t="shared" si="18"/>
        <v>414</v>
      </c>
      <c r="R72" s="158">
        <f t="shared" si="18"/>
        <v>878</v>
      </c>
      <c r="S72" s="158">
        <f t="shared" si="18"/>
        <v>183</v>
      </c>
      <c r="T72" s="158">
        <f t="shared" si="18"/>
        <v>582</v>
      </c>
      <c r="U72" s="264">
        <f t="shared" si="18"/>
        <v>2</v>
      </c>
      <c r="V72" s="180">
        <f t="shared" si="18"/>
        <v>33716</v>
      </c>
      <c r="W72" s="210">
        <f t="shared" si="18"/>
        <v>48189</v>
      </c>
      <c r="X72" s="210">
        <f t="shared" si="18"/>
        <v>0</v>
      </c>
      <c r="Y72" s="210">
        <f t="shared" si="18"/>
        <v>0</v>
      </c>
      <c r="Z72" s="210">
        <f t="shared" si="18"/>
        <v>167758</v>
      </c>
      <c r="AA72" s="210">
        <f t="shared" si="18"/>
        <v>80220</v>
      </c>
    </row>
    <row r="73" spans="1:28" x14ac:dyDescent="0.25">
      <c r="A73" s="136" t="s">
        <v>65</v>
      </c>
      <c r="B73" s="137" t="s">
        <v>326</v>
      </c>
      <c r="C73" s="280">
        <v>1333</v>
      </c>
      <c r="D73" s="280">
        <v>629</v>
      </c>
      <c r="E73" s="280">
        <v>682</v>
      </c>
      <c r="F73" s="280">
        <v>4</v>
      </c>
      <c r="G73" s="280">
        <v>70</v>
      </c>
      <c r="H73" s="280">
        <v>0</v>
      </c>
      <c r="I73" s="280">
        <v>386</v>
      </c>
      <c r="J73" s="280">
        <v>185</v>
      </c>
      <c r="K73" s="280">
        <v>52</v>
      </c>
      <c r="L73" s="234">
        <f t="shared" ref="L73:L88" si="19">SUM(C73:K73)</f>
        <v>3341</v>
      </c>
      <c r="M73" s="280">
        <v>874</v>
      </c>
      <c r="N73" s="280">
        <v>1330</v>
      </c>
      <c r="O73" s="280">
        <v>633</v>
      </c>
      <c r="P73" s="280">
        <v>81</v>
      </c>
      <c r="Q73" s="280">
        <v>84</v>
      </c>
      <c r="R73" s="280">
        <v>0</v>
      </c>
      <c r="S73" s="280">
        <v>0</v>
      </c>
      <c r="T73" s="280">
        <v>11</v>
      </c>
      <c r="U73" s="280">
        <v>12</v>
      </c>
      <c r="V73" s="256">
        <f>SUM(M73:U73)</f>
        <v>3025</v>
      </c>
      <c r="W73" s="211">
        <v>1624</v>
      </c>
      <c r="X73" s="211"/>
      <c r="Y73" s="211"/>
      <c r="Z73" s="214">
        <f t="shared" si="7"/>
        <v>7990</v>
      </c>
      <c r="AA73" s="218">
        <f t="shared" ref="AA73:AA83" si="20">C73+D73+F73+K73+M73+N73+P73+U73</f>
        <v>4315</v>
      </c>
    </row>
    <row r="74" spans="1:28" x14ac:dyDescent="0.25">
      <c r="A74" s="136" t="s">
        <v>81</v>
      </c>
      <c r="B74" s="137" t="s">
        <v>327</v>
      </c>
      <c r="C74" s="230">
        <v>1879</v>
      </c>
      <c r="D74" s="230">
        <v>480</v>
      </c>
      <c r="E74" s="230">
        <v>324</v>
      </c>
      <c r="F74" s="230">
        <v>111</v>
      </c>
      <c r="G74" s="230">
        <v>44</v>
      </c>
      <c r="H74" s="230">
        <v>4</v>
      </c>
      <c r="I74" s="230">
        <v>354</v>
      </c>
      <c r="J74" s="230">
        <v>79</v>
      </c>
      <c r="K74" s="230">
        <v>0</v>
      </c>
      <c r="L74" s="232">
        <f t="shared" si="19"/>
        <v>3275</v>
      </c>
      <c r="M74" s="230">
        <v>1528</v>
      </c>
      <c r="N74" s="230">
        <v>1457</v>
      </c>
      <c r="O74" s="230">
        <v>497</v>
      </c>
      <c r="P74" s="230">
        <v>89</v>
      </c>
      <c r="Q74" s="230">
        <v>28</v>
      </c>
      <c r="R74" s="230">
        <v>0</v>
      </c>
      <c r="S74" s="230">
        <v>32</v>
      </c>
      <c r="T74" s="230">
        <v>56</v>
      </c>
      <c r="U74" s="230"/>
      <c r="V74" s="256">
        <f t="shared" ref="V74:V88" si="21">SUM(M74:U74)</f>
        <v>3687</v>
      </c>
      <c r="W74" s="204">
        <v>4981</v>
      </c>
      <c r="X74" s="204"/>
      <c r="Y74" s="204"/>
      <c r="Z74" s="214">
        <f t="shared" si="7"/>
        <v>11943</v>
      </c>
      <c r="AA74" s="215">
        <f t="shared" si="20"/>
        <v>5544</v>
      </c>
    </row>
    <row r="75" spans="1:28" x14ac:dyDescent="0.25">
      <c r="A75" s="136" t="s">
        <v>87</v>
      </c>
      <c r="B75" s="137" t="s">
        <v>292</v>
      </c>
      <c r="C75" s="230">
        <v>2636</v>
      </c>
      <c r="D75" s="230">
        <v>1423</v>
      </c>
      <c r="E75" s="230">
        <v>1245</v>
      </c>
      <c r="F75" s="230">
        <v>63</v>
      </c>
      <c r="G75" s="230">
        <v>80</v>
      </c>
      <c r="H75" s="230">
        <v>7</v>
      </c>
      <c r="I75" s="230">
        <v>19</v>
      </c>
      <c r="J75" s="230">
        <v>147</v>
      </c>
      <c r="K75" s="230">
        <v>0</v>
      </c>
      <c r="L75" s="232">
        <f t="shared" si="19"/>
        <v>5620</v>
      </c>
      <c r="M75" s="230">
        <v>683</v>
      </c>
      <c r="N75" s="230">
        <v>1096</v>
      </c>
      <c r="O75" s="230">
        <v>687</v>
      </c>
      <c r="P75" s="230">
        <v>68</v>
      </c>
      <c r="Q75" s="230">
        <v>28</v>
      </c>
      <c r="R75" s="230">
        <v>34</v>
      </c>
      <c r="S75" s="230">
        <v>0</v>
      </c>
      <c r="T75" s="230">
        <v>308</v>
      </c>
      <c r="U75" s="230"/>
      <c r="V75" s="256">
        <f t="shared" si="21"/>
        <v>2904</v>
      </c>
      <c r="W75" s="204">
        <v>438</v>
      </c>
      <c r="X75" s="204"/>
      <c r="Y75" s="204"/>
      <c r="Z75" s="214">
        <f t="shared" si="7"/>
        <v>8962</v>
      </c>
      <c r="AA75" s="215">
        <f t="shared" si="20"/>
        <v>5969</v>
      </c>
    </row>
    <row r="76" spans="1:28" x14ac:dyDescent="0.25">
      <c r="A76" s="136" t="s">
        <v>92</v>
      </c>
      <c r="B76" s="137" t="s">
        <v>328</v>
      </c>
      <c r="C76" s="230">
        <v>592</v>
      </c>
      <c r="D76" s="230">
        <v>71</v>
      </c>
      <c r="E76" s="230">
        <v>151</v>
      </c>
      <c r="F76" s="230">
        <v>10</v>
      </c>
      <c r="G76" s="230">
        <v>8</v>
      </c>
      <c r="H76" s="230">
        <v>0</v>
      </c>
      <c r="I76" s="230">
        <v>293</v>
      </c>
      <c r="J76" s="230">
        <v>72</v>
      </c>
      <c r="K76" s="230">
        <v>0</v>
      </c>
      <c r="L76" s="232">
        <f t="shared" si="19"/>
        <v>1197</v>
      </c>
      <c r="M76" s="230">
        <v>642</v>
      </c>
      <c r="N76" s="230">
        <v>631</v>
      </c>
      <c r="O76" s="230">
        <v>291</v>
      </c>
      <c r="P76" s="230">
        <v>18</v>
      </c>
      <c r="Q76" s="230">
        <v>21</v>
      </c>
      <c r="R76" s="230">
        <v>0</v>
      </c>
      <c r="S76" s="230">
        <v>0</v>
      </c>
      <c r="T76" s="230">
        <v>8</v>
      </c>
      <c r="U76" s="230"/>
      <c r="V76" s="256">
        <f t="shared" si="21"/>
        <v>1611</v>
      </c>
      <c r="W76" s="204">
        <v>716</v>
      </c>
      <c r="X76" s="204"/>
      <c r="Y76" s="204"/>
      <c r="Z76" s="214">
        <f t="shared" si="7"/>
        <v>3524</v>
      </c>
      <c r="AA76" s="215">
        <f t="shared" si="20"/>
        <v>1964</v>
      </c>
    </row>
    <row r="77" spans="1:28" x14ac:dyDescent="0.25">
      <c r="A77" s="136" t="s">
        <v>96</v>
      </c>
      <c r="B77" s="137" t="s">
        <v>293</v>
      </c>
      <c r="C77" s="230">
        <v>10906</v>
      </c>
      <c r="D77" s="230">
        <v>2234</v>
      </c>
      <c r="E77" s="230">
        <v>5769</v>
      </c>
      <c r="F77" s="230">
        <v>147</v>
      </c>
      <c r="G77" s="230">
        <v>196</v>
      </c>
      <c r="H77" s="230">
        <v>8</v>
      </c>
      <c r="I77" s="230">
        <v>597</v>
      </c>
      <c r="J77" s="230">
        <v>255</v>
      </c>
      <c r="K77" s="230">
        <v>0</v>
      </c>
      <c r="L77" s="232">
        <f t="shared" si="19"/>
        <v>20112</v>
      </c>
      <c r="M77" s="230">
        <v>899</v>
      </c>
      <c r="N77" s="230">
        <v>1057</v>
      </c>
      <c r="O77" s="230">
        <v>1354</v>
      </c>
      <c r="P77" s="230">
        <v>36</v>
      </c>
      <c r="Q77" s="230">
        <v>56</v>
      </c>
      <c r="R77" s="230">
        <v>92</v>
      </c>
      <c r="S77" s="230">
        <v>67</v>
      </c>
      <c r="T77" s="230">
        <v>104</v>
      </c>
      <c r="U77" s="230"/>
      <c r="V77" s="256">
        <f t="shared" si="21"/>
        <v>3665</v>
      </c>
      <c r="W77" s="204">
        <v>1366</v>
      </c>
      <c r="X77" s="204"/>
      <c r="Y77" s="204"/>
      <c r="Z77" s="214">
        <f t="shared" si="7"/>
        <v>25143</v>
      </c>
      <c r="AA77" s="215">
        <f t="shared" si="20"/>
        <v>15279</v>
      </c>
    </row>
    <row r="78" spans="1:28" x14ac:dyDescent="0.25">
      <c r="A78" s="136" t="s">
        <v>100</v>
      </c>
      <c r="B78" s="137" t="s">
        <v>295</v>
      </c>
      <c r="C78" s="230">
        <v>3837</v>
      </c>
      <c r="D78" s="230">
        <v>556</v>
      </c>
      <c r="E78" s="230">
        <v>855</v>
      </c>
      <c r="F78" s="230">
        <v>77</v>
      </c>
      <c r="G78" s="230">
        <v>38</v>
      </c>
      <c r="H78" s="230">
        <v>0</v>
      </c>
      <c r="I78" s="230">
        <v>0</v>
      </c>
      <c r="J78" s="230">
        <v>73</v>
      </c>
      <c r="K78" s="230">
        <v>4</v>
      </c>
      <c r="L78" s="232">
        <f t="shared" si="19"/>
        <v>5440</v>
      </c>
      <c r="M78" s="230">
        <v>1003</v>
      </c>
      <c r="N78" s="230">
        <v>1258</v>
      </c>
      <c r="O78" s="230">
        <v>738</v>
      </c>
      <c r="P78" s="230">
        <v>104</v>
      </c>
      <c r="Q78" s="230">
        <v>28</v>
      </c>
      <c r="R78" s="230">
        <v>48</v>
      </c>
      <c r="S78" s="230">
        <v>0</v>
      </c>
      <c r="T78" s="230">
        <v>0</v>
      </c>
      <c r="U78" s="230"/>
      <c r="V78" s="256">
        <f t="shared" si="21"/>
        <v>3179</v>
      </c>
      <c r="W78" s="204">
        <v>961</v>
      </c>
      <c r="X78" s="204"/>
      <c r="Y78" s="204"/>
      <c r="Z78" s="214">
        <f t="shared" si="7"/>
        <v>9580</v>
      </c>
      <c r="AA78" s="215">
        <f t="shared" si="20"/>
        <v>6839</v>
      </c>
    </row>
    <row r="79" spans="1:28" x14ac:dyDescent="0.25">
      <c r="A79" s="136" t="s">
        <v>108</v>
      </c>
      <c r="B79" s="137" t="s">
        <v>296</v>
      </c>
      <c r="C79" s="230">
        <v>1147</v>
      </c>
      <c r="D79" s="230">
        <v>429</v>
      </c>
      <c r="E79" s="230">
        <v>393</v>
      </c>
      <c r="F79" s="230">
        <v>126</v>
      </c>
      <c r="G79" s="230">
        <v>38</v>
      </c>
      <c r="H79" s="230">
        <v>0</v>
      </c>
      <c r="I79" s="230">
        <v>45</v>
      </c>
      <c r="J79" s="230">
        <v>236</v>
      </c>
      <c r="K79" s="230">
        <v>0</v>
      </c>
      <c r="L79" s="232">
        <f t="shared" si="19"/>
        <v>2414</v>
      </c>
      <c r="M79" s="230">
        <v>505</v>
      </c>
      <c r="N79" s="230">
        <v>581</v>
      </c>
      <c r="O79" s="230">
        <v>415</v>
      </c>
      <c r="P79" s="230">
        <v>47</v>
      </c>
      <c r="Q79" s="230">
        <v>33</v>
      </c>
      <c r="R79" s="230">
        <v>140</v>
      </c>
      <c r="S79" s="230">
        <v>0</v>
      </c>
      <c r="T79" s="230">
        <v>663</v>
      </c>
      <c r="U79" s="230"/>
      <c r="V79" s="256">
        <f t="shared" si="21"/>
        <v>2384</v>
      </c>
      <c r="W79" s="204">
        <v>555</v>
      </c>
      <c r="X79" s="204"/>
      <c r="Y79" s="204"/>
      <c r="Z79" s="214">
        <f t="shared" si="7"/>
        <v>5353</v>
      </c>
      <c r="AA79" s="215">
        <f t="shared" si="20"/>
        <v>2835</v>
      </c>
    </row>
    <row r="80" spans="1:28" x14ac:dyDescent="0.25">
      <c r="A80" s="136" t="s">
        <v>109</v>
      </c>
      <c r="B80" s="137" t="s">
        <v>329</v>
      </c>
      <c r="C80" s="230">
        <v>790</v>
      </c>
      <c r="D80" s="230">
        <v>421</v>
      </c>
      <c r="E80" s="230">
        <v>455</v>
      </c>
      <c r="F80" s="230">
        <v>28</v>
      </c>
      <c r="G80" s="230">
        <v>44</v>
      </c>
      <c r="H80" s="230">
        <v>0</v>
      </c>
      <c r="I80" s="230">
        <v>63</v>
      </c>
      <c r="J80" s="230">
        <v>78</v>
      </c>
      <c r="K80" s="230">
        <v>0</v>
      </c>
      <c r="L80" s="232">
        <f t="shared" si="19"/>
        <v>1879</v>
      </c>
      <c r="M80" s="230">
        <v>670</v>
      </c>
      <c r="N80" s="230">
        <v>1113</v>
      </c>
      <c r="O80" s="230">
        <v>565</v>
      </c>
      <c r="P80" s="230">
        <v>53</v>
      </c>
      <c r="Q80" s="230">
        <v>23</v>
      </c>
      <c r="R80" s="230">
        <v>44</v>
      </c>
      <c r="S80" s="230">
        <v>0</v>
      </c>
      <c r="T80" s="230">
        <v>0</v>
      </c>
      <c r="U80" s="230"/>
      <c r="V80" s="256">
        <f t="shared" si="21"/>
        <v>2468</v>
      </c>
      <c r="W80" s="204">
        <v>235</v>
      </c>
      <c r="X80" s="204"/>
      <c r="Y80" s="204"/>
      <c r="Z80" s="214">
        <f t="shared" si="7"/>
        <v>4582</v>
      </c>
      <c r="AA80" s="215">
        <f t="shared" si="20"/>
        <v>3075</v>
      </c>
    </row>
    <row r="81" spans="1:28" x14ac:dyDescent="0.25">
      <c r="A81" s="136" t="s">
        <v>124</v>
      </c>
      <c r="B81" s="137" t="s">
        <v>330</v>
      </c>
      <c r="C81" s="230">
        <v>5575</v>
      </c>
      <c r="D81" s="230">
        <v>2066</v>
      </c>
      <c r="E81" s="230">
        <v>1832</v>
      </c>
      <c r="F81" s="230">
        <v>174</v>
      </c>
      <c r="G81" s="230">
        <v>234</v>
      </c>
      <c r="H81" s="230">
        <v>0</v>
      </c>
      <c r="I81" s="230">
        <v>22</v>
      </c>
      <c r="J81" s="230">
        <v>111</v>
      </c>
      <c r="K81" s="230">
        <v>104</v>
      </c>
      <c r="L81" s="232">
        <f t="shared" si="19"/>
        <v>10118</v>
      </c>
      <c r="M81" s="230">
        <v>985</v>
      </c>
      <c r="N81" s="230">
        <v>1065</v>
      </c>
      <c r="O81" s="230">
        <v>542</v>
      </c>
      <c r="P81" s="230">
        <v>81</v>
      </c>
      <c r="Q81" s="230">
        <v>46</v>
      </c>
      <c r="R81" s="230">
        <v>0</v>
      </c>
      <c r="S81" s="230">
        <v>0</v>
      </c>
      <c r="T81" s="230">
        <v>8</v>
      </c>
      <c r="U81" s="230"/>
      <c r="V81" s="256">
        <f t="shared" si="21"/>
        <v>2727</v>
      </c>
      <c r="W81" s="204">
        <v>0</v>
      </c>
      <c r="X81" s="204"/>
      <c r="Y81" s="204"/>
      <c r="Z81" s="214">
        <f t="shared" si="7"/>
        <v>12845</v>
      </c>
      <c r="AA81" s="215">
        <f t="shared" si="20"/>
        <v>10050</v>
      </c>
    </row>
    <row r="82" spans="1:28" x14ac:dyDescent="0.25">
      <c r="A82" s="136" t="s">
        <v>126</v>
      </c>
      <c r="B82" s="137" t="s">
        <v>331</v>
      </c>
      <c r="C82" s="230">
        <v>2413</v>
      </c>
      <c r="D82" s="230">
        <v>694</v>
      </c>
      <c r="E82" s="230">
        <v>1456</v>
      </c>
      <c r="F82" s="230">
        <v>61</v>
      </c>
      <c r="G82" s="230">
        <v>28</v>
      </c>
      <c r="H82" s="230">
        <v>0</v>
      </c>
      <c r="I82" s="230">
        <v>0</v>
      </c>
      <c r="J82" s="230">
        <v>698</v>
      </c>
      <c r="K82" s="230">
        <v>34</v>
      </c>
      <c r="L82" s="232">
        <f t="shared" si="19"/>
        <v>5384</v>
      </c>
      <c r="M82" s="230">
        <v>1264</v>
      </c>
      <c r="N82" s="230">
        <v>1364</v>
      </c>
      <c r="O82" s="230">
        <v>746</v>
      </c>
      <c r="P82" s="230">
        <v>160</v>
      </c>
      <c r="Q82" s="230">
        <v>65</v>
      </c>
      <c r="R82" s="230">
        <v>0</v>
      </c>
      <c r="S82" s="230">
        <v>64</v>
      </c>
      <c r="T82" s="230">
        <v>79</v>
      </c>
      <c r="U82" s="230"/>
      <c r="V82" s="256">
        <f t="shared" si="21"/>
        <v>3742</v>
      </c>
      <c r="W82" s="204">
        <v>1601</v>
      </c>
      <c r="X82" s="204"/>
      <c r="Y82" s="204"/>
      <c r="Z82" s="214">
        <f t="shared" si="7"/>
        <v>10727</v>
      </c>
      <c r="AA82" s="215">
        <f t="shared" si="20"/>
        <v>5990</v>
      </c>
    </row>
    <row r="83" spans="1:28" x14ac:dyDescent="0.25">
      <c r="A83" s="136" t="s">
        <v>132</v>
      </c>
      <c r="B83" s="137" t="s">
        <v>298</v>
      </c>
      <c r="C83" s="230">
        <v>3517</v>
      </c>
      <c r="D83" s="230">
        <v>4077</v>
      </c>
      <c r="E83" s="230">
        <v>2185</v>
      </c>
      <c r="F83" s="230">
        <v>113</v>
      </c>
      <c r="G83" s="230">
        <v>133</v>
      </c>
      <c r="H83" s="230">
        <v>57</v>
      </c>
      <c r="I83" s="230">
        <v>287</v>
      </c>
      <c r="J83" s="230">
        <v>349</v>
      </c>
      <c r="K83" s="230">
        <v>0</v>
      </c>
      <c r="L83" s="232">
        <f t="shared" si="19"/>
        <v>10718</v>
      </c>
      <c r="M83" s="230">
        <v>1431</v>
      </c>
      <c r="N83" s="230">
        <v>2210</v>
      </c>
      <c r="O83" s="230">
        <v>1203</v>
      </c>
      <c r="P83" s="230">
        <v>86</v>
      </c>
      <c r="Q83" s="230">
        <v>79</v>
      </c>
      <c r="R83" s="230">
        <v>50</v>
      </c>
      <c r="S83" s="230">
        <v>0</v>
      </c>
      <c r="T83" s="230">
        <v>11</v>
      </c>
      <c r="U83" s="230"/>
      <c r="V83" s="256">
        <f t="shared" si="21"/>
        <v>5070</v>
      </c>
      <c r="W83" s="204">
        <v>1977</v>
      </c>
      <c r="X83" s="204"/>
      <c r="Y83" s="204"/>
      <c r="Z83" s="214">
        <f t="shared" si="7"/>
        <v>17765</v>
      </c>
      <c r="AA83" s="468">
        <f t="shared" si="20"/>
        <v>11434</v>
      </c>
    </row>
    <row r="84" spans="1:28" x14ac:dyDescent="0.25">
      <c r="A84" s="136" t="s">
        <v>137</v>
      </c>
      <c r="B84" s="137" t="s">
        <v>299</v>
      </c>
      <c r="C84" s="230">
        <v>1682</v>
      </c>
      <c r="D84" s="230">
        <v>954</v>
      </c>
      <c r="E84" s="230">
        <v>656</v>
      </c>
      <c r="F84" s="230">
        <v>52</v>
      </c>
      <c r="G84" s="230">
        <v>74</v>
      </c>
      <c r="H84" s="230">
        <v>0</v>
      </c>
      <c r="I84" s="230">
        <v>23</v>
      </c>
      <c r="J84" s="230">
        <v>309</v>
      </c>
      <c r="K84" s="230">
        <v>0</v>
      </c>
      <c r="L84" s="232">
        <f t="shared" si="19"/>
        <v>3750</v>
      </c>
      <c r="M84" s="230">
        <v>1836</v>
      </c>
      <c r="N84" s="230">
        <v>2084</v>
      </c>
      <c r="O84" s="230">
        <v>1326</v>
      </c>
      <c r="P84" s="230">
        <v>47</v>
      </c>
      <c r="Q84" s="230">
        <v>145</v>
      </c>
      <c r="R84" s="230">
        <v>45</v>
      </c>
      <c r="S84" s="230">
        <v>0</v>
      </c>
      <c r="T84" s="230">
        <v>13</v>
      </c>
      <c r="U84" s="230"/>
      <c r="V84" s="256">
        <f t="shared" si="21"/>
        <v>5496</v>
      </c>
      <c r="W84" s="204">
        <v>579</v>
      </c>
      <c r="X84" s="204"/>
      <c r="Y84" s="204"/>
      <c r="Z84" s="214">
        <f t="shared" si="7"/>
        <v>9825</v>
      </c>
      <c r="AA84" s="468">
        <f>C84+D84+F84+K84+M84+N84+P84+U84</f>
        <v>6655</v>
      </c>
    </row>
    <row r="85" spans="1:28" x14ac:dyDescent="0.25">
      <c r="A85" s="136" t="s">
        <v>148</v>
      </c>
      <c r="B85" s="137" t="s">
        <v>300</v>
      </c>
      <c r="C85" s="230">
        <v>734</v>
      </c>
      <c r="D85" s="230">
        <v>682</v>
      </c>
      <c r="E85" s="230">
        <v>434</v>
      </c>
      <c r="F85" s="230">
        <v>50</v>
      </c>
      <c r="G85" s="230">
        <v>32</v>
      </c>
      <c r="H85" s="230">
        <v>0</v>
      </c>
      <c r="I85" s="230">
        <v>116</v>
      </c>
      <c r="J85" s="230">
        <v>96</v>
      </c>
      <c r="K85" s="230">
        <v>0</v>
      </c>
      <c r="L85" s="232">
        <f t="shared" si="19"/>
        <v>2144</v>
      </c>
      <c r="M85" s="230">
        <v>719</v>
      </c>
      <c r="N85" s="230">
        <v>631</v>
      </c>
      <c r="O85" s="230">
        <v>586</v>
      </c>
      <c r="P85" s="230">
        <v>35</v>
      </c>
      <c r="Q85" s="230">
        <v>27</v>
      </c>
      <c r="R85" s="230">
        <v>113</v>
      </c>
      <c r="S85" s="230">
        <v>0</v>
      </c>
      <c r="T85" s="230">
        <v>2</v>
      </c>
      <c r="U85" s="230"/>
      <c r="V85" s="256">
        <f t="shared" si="21"/>
        <v>2113</v>
      </c>
      <c r="W85" s="204">
        <v>273</v>
      </c>
      <c r="X85" s="204"/>
      <c r="Y85" s="204"/>
      <c r="Z85" s="214">
        <f t="shared" si="7"/>
        <v>4530</v>
      </c>
      <c r="AA85" s="468">
        <f>C85+D85+F85+K85+M85+N85+P85+U85</f>
        <v>2851</v>
      </c>
    </row>
    <row r="86" spans="1:28" x14ac:dyDescent="0.25">
      <c r="A86" s="136" t="s">
        <v>169</v>
      </c>
      <c r="B86" s="137" t="s">
        <v>301</v>
      </c>
      <c r="C86" s="230">
        <v>488</v>
      </c>
      <c r="D86" s="230">
        <v>236</v>
      </c>
      <c r="E86" s="230">
        <v>210</v>
      </c>
      <c r="F86" s="230">
        <v>28</v>
      </c>
      <c r="G86" s="230">
        <v>70</v>
      </c>
      <c r="H86" s="230">
        <v>0</v>
      </c>
      <c r="I86" s="230">
        <v>0</v>
      </c>
      <c r="J86" s="230">
        <v>89</v>
      </c>
      <c r="K86" s="230">
        <v>0</v>
      </c>
      <c r="L86" s="232">
        <f t="shared" si="19"/>
        <v>1121</v>
      </c>
      <c r="M86" s="230">
        <v>198</v>
      </c>
      <c r="N86" s="230">
        <v>569</v>
      </c>
      <c r="O86" s="230">
        <v>182</v>
      </c>
      <c r="P86" s="230">
        <v>29</v>
      </c>
      <c r="Q86" s="230">
        <v>10</v>
      </c>
      <c r="R86" s="230">
        <v>0</v>
      </c>
      <c r="S86" s="230">
        <v>0</v>
      </c>
      <c r="T86" s="230">
        <v>4</v>
      </c>
      <c r="U86" s="230"/>
      <c r="V86" s="256">
        <f t="shared" si="21"/>
        <v>992</v>
      </c>
      <c r="W86" s="205"/>
      <c r="X86" s="204"/>
      <c r="Y86" s="204"/>
      <c r="Z86" s="214">
        <f t="shared" si="7"/>
        <v>2113</v>
      </c>
      <c r="AA86" s="468">
        <f>C86+D86+F86+K86+M86+N86+P86+U86</f>
        <v>1548</v>
      </c>
    </row>
    <row r="87" spans="1:28" x14ac:dyDescent="0.25">
      <c r="A87" s="136" t="s">
        <v>172</v>
      </c>
      <c r="B87" s="137" t="s">
        <v>333</v>
      </c>
      <c r="C87" s="230">
        <v>19714</v>
      </c>
      <c r="D87" s="230">
        <v>4043</v>
      </c>
      <c r="E87" s="230">
        <v>2774</v>
      </c>
      <c r="F87" s="230">
        <v>412</v>
      </c>
      <c r="G87" s="230">
        <v>167</v>
      </c>
      <c r="H87" s="230">
        <v>0</v>
      </c>
      <c r="I87" s="230">
        <v>2271</v>
      </c>
      <c r="J87" s="230">
        <v>823</v>
      </c>
      <c r="K87" s="230">
        <v>0</v>
      </c>
      <c r="L87" s="232">
        <f t="shared" si="19"/>
        <v>30204</v>
      </c>
      <c r="M87" s="230">
        <v>3331</v>
      </c>
      <c r="N87" s="230">
        <v>2688</v>
      </c>
      <c r="O87" s="230">
        <v>764</v>
      </c>
      <c r="P87" s="230">
        <v>163</v>
      </c>
      <c r="Q87" s="230">
        <v>119</v>
      </c>
      <c r="R87" s="230">
        <v>82</v>
      </c>
      <c r="S87" s="230">
        <v>239</v>
      </c>
      <c r="T87" s="230">
        <v>56</v>
      </c>
      <c r="U87" s="230"/>
      <c r="V87" s="256">
        <f t="shared" si="21"/>
        <v>7442</v>
      </c>
      <c r="W87" s="209">
        <v>379</v>
      </c>
      <c r="X87" s="209"/>
      <c r="Y87" s="209"/>
      <c r="Z87" s="214">
        <f t="shared" si="7"/>
        <v>38025</v>
      </c>
      <c r="AA87" s="468">
        <f>C87+D87+F87+K87+M87+N87+P87+U87</f>
        <v>30351</v>
      </c>
    </row>
    <row r="88" spans="1:28" ht="13.8" thickBot="1" x14ac:dyDescent="0.3">
      <c r="A88" s="136" t="s">
        <v>175</v>
      </c>
      <c r="B88" s="137" t="s">
        <v>334</v>
      </c>
      <c r="C88" s="265">
        <v>843</v>
      </c>
      <c r="D88" s="265">
        <v>243</v>
      </c>
      <c r="E88" s="265">
        <v>300</v>
      </c>
      <c r="F88" s="265">
        <v>23</v>
      </c>
      <c r="G88" s="265">
        <v>12</v>
      </c>
      <c r="H88" s="265">
        <v>0</v>
      </c>
      <c r="I88" s="265">
        <v>0</v>
      </c>
      <c r="J88" s="265">
        <v>98</v>
      </c>
      <c r="K88" s="265">
        <v>0</v>
      </c>
      <c r="L88" s="239">
        <f t="shared" si="19"/>
        <v>1519</v>
      </c>
      <c r="M88" s="265">
        <v>2078</v>
      </c>
      <c r="N88" s="265">
        <v>1141</v>
      </c>
      <c r="O88" s="265">
        <v>1082</v>
      </c>
      <c r="P88" s="265">
        <v>58</v>
      </c>
      <c r="Q88" s="265">
        <v>99</v>
      </c>
      <c r="R88" s="265">
        <v>16</v>
      </c>
      <c r="S88" s="265">
        <v>0</v>
      </c>
      <c r="T88" s="265">
        <v>6</v>
      </c>
      <c r="U88" s="265"/>
      <c r="V88" s="256">
        <f t="shared" si="21"/>
        <v>4480</v>
      </c>
      <c r="W88" s="209">
        <v>863</v>
      </c>
      <c r="X88" s="209"/>
      <c r="Y88" s="209"/>
      <c r="Z88" s="214">
        <f t="shared" si="7"/>
        <v>6862</v>
      </c>
      <c r="AA88" s="468">
        <f>C88+D88+F88+K88+M88+N88+P88+U88</f>
        <v>4386</v>
      </c>
    </row>
    <row r="89" spans="1:28" s="109" customFormat="1" ht="14.4" thickBot="1" x14ac:dyDescent="0.3">
      <c r="A89" s="134"/>
      <c r="B89" s="159" t="s">
        <v>461</v>
      </c>
      <c r="C89" s="258">
        <f t="shared" ref="C89:AA89" si="22">SUM(C73:C88)</f>
        <v>58086</v>
      </c>
      <c r="D89" s="157">
        <f t="shared" si="22"/>
        <v>19238</v>
      </c>
      <c r="E89" s="157">
        <f t="shared" si="22"/>
        <v>19721</v>
      </c>
      <c r="F89" s="157">
        <f t="shared" si="22"/>
        <v>1479</v>
      </c>
      <c r="G89" s="157">
        <f t="shared" si="22"/>
        <v>1268</v>
      </c>
      <c r="H89" s="157">
        <f t="shared" si="22"/>
        <v>76</v>
      </c>
      <c r="I89" s="157">
        <f t="shared" si="22"/>
        <v>4476</v>
      </c>
      <c r="J89" s="166">
        <f t="shared" si="22"/>
        <v>3698</v>
      </c>
      <c r="K89" s="365">
        <f t="shared" si="22"/>
        <v>194</v>
      </c>
      <c r="L89" s="263">
        <f t="shared" si="22"/>
        <v>108236</v>
      </c>
      <c r="M89" s="262">
        <f t="shared" ref="M89:U89" si="23">SUM(M73:M88)</f>
        <v>18646</v>
      </c>
      <c r="N89" s="158">
        <f t="shared" si="23"/>
        <v>20275</v>
      </c>
      <c r="O89" s="158">
        <f t="shared" si="23"/>
        <v>11611</v>
      </c>
      <c r="P89" s="158">
        <f t="shared" si="23"/>
        <v>1155</v>
      </c>
      <c r="Q89" s="158">
        <f t="shared" si="23"/>
        <v>891</v>
      </c>
      <c r="R89" s="158">
        <f t="shared" si="23"/>
        <v>664</v>
      </c>
      <c r="S89" s="158">
        <f t="shared" si="23"/>
        <v>402</v>
      </c>
      <c r="T89" s="264">
        <f t="shared" si="23"/>
        <v>1329</v>
      </c>
      <c r="U89" s="401">
        <f t="shared" si="23"/>
        <v>12</v>
      </c>
      <c r="V89" s="180">
        <f t="shared" si="22"/>
        <v>54985</v>
      </c>
      <c r="W89" s="210">
        <f t="shared" si="22"/>
        <v>16548</v>
      </c>
      <c r="X89" s="210">
        <f t="shared" si="22"/>
        <v>0</v>
      </c>
      <c r="Y89" s="210">
        <f t="shared" si="22"/>
        <v>0</v>
      </c>
      <c r="Z89" s="210">
        <f t="shared" si="22"/>
        <v>179769</v>
      </c>
      <c r="AA89" s="210">
        <f t="shared" si="22"/>
        <v>119085</v>
      </c>
    </row>
    <row r="90" spans="1:28" x14ac:dyDescent="0.25">
      <c r="A90" s="136" t="s">
        <v>67</v>
      </c>
      <c r="B90" s="137" t="s">
        <v>346</v>
      </c>
      <c r="C90" s="280">
        <v>1229</v>
      </c>
      <c r="D90" s="280">
        <v>364</v>
      </c>
      <c r="E90" s="280">
        <v>377</v>
      </c>
      <c r="F90" s="280">
        <v>102</v>
      </c>
      <c r="G90" s="280">
        <v>44</v>
      </c>
      <c r="H90" s="280">
        <v>0</v>
      </c>
      <c r="I90" s="280">
        <v>0</v>
      </c>
      <c r="J90" s="280">
        <v>142</v>
      </c>
      <c r="K90" s="280">
        <v>0</v>
      </c>
      <c r="L90" s="234">
        <f t="shared" ref="L90:L105" si="24">SUM(C90:K90)</f>
        <v>2258</v>
      </c>
      <c r="M90" s="280">
        <v>518</v>
      </c>
      <c r="N90" s="280">
        <v>650</v>
      </c>
      <c r="O90" s="280">
        <v>176</v>
      </c>
      <c r="P90" s="280">
        <v>28</v>
      </c>
      <c r="Q90" s="280">
        <v>16</v>
      </c>
      <c r="R90" s="280">
        <v>0</v>
      </c>
      <c r="S90" s="280">
        <v>0</v>
      </c>
      <c r="T90" s="280">
        <v>0</v>
      </c>
      <c r="U90" s="280"/>
      <c r="V90" s="256">
        <f t="shared" ref="V90:V105" si="25">SUM(M90:U90)</f>
        <v>1388</v>
      </c>
      <c r="W90" s="211">
        <v>0</v>
      </c>
      <c r="X90" s="211"/>
      <c r="Y90" s="211"/>
      <c r="Z90" s="214">
        <f t="shared" ref="Z90:Z105" si="26">L90+V90+W90+X90</f>
        <v>3646</v>
      </c>
      <c r="AA90" s="215">
        <f t="shared" ref="AA90:AA105" si="27">C90+D90+F90+K90+M90+N90+P90+U90</f>
        <v>2891</v>
      </c>
    </row>
    <row r="91" spans="1:28" x14ac:dyDescent="0.25">
      <c r="A91" s="136" t="s">
        <v>76</v>
      </c>
      <c r="B91" s="137" t="s">
        <v>290</v>
      </c>
      <c r="C91" s="230">
        <v>1480</v>
      </c>
      <c r="D91" s="230">
        <v>397</v>
      </c>
      <c r="E91" s="230">
        <v>983</v>
      </c>
      <c r="F91" s="230">
        <v>30</v>
      </c>
      <c r="G91" s="230">
        <v>49</v>
      </c>
      <c r="H91" s="230">
        <v>0</v>
      </c>
      <c r="I91" s="230">
        <v>145</v>
      </c>
      <c r="J91" s="230">
        <v>134</v>
      </c>
      <c r="K91" s="230">
        <v>0</v>
      </c>
      <c r="L91" s="232">
        <f t="shared" si="24"/>
        <v>3218</v>
      </c>
      <c r="M91" s="230">
        <v>225</v>
      </c>
      <c r="N91" s="230">
        <v>343</v>
      </c>
      <c r="O91" s="230">
        <v>205</v>
      </c>
      <c r="P91" s="230">
        <v>28</v>
      </c>
      <c r="Q91" s="230">
        <v>21</v>
      </c>
      <c r="R91" s="230">
        <v>41</v>
      </c>
      <c r="S91" s="230">
        <v>0</v>
      </c>
      <c r="T91" s="230">
        <v>0</v>
      </c>
      <c r="U91" s="230"/>
      <c r="V91" s="256">
        <f t="shared" si="25"/>
        <v>863</v>
      </c>
      <c r="W91" s="204">
        <v>2125</v>
      </c>
      <c r="X91" s="204"/>
      <c r="Y91" s="204"/>
      <c r="Z91" s="214">
        <f t="shared" si="26"/>
        <v>6206</v>
      </c>
      <c r="AA91" s="215">
        <f t="shared" si="27"/>
        <v>2503</v>
      </c>
      <c r="AB91" s="142">
        <f>L91+V91</f>
        <v>4081</v>
      </c>
    </row>
    <row r="92" spans="1:28" x14ac:dyDescent="0.25">
      <c r="A92" s="136" t="s">
        <v>79</v>
      </c>
      <c r="B92" s="137" t="s">
        <v>347</v>
      </c>
      <c r="C92" s="230">
        <v>1481</v>
      </c>
      <c r="D92" s="230">
        <v>428</v>
      </c>
      <c r="E92" s="230">
        <v>320</v>
      </c>
      <c r="F92" s="230">
        <v>64</v>
      </c>
      <c r="G92" s="230">
        <v>41</v>
      </c>
      <c r="H92" s="230">
        <v>0</v>
      </c>
      <c r="I92" s="230">
        <v>0</v>
      </c>
      <c r="J92" s="230">
        <v>371</v>
      </c>
      <c r="K92" s="230">
        <v>0</v>
      </c>
      <c r="L92" s="232">
        <f t="shared" si="24"/>
        <v>2705</v>
      </c>
      <c r="M92" s="230">
        <v>853</v>
      </c>
      <c r="N92" s="230">
        <v>716</v>
      </c>
      <c r="O92" s="230">
        <v>374</v>
      </c>
      <c r="P92" s="230">
        <v>68</v>
      </c>
      <c r="Q92" s="230">
        <v>30</v>
      </c>
      <c r="R92" s="230">
        <v>78</v>
      </c>
      <c r="S92" s="230">
        <v>0</v>
      </c>
      <c r="T92" s="230">
        <v>12</v>
      </c>
      <c r="U92" s="230"/>
      <c r="V92" s="256">
        <f t="shared" si="25"/>
        <v>2131</v>
      </c>
      <c r="W92" s="204">
        <v>1181</v>
      </c>
      <c r="X92" s="204"/>
      <c r="Y92" s="204"/>
      <c r="Z92" s="214">
        <f t="shared" si="26"/>
        <v>6017</v>
      </c>
      <c r="AA92" s="215">
        <f t="shared" si="27"/>
        <v>3610</v>
      </c>
    </row>
    <row r="93" spans="1:28" x14ac:dyDescent="0.25">
      <c r="A93" s="136" t="s">
        <v>83</v>
      </c>
      <c r="B93" s="137" t="s">
        <v>291</v>
      </c>
      <c r="C93" s="230">
        <v>11848</v>
      </c>
      <c r="D93" s="230">
        <v>7317</v>
      </c>
      <c r="E93" s="230">
        <v>4404</v>
      </c>
      <c r="F93" s="230">
        <v>143</v>
      </c>
      <c r="G93" s="230">
        <v>396</v>
      </c>
      <c r="H93" s="230">
        <v>273</v>
      </c>
      <c r="I93" s="230">
        <v>245</v>
      </c>
      <c r="J93" s="230">
        <v>359</v>
      </c>
      <c r="K93" s="230">
        <v>0</v>
      </c>
      <c r="L93" s="232">
        <f t="shared" si="24"/>
        <v>24985</v>
      </c>
      <c r="M93" s="230">
        <v>2503</v>
      </c>
      <c r="N93" s="230">
        <v>3373</v>
      </c>
      <c r="O93" s="230">
        <v>1858</v>
      </c>
      <c r="P93" s="230">
        <v>44</v>
      </c>
      <c r="Q93" s="230">
        <v>159</v>
      </c>
      <c r="R93" s="230">
        <v>28</v>
      </c>
      <c r="S93" s="230">
        <v>0</v>
      </c>
      <c r="T93" s="230">
        <v>26</v>
      </c>
      <c r="U93" s="230"/>
      <c r="V93" s="256">
        <f t="shared" si="25"/>
        <v>7991</v>
      </c>
      <c r="W93" s="205"/>
      <c r="X93" s="204"/>
      <c r="Y93" s="204"/>
      <c r="Z93" s="214">
        <f t="shared" si="26"/>
        <v>32976</v>
      </c>
      <c r="AA93" s="215">
        <f t="shared" si="27"/>
        <v>25228</v>
      </c>
    </row>
    <row r="94" spans="1:28" x14ac:dyDescent="0.25">
      <c r="A94" s="136" t="s">
        <v>89</v>
      </c>
      <c r="B94" s="137" t="s">
        <v>348</v>
      </c>
      <c r="C94" s="230">
        <v>748</v>
      </c>
      <c r="D94" s="230">
        <v>504</v>
      </c>
      <c r="E94" s="230">
        <v>361</v>
      </c>
      <c r="F94" s="230">
        <v>10</v>
      </c>
      <c r="G94" s="230">
        <v>12</v>
      </c>
      <c r="H94" s="230">
        <v>0</v>
      </c>
      <c r="I94" s="230">
        <v>133</v>
      </c>
      <c r="J94" s="230">
        <v>126</v>
      </c>
      <c r="K94" s="230">
        <v>0</v>
      </c>
      <c r="L94" s="232">
        <f t="shared" si="24"/>
        <v>1894</v>
      </c>
      <c r="M94" s="230">
        <v>261</v>
      </c>
      <c r="N94" s="230">
        <v>638</v>
      </c>
      <c r="O94" s="230">
        <v>224</v>
      </c>
      <c r="P94" s="230">
        <v>15</v>
      </c>
      <c r="Q94" s="230">
        <v>6</v>
      </c>
      <c r="R94" s="230">
        <v>0</v>
      </c>
      <c r="S94" s="230">
        <v>0</v>
      </c>
      <c r="T94" s="230">
        <v>0</v>
      </c>
      <c r="U94" s="230"/>
      <c r="V94" s="256">
        <f t="shared" si="25"/>
        <v>1144</v>
      </c>
      <c r="W94" s="204">
        <v>997</v>
      </c>
      <c r="X94" s="204"/>
      <c r="Y94" s="204"/>
      <c r="Z94" s="214">
        <f t="shared" si="26"/>
        <v>4035</v>
      </c>
      <c r="AA94" s="215">
        <f t="shared" si="27"/>
        <v>2176</v>
      </c>
    </row>
    <row r="95" spans="1:28" x14ac:dyDescent="0.25">
      <c r="A95" s="136" t="s">
        <v>90</v>
      </c>
      <c r="B95" s="137" t="s">
        <v>349</v>
      </c>
      <c r="C95" s="230">
        <v>2086</v>
      </c>
      <c r="D95" s="230">
        <v>1077</v>
      </c>
      <c r="E95" s="230">
        <v>910</v>
      </c>
      <c r="F95" s="230">
        <v>68</v>
      </c>
      <c r="G95" s="230">
        <v>26</v>
      </c>
      <c r="H95" s="230">
        <v>0</v>
      </c>
      <c r="I95" s="230">
        <v>123</v>
      </c>
      <c r="J95" s="230">
        <v>208</v>
      </c>
      <c r="K95" s="230">
        <v>0</v>
      </c>
      <c r="L95" s="232">
        <f t="shared" si="24"/>
        <v>4498</v>
      </c>
      <c r="M95" s="230">
        <v>1661</v>
      </c>
      <c r="N95" s="230">
        <v>1470</v>
      </c>
      <c r="O95" s="230">
        <v>1130</v>
      </c>
      <c r="P95" s="230">
        <v>44</v>
      </c>
      <c r="Q95" s="230">
        <v>48</v>
      </c>
      <c r="R95" s="230">
        <v>46</v>
      </c>
      <c r="S95" s="230">
        <v>0</v>
      </c>
      <c r="T95" s="230">
        <v>4</v>
      </c>
      <c r="U95" s="230"/>
      <c r="V95" s="256">
        <f t="shared" si="25"/>
        <v>4403</v>
      </c>
      <c r="W95" s="204">
        <v>1712</v>
      </c>
      <c r="X95" s="204"/>
      <c r="Y95" s="204"/>
      <c r="Z95" s="214">
        <f t="shared" si="26"/>
        <v>10613</v>
      </c>
      <c r="AA95" s="215">
        <f t="shared" si="27"/>
        <v>6406</v>
      </c>
    </row>
    <row r="96" spans="1:28" x14ac:dyDescent="0.25">
      <c r="A96" s="136" t="s">
        <v>93</v>
      </c>
      <c r="B96" s="137" t="s">
        <v>359</v>
      </c>
      <c r="C96" s="230">
        <v>3025</v>
      </c>
      <c r="D96" s="230">
        <v>1052</v>
      </c>
      <c r="E96" s="230">
        <v>2316</v>
      </c>
      <c r="F96" s="230">
        <v>115</v>
      </c>
      <c r="G96" s="230">
        <v>72</v>
      </c>
      <c r="H96" s="230">
        <v>0</v>
      </c>
      <c r="I96" s="230">
        <v>367</v>
      </c>
      <c r="J96" s="230">
        <v>1098</v>
      </c>
      <c r="K96" s="230">
        <v>0</v>
      </c>
      <c r="L96" s="232">
        <f t="shared" si="24"/>
        <v>8045</v>
      </c>
      <c r="M96" s="230">
        <v>792</v>
      </c>
      <c r="N96" s="230">
        <v>970</v>
      </c>
      <c r="O96" s="230">
        <v>576</v>
      </c>
      <c r="P96" s="230">
        <v>80</v>
      </c>
      <c r="Q96" s="230">
        <v>22</v>
      </c>
      <c r="R96" s="230">
        <v>80</v>
      </c>
      <c r="S96" s="230">
        <v>0</v>
      </c>
      <c r="T96" s="230">
        <v>10</v>
      </c>
      <c r="U96" s="230"/>
      <c r="V96" s="256">
        <f t="shared" si="25"/>
        <v>2530</v>
      </c>
      <c r="W96" s="204">
        <v>863</v>
      </c>
      <c r="X96" s="204"/>
      <c r="Y96" s="204"/>
      <c r="Z96" s="214">
        <f t="shared" si="26"/>
        <v>11438</v>
      </c>
      <c r="AA96" s="215">
        <f t="shared" si="27"/>
        <v>6034</v>
      </c>
    </row>
    <row r="97" spans="1:27" x14ac:dyDescent="0.25">
      <c r="A97" s="136" t="s">
        <v>97</v>
      </c>
      <c r="B97" s="137" t="s">
        <v>294</v>
      </c>
      <c r="C97" s="230">
        <v>4610</v>
      </c>
      <c r="D97" s="230">
        <v>1413</v>
      </c>
      <c r="E97" s="230">
        <v>1533</v>
      </c>
      <c r="F97" s="230">
        <v>47</v>
      </c>
      <c r="G97" s="230">
        <v>105</v>
      </c>
      <c r="H97" s="230">
        <v>292</v>
      </c>
      <c r="I97" s="230">
        <v>0</v>
      </c>
      <c r="J97" s="230">
        <v>313</v>
      </c>
      <c r="K97" s="230">
        <v>0</v>
      </c>
      <c r="L97" s="232">
        <f t="shared" si="24"/>
        <v>8313</v>
      </c>
      <c r="M97" s="230">
        <v>2466</v>
      </c>
      <c r="N97" s="230">
        <v>2019</v>
      </c>
      <c r="O97" s="230">
        <v>1757</v>
      </c>
      <c r="P97" s="230">
        <v>20</v>
      </c>
      <c r="Q97" s="230">
        <v>69</v>
      </c>
      <c r="R97" s="230">
        <v>162</v>
      </c>
      <c r="S97" s="230">
        <v>0</v>
      </c>
      <c r="T97" s="230">
        <v>0</v>
      </c>
      <c r="U97" s="230"/>
      <c r="V97" s="256">
        <f t="shared" si="25"/>
        <v>6493</v>
      </c>
      <c r="W97" s="204">
        <v>2096</v>
      </c>
      <c r="X97" s="204"/>
      <c r="Y97" s="204"/>
      <c r="Z97" s="214">
        <f t="shared" si="26"/>
        <v>16902</v>
      </c>
      <c r="AA97" s="215">
        <f t="shared" si="27"/>
        <v>10575</v>
      </c>
    </row>
    <row r="98" spans="1:27" x14ac:dyDescent="0.25">
      <c r="A98" s="136" t="s">
        <v>125</v>
      </c>
      <c r="B98" s="137" t="s">
        <v>350</v>
      </c>
      <c r="C98" s="230">
        <v>2114</v>
      </c>
      <c r="D98" s="230">
        <v>749</v>
      </c>
      <c r="E98" s="230">
        <v>753</v>
      </c>
      <c r="F98" s="230">
        <v>78</v>
      </c>
      <c r="G98" s="230">
        <v>47</v>
      </c>
      <c r="H98" s="230">
        <v>0</v>
      </c>
      <c r="I98" s="230">
        <v>624</v>
      </c>
      <c r="J98" s="230">
        <v>210</v>
      </c>
      <c r="K98" s="230">
        <v>0</v>
      </c>
      <c r="L98" s="232">
        <f t="shared" si="24"/>
        <v>4575</v>
      </c>
      <c r="M98" s="230">
        <v>1280</v>
      </c>
      <c r="N98" s="230">
        <v>1238</v>
      </c>
      <c r="O98" s="230">
        <v>808</v>
      </c>
      <c r="P98" s="230">
        <v>60</v>
      </c>
      <c r="Q98" s="230">
        <v>50</v>
      </c>
      <c r="R98" s="230">
        <v>38</v>
      </c>
      <c r="S98" s="230">
        <v>0</v>
      </c>
      <c r="T98" s="230">
        <v>26</v>
      </c>
      <c r="U98" s="230"/>
      <c r="V98" s="256">
        <f t="shared" si="25"/>
        <v>3500</v>
      </c>
      <c r="W98" s="204">
        <v>828</v>
      </c>
      <c r="X98" s="204"/>
      <c r="Y98" s="204"/>
      <c r="Z98" s="214">
        <f t="shared" si="26"/>
        <v>8903</v>
      </c>
      <c r="AA98" s="215">
        <f t="shared" si="27"/>
        <v>5519</v>
      </c>
    </row>
    <row r="99" spans="1:27" x14ac:dyDescent="0.25">
      <c r="A99" s="136" t="s">
        <v>135</v>
      </c>
      <c r="B99" s="137" t="s">
        <v>351</v>
      </c>
      <c r="C99" s="230">
        <v>3256</v>
      </c>
      <c r="D99" s="230">
        <v>1611</v>
      </c>
      <c r="E99" s="230">
        <v>1540</v>
      </c>
      <c r="F99" s="230">
        <v>100</v>
      </c>
      <c r="G99" s="230">
        <v>67</v>
      </c>
      <c r="H99" s="230">
        <v>0</v>
      </c>
      <c r="I99" s="230">
        <v>0</v>
      </c>
      <c r="J99" s="230">
        <v>334</v>
      </c>
      <c r="K99" s="230">
        <v>0</v>
      </c>
      <c r="L99" s="232">
        <f t="shared" si="24"/>
        <v>6908</v>
      </c>
      <c r="M99" s="230">
        <v>805</v>
      </c>
      <c r="N99" s="230">
        <v>1405</v>
      </c>
      <c r="O99" s="230">
        <v>468</v>
      </c>
      <c r="P99" s="230">
        <v>94</v>
      </c>
      <c r="Q99" s="230">
        <v>40</v>
      </c>
      <c r="R99" s="230">
        <v>58</v>
      </c>
      <c r="S99" s="230">
        <v>0</v>
      </c>
      <c r="T99" s="230">
        <v>128</v>
      </c>
      <c r="U99" s="230"/>
      <c r="V99" s="256">
        <f t="shared" si="25"/>
        <v>2998</v>
      </c>
      <c r="W99" s="204">
        <v>1040</v>
      </c>
      <c r="X99" s="204"/>
      <c r="Y99" s="204"/>
      <c r="Z99" s="214">
        <f t="shared" si="26"/>
        <v>10946</v>
      </c>
      <c r="AA99" s="215">
        <f t="shared" si="27"/>
        <v>7271</v>
      </c>
    </row>
    <row r="100" spans="1:27" x14ac:dyDescent="0.25">
      <c r="A100" s="136" t="s">
        <v>144</v>
      </c>
      <c r="B100" s="137" t="s">
        <v>352</v>
      </c>
      <c r="C100" s="230">
        <v>3366</v>
      </c>
      <c r="D100" s="230">
        <v>633</v>
      </c>
      <c r="E100" s="230">
        <v>1275</v>
      </c>
      <c r="F100" s="230">
        <v>114</v>
      </c>
      <c r="G100" s="230">
        <v>65</v>
      </c>
      <c r="H100" s="230">
        <v>0</v>
      </c>
      <c r="I100" s="230">
        <v>557</v>
      </c>
      <c r="J100" s="230">
        <v>354</v>
      </c>
      <c r="K100" s="230">
        <v>0</v>
      </c>
      <c r="L100" s="232">
        <f t="shared" si="24"/>
        <v>6364</v>
      </c>
      <c r="M100" s="230">
        <v>1447</v>
      </c>
      <c r="N100" s="230">
        <v>1003</v>
      </c>
      <c r="O100" s="230">
        <v>769</v>
      </c>
      <c r="P100" s="230">
        <v>56</v>
      </c>
      <c r="Q100" s="230">
        <v>45</v>
      </c>
      <c r="R100" s="230">
        <v>0</v>
      </c>
      <c r="S100" s="230">
        <v>0</v>
      </c>
      <c r="T100" s="230">
        <v>0</v>
      </c>
      <c r="U100" s="230"/>
      <c r="V100" s="256">
        <f t="shared" si="25"/>
        <v>3320</v>
      </c>
      <c r="W100" s="204">
        <v>737</v>
      </c>
      <c r="X100" s="204"/>
      <c r="Y100" s="204"/>
      <c r="Z100" s="214">
        <f t="shared" si="26"/>
        <v>10421</v>
      </c>
      <c r="AA100" s="215">
        <f t="shared" si="27"/>
        <v>6619</v>
      </c>
    </row>
    <row r="101" spans="1:27" x14ac:dyDescent="0.25">
      <c r="A101" s="136" t="s">
        <v>176</v>
      </c>
      <c r="B101" s="137" t="s">
        <v>354</v>
      </c>
      <c r="C101" s="230">
        <v>2221</v>
      </c>
      <c r="D101" s="230">
        <v>1163</v>
      </c>
      <c r="E101" s="230">
        <v>1262</v>
      </c>
      <c r="F101" s="230">
        <v>81</v>
      </c>
      <c r="G101" s="230">
        <v>57</v>
      </c>
      <c r="H101" s="230">
        <v>0</v>
      </c>
      <c r="I101" s="230">
        <v>50</v>
      </c>
      <c r="J101" s="230">
        <v>313</v>
      </c>
      <c r="K101" s="230">
        <v>0</v>
      </c>
      <c r="L101" s="232">
        <f t="shared" si="24"/>
        <v>5147</v>
      </c>
      <c r="M101" s="230">
        <v>727</v>
      </c>
      <c r="N101" s="230">
        <v>1344</v>
      </c>
      <c r="O101" s="230">
        <v>432</v>
      </c>
      <c r="P101" s="230">
        <v>26</v>
      </c>
      <c r="Q101" s="230">
        <v>21</v>
      </c>
      <c r="R101" s="230">
        <v>16</v>
      </c>
      <c r="S101" s="230">
        <v>0</v>
      </c>
      <c r="T101" s="230">
        <v>0</v>
      </c>
      <c r="U101" s="230"/>
      <c r="V101" s="256">
        <f t="shared" si="25"/>
        <v>2566</v>
      </c>
      <c r="W101" s="204">
        <v>821</v>
      </c>
      <c r="X101" s="204"/>
      <c r="Y101" s="204"/>
      <c r="Z101" s="214">
        <f t="shared" si="26"/>
        <v>8534</v>
      </c>
      <c r="AA101" s="215">
        <f t="shared" si="27"/>
        <v>5562</v>
      </c>
    </row>
    <row r="102" spans="1:27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24"/>
        <v>0</v>
      </c>
      <c r="M102" s="147"/>
      <c r="N102" s="147"/>
      <c r="O102" s="147"/>
      <c r="P102" s="147"/>
      <c r="Q102" s="147"/>
      <c r="R102" s="147"/>
      <c r="S102" s="147"/>
      <c r="T102" s="147"/>
      <c r="U102" s="147"/>
      <c r="V102" s="256">
        <f t="shared" si="25"/>
        <v>0</v>
      </c>
      <c r="W102" s="204">
        <f>0+1903+4394+2827+7729+12249+3102+2604+5721</f>
        <v>40529</v>
      </c>
      <c r="X102" s="204"/>
      <c r="Y102" s="204"/>
      <c r="Z102" s="214">
        <f t="shared" si="26"/>
        <v>40529</v>
      </c>
      <c r="AA102" s="215">
        <f t="shared" si="27"/>
        <v>0</v>
      </c>
    </row>
    <row r="103" spans="1:27" x14ac:dyDescent="0.25">
      <c r="A103" s="136" t="s">
        <v>177</v>
      </c>
      <c r="B103" s="137" t="s">
        <v>302</v>
      </c>
      <c r="C103" s="230">
        <v>14233</v>
      </c>
      <c r="D103" s="230">
        <v>7824</v>
      </c>
      <c r="E103" s="230">
        <v>7745</v>
      </c>
      <c r="F103" s="230">
        <v>113</v>
      </c>
      <c r="G103" s="230">
        <v>217</v>
      </c>
      <c r="H103" s="230">
        <v>7</v>
      </c>
      <c r="I103" s="230">
        <v>133</v>
      </c>
      <c r="J103" s="459">
        <v>356</v>
      </c>
      <c r="K103" s="230">
        <v>0</v>
      </c>
      <c r="L103" s="241">
        <f t="shared" si="24"/>
        <v>30628</v>
      </c>
      <c r="M103" s="230">
        <v>1842</v>
      </c>
      <c r="N103" s="230">
        <v>3159</v>
      </c>
      <c r="O103" s="230">
        <v>1901</v>
      </c>
      <c r="P103" s="230">
        <v>74</v>
      </c>
      <c r="Q103" s="230">
        <v>89</v>
      </c>
      <c r="R103" s="230">
        <v>1</v>
      </c>
      <c r="S103" s="230">
        <v>0</v>
      </c>
      <c r="T103" s="230">
        <v>92</v>
      </c>
      <c r="U103" s="147"/>
      <c r="V103" s="256">
        <f t="shared" si="25"/>
        <v>7158</v>
      </c>
      <c r="W103" s="204">
        <v>1619</v>
      </c>
      <c r="X103" s="204"/>
      <c r="Y103" s="204"/>
      <c r="Z103" s="214">
        <f t="shared" si="26"/>
        <v>39405</v>
      </c>
      <c r="AA103" s="215">
        <f t="shared" si="27"/>
        <v>27245</v>
      </c>
    </row>
    <row r="104" spans="1:27" x14ac:dyDescent="0.25">
      <c r="A104" s="136" t="s">
        <v>178</v>
      </c>
      <c r="B104" s="137" t="s">
        <v>304</v>
      </c>
      <c r="C104" s="230">
        <v>6712</v>
      </c>
      <c r="D104" s="230">
        <v>2862</v>
      </c>
      <c r="E104" s="230">
        <v>3690</v>
      </c>
      <c r="F104" s="230">
        <v>182</v>
      </c>
      <c r="G104" s="230">
        <v>71</v>
      </c>
      <c r="H104" s="230">
        <v>0</v>
      </c>
      <c r="I104" s="230">
        <v>156</v>
      </c>
      <c r="J104" s="459">
        <v>295</v>
      </c>
      <c r="K104" s="230">
        <v>0</v>
      </c>
      <c r="L104" s="241">
        <f t="shared" si="24"/>
        <v>13968</v>
      </c>
      <c r="M104" s="230">
        <v>1584</v>
      </c>
      <c r="N104" s="230">
        <v>2922</v>
      </c>
      <c r="O104" s="230">
        <v>1652</v>
      </c>
      <c r="P104" s="230">
        <v>39</v>
      </c>
      <c r="Q104" s="230">
        <v>50</v>
      </c>
      <c r="R104" s="230">
        <v>0</v>
      </c>
      <c r="S104" s="230">
        <v>0</v>
      </c>
      <c r="T104" s="230">
        <v>23</v>
      </c>
      <c r="U104" s="189"/>
      <c r="V104" s="256">
        <f t="shared" si="25"/>
        <v>6270</v>
      </c>
      <c r="W104" s="209">
        <v>1388</v>
      </c>
      <c r="X104" s="209"/>
      <c r="Y104" s="209"/>
      <c r="Z104" s="214">
        <f t="shared" si="26"/>
        <v>21626</v>
      </c>
      <c r="AA104" s="217">
        <f t="shared" si="27"/>
        <v>14301</v>
      </c>
    </row>
    <row r="105" spans="1:27" ht="13.8" thickBot="1" x14ac:dyDescent="0.3">
      <c r="A105" s="136" t="s">
        <v>190</v>
      </c>
      <c r="B105" s="143" t="s">
        <v>364</v>
      </c>
      <c r="C105">
        <v>6563</v>
      </c>
      <c r="D105">
        <v>2656</v>
      </c>
      <c r="E105">
        <v>2451</v>
      </c>
      <c r="F105">
        <v>96</v>
      </c>
      <c r="G105">
        <v>142</v>
      </c>
      <c r="H105">
        <v>0</v>
      </c>
      <c r="I105">
        <v>941</v>
      </c>
      <c r="J105">
        <v>506</v>
      </c>
      <c r="K105" s="230">
        <v>0</v>
      </c>
      <c r="L105" s="241">
        <f t="shared" si="24"/>
        <v>13355</v>
      </c>
      <c r="M105" s="265">
        <v>1770</v>
      </c>
      <c r="N105" s="265">
        <v>2885</v>
      </c>
      <c r="O105" s="265">
        <v>1241</v>
      </c>
      <c r="P105" s="265">
        <v>136</v>
      </c>
      <c r="Q105" s="265">
        <v>138</v>
      </c>
      <c r="R105" s="265">
        <v>14</v>
      </c>
      <c r="S105" s="265">
        <v>0</v>
      </c>
      <c r="T105" s="265">
        <v>6</v>
      </c>
      <c r="U105" s="193"/>
      <c r="V105" s="256">
        <f t="shared" si="25"/>
        <v>6190</v>
      </c>
      <c r="W105" s="209">
        <v>1437</v>
      </c>
      <c r="X105" s="209"/>
      <c r="Y105" s="209"/>
      <c r="Z105" s="214">
        <f t="shared" si="26"/>
        <v>20982</v>
      </c>
      <c r="AA105" s="217">
        <f t="shared" si="27"/>
        <v>14106</v>
      </c>
    </row>
    <row r="106" spans="1:27" s="109" customFormat="1" ht="14.4" thickBot="1" x14ac:dyDescent="0.3">
      <c r="A106" s="134"/>
      <c r="B106" s="159" t="s">
        <v>462</v>
      </c>
      <c r="C106" s="293">
        <f t="shared" ref="C106:AA106" si="28">SUM(C90:C105)</f>
        <v>64972</v>
      </c>
      <c r="D106" s="157">
        <f t="shared" si="28"/>
        <v>30050</v>
      </c>
      <c r="E106" s="157">
        <f t="shared" si="28"/>
        <v>29920</v>
      </c>
      <c r="F106" s="157">
        <f t="shared" si="28"/>
        <v>1343</v>
      </c>
      <c r="G106" s="157">
        <f t="shared" si="28"/>
        <v>1411</v>
      </c>
      <c r="H106" s="157">
        <f t="shared" si="28"/>
        <v>572</v>
      </c>
      <c r="I106" s="157">
        <f t="shared" si="28"/>
        <v>3474</v>
      </c>
      <c r="J106" s="157">
        <f t="shared" si="28"/>
        <v>5119</v>
      </c>
      <c r="K106" s="436">
        <f t="shared" si="28"/>
        <v>0</v>
      </c>
      <c r="L106" s="435">
        <f t="shared" ref="L106" si="29">SUM(L90:L105)</f>
        <v>136861</v>
      </c>
      <c r="M106" s="262">
        <f t="shared" si="28"/>
        <v>18734</v>
      </c>
      <c r="N106" s="158">
        <f t="shared" si="28"/>
        <v>24135</v>
      </c>
      <c r="O106" s="158">
        <f t="shared" si="28"/>
        <v>13571</v>
      </c>
      <c r="P106" s="158">
        <f t="shared" si="28"/>
        <v>812</v>
      </c>
      <c r="Q106" s="158">
        <f t="shared" si="28"/>
        <v>804</v>
      </c>
      <c r="R106" s="158">
        <f t="shared" si="28"/>
        <v>562</v>
      </c>
      <c r="S106" s="158">
        <f t="shared" si="28"/>
        <v>0</v>
      </c>
      <c r="T106" s="158">
        <f t="shared" si="28"/>
        <v>327</v>
      </c>
      <c r="U106" s="264">
        <f t="shared" si="28"/>
        <v>0</v>
      </c>
      <c r="V106" s="387">
        <f t="shared" si="28"/>
        <v>58945</v>
      </c>
      <c r="W106" s="210">
        <f t="shared" si="28"/>
        <v>57373</v>
      </c>
      <c r="X106" s="210">
        <f>SUM(X90:X105)</f>
        <v>0</v>
      </c>
      <c r="Y106" s="210">
        <f>SUM(Y90:Y105)</f>
        <v>0</v>
      </c>
      <c r="Z106" s="210">
        <f t="shared" si="28"/>
        <v>253179</v>
      </c>
      <c r="AA106" s="210">
        <f t="shared" si="28"/>
        <v>140046</v>
      </c>
    </row>
    <row r="107" spans="1:27" ht="18" thickBot="1" x14ac:dyDescent="0.35">
      <c r="A107" s="135"/>
      <c r="B107" s="169" t="s">
        <v>463</v>
      </c>
      <c r="C107" s="186">
        <f t="shared" ref="C107:AA107" si="30">C106+C89+C72+C55+C37+C23</f>
        <v>272528</v>
      </c>
      <c r="D107" s="162">
        <f t="shared" si="30"/>
        <v>109006</v>
      </c>
      <c r="E107" s="162">
        <f t="shared" si="30"/>
        <v>103511</v>
      </c>
      <c r="F107" s="162">
        <f t="shared" si="30"/>
        <v>6172</v>
      </c>
      <c r="G107" s="162">
        <f t="shared" si="30"/>
        <v>6366</v>
      </c>
      <c r="H107" s="162">
        <f t="shared" si="30"/>
        <v>995</v>
      </c>
      <c r="I107" s="162">
        <f t="shared" si="30"/>
        <v>18016</v>
      </c>
      <c r="J107" s="162">
        <f t="shared" si="30"/>
        <v>45812</v>
      </c>
      <c r="K107" s="163">
        <f t="shared" si="30"/>
        <v>1316</v>
      </c>
      <c r="L107" s="187">
        <f t="shared" si="30"/>
        <v>563722</v>
      </c>
      <c r="M107" s="186">
        <f t="shared" si="30"/>
        <v>75896</v>
      </c>
      <c r="N107" s="162">
        <f t="shared" si="30"/>
        <v>96670</v>
      </c>
      <c r="O107" s="162">
        <f t="shared" si="30"/>
        <v>51593</v>
      </c>
      <c r="P107" s="162">
        <f t="shared" si="30"/>
        <v>4057</v>
      </c>
      <c r="Q107" s="162">
        <f t="shared" si="30"/>
        <v>3690</v>
      </c>
      <c r="R107" s="162">
        <f t="shared" si="30"/>
        <v>4017</v>
      </c>
      <c r="S107" s="162">
        <f t="shared" si="30"/>
        <v>1762</v>
      </c>
      <c r="T107" s="162">
        <f t="shared" si="30"/>
        <v>5844</v>
      </c>
      <c r="U107" s="163">
        <f t="shared" si="30"/>
        <v>100</v>
      </c>
      <c r="V107" s="187">
        <f t="shared" si="30"/>
        <v>243629</v>
      </c>
      <c r="W107" s="212">
        <f t="shared" si="30"/>
        <v>156875</v>
      </c>
      <c r="X107" s="212">
        <f t="shared" si="30"/>
        <v>367</v>
      </c>
      <c r="Y107" s="212">
        <f t="shared" si="30"/>
        <v>31</v>
      </c>
      <c r="Z107" s="212">
        <f t="shared" si="30"/>
        <v>964624</v>
      </c>
      <c r="AA107" s="212">
        <f t="shared" si="30"/>
        <v>565745</v>
      </c>
    </row>
    <row r="109" spans="1:27" x14ac:dyDescent="0.25">
      <c r="C109" s="122">
        <f>C107</f>
        <v>272528</v>
      </c>
      <c r="D109" s="122">
        <f t="shared" ref="D109:AA109" si="31">D107</f>
        <v>109006</v>
      </c>
      <c r="E109" s="122">
        <f t="shared" si="31"/>
        <v>103511</v>
      </c>
      <c r="F109" s="122">
        <f t="shared" si="31"/>
        <v>6172</v>
      </c>
      <c r="G109" s="122">
        <f t="shared" si="31"/>
        <v>6366</v>
      </c>
      <c r="H109" s="122">
        <f t="shared" si="31"/>
        <v>995</v>
      </c>
      <c r="I109" s="122">
        <f t="shared" si="31"/>
        <v>18016</v>
      </c>
      <c r="J109" s="122">
        <f t="shared" si="31"/>
        <v>45812</v>
      </c>
      <c r="K109" s="122">
        <f t="shared" si="31"/>
        <v>1316</v>
      </c>
      <c r="L109" s="122">
        <f t="shared" si="31"/>
        <v>563722</v>
      </c>
      <c r="M109" s="122">
        <f t="shared" si="31"/>
        <v>75896</v>
      </c>
      <c r="N109" s="122">
        <f t="shared" si="31"/>
        <v>96670</v>
      </c>
      <c r="O109" s="122">
        <f t="shared" si="31"/>
        <v>51593</v>
      </c>
      <c r="P109" s="122">
        <f t="shared" si="31"/>
        <v>4057</v>
      </c>
      <c r="Q109" s="122">
        <f t="shared" si="31"/>
        <v>3690</v>
      </c>
      <c r="R109" s="122">
        <f t="shared" si="31"/>
        <v>4017</v>
      </c>
      <c r="S109" s="122">
        <f t="shared" si="31"/>
        <v>1762</v>
      </c>
      <c r="T109" s="122">
        <f t="shared" si="31"/>
        <v>5844</v>
      </c>
      <c r="U109" s="122">
        <f t="shared" si="31"/>
        <v>100</v>
      </c>
      <c r="V109" s="122">
        <f t="shared" si="31"/>
        <v>243629</v>
      </c>
      <c r="W109" s="122">
        <f t="shared" si="31"/>
        <v>156875</v>
      </c>
      <c r="X109" s="122">
        <f t="shared" si="31"/>
        <v>367</v>
      </c>
      <c r="Y109" s="122">
        <f t="shared" si="31"/>
        <v>31</v>
      </c>
      <c r="Z109" s="122">
        <f t="shared" si="31"/>
        <v>964624</v>
      </c>
      <c r="AA109" s="122">
        <f t="shared" si="31"/>
        <v>565745</v>
      </c>
    </row>
  </sheetData>
  <mergeCells count="5">
    <mergeCell ref="B1:B3"/>
    <mergeCell ref="M4:V4"/>
    <mergeCell ref="C4:L4"/>
    <mergeCell ref="C1:Z1"/>
    <mergeCell ref="C2:Z2"/>
  </mergeCells>
  <phoneticPr fontId="4" type="noConversion"/>
  <conditionalFormatting sqref="W6:Y22 W24:Y36 W38:Y54 W56:Y71 W73:Y88">
    <cfRule type="cellIs" dxfId="27" priority="1" stopIfTrue="1" operator="notBetween">
      <formula>-2000</formula>
      <formula>2000</formula>
    </cfRule>
  </conditionalFormatting>
  <conditionalFormatting sqref="V3">
    <cfRule type="cellIs" dxfId="26" priority="4" stopIfTrue="1" operator="greaterThan">
      <formula>10</formula>
    </cfRule>
    <cfRule type="cellIs" dxfId="25" priority="5" stopIfTrue="1" operator="lessThan">
      <formula>10</formula>
    </cfRule>
  </conditionalFormatting>
  <conditionalFormatting sqref="W90:Y105">
    <cfRule type="cellIs" dxfId="24" priority="3" stopIfTrue="1" operator="notBetween">
      <formula>-2000</formula>
      <formula>2000</formula>
    </cfRule>
  </conditionalFormatting>
  <conditionalFormatting sqref="W18:Y18">
    <cfRule type="cellIs" dxfId="23" priority="2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5" fitToHeight="4" orientation="landscape" r:id="rId1"/>
  <headerFooter alignWithMargins="0">
    <oddFooter xml:space="preserve">&amp;L&amp;8&amp;Z&amp;F&amp;A&amp;10
</oddFooter>
  </headerFooter>
  <ignoredErrors>
    <ignoredError sqref="L55 L72 L106 L23 Z46 V23 V55 V89 V72 V37 L89 Z23:AA23 Z37:AA37 Z72:AA72 Z89:AA89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C111"/>
  <sheetViews>
    <sheetView showZeros="0" zoomScale="90" zoomScaleNormal="90" zoomScaleSheetLayoutView="50" workbookViewId="0">
      <pane xSplit="2" ySplit="5" topLeftCell="U96" activePane="bottomRight" state="frozen"/>
      <selection activeCell="R34" sqref="R34"/>
      <selection pane="topRight" activeCell="R34" sqref="R34"/>
      <selection pane="bottomLeft" activeCell="R34" sqref="R34"/>
      <selection pane="bottomRight" activeCell="Z48" sqref="Z48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</cols>
  <sheetData>
    <row r="1" spans="1:29" s="111" customFormat="1" ht="22.8" x14ac:dyDescent="0.35">
      <c r="B1" s="544"/>
      <c r="C1" s="546" t="s">
        <v>263</v>
      </c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6"/>
      <c r="S1" s="546"/>
      <c r="T1" s="546"/>
      <c r="U1" s="546"/>
      <c r="V1" s="546"/>
      <c r="W1" s="546"/>
      <c r="X1" s="546"/>
      <c r="Y1" s="546"/>
      <c r="Z1" s="546"/>
      <c r="AC1"/>
    </row>
    <row r="2" spans="1:29" s="111" customFormat="1" ht="22.8" x14ac:dyDescent="0.35">
      <c r="B2" s="544"/>
      <c r="C2" s="550"/>
      <c r="D2" s="550"/>
      <c r="E2" s="550"/>
      <c r="F2" s="550"/>
      <c r="G2" s="550"/>
      <c r="H2" s="550"/>
      <c r="I2" s="550"/>
      <c r="J2" s="550"/>
      <c r="K2" s="550"/>
      <c r="L2" s="550"/>
      <c r="M2" s="550"/>
      <c r="N2" s="550"/>
      <c r="O2" s="550"/>
      <c r="P2" s="550"/>
      <c r="Q2" s="550"/>
      <c r="R2" s="550"/>
      <c r="S2" s="550"/>
      <c r="T2" s="550"/>
      <c r="U2" s="550"/>
      <c r="V2" s="550"/>
      <c r="W2" s="550"/>
      <c r="X2" s="550"/>
      <c r="Y2" s="550"/>
      <c r="Z2" s="550"/>
      <c r="AC2"/>
    </row>
    <row r="3" spans="1:29" s="111" customFormat="1" ht="21" thickBot="1" x14ac:dyDescent="0.4">
      <c r="B3" s="545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C3"/>
    </row>
    <row r="4" spans="1:29" ht="21" customHeight="1" thickTop="1" thickBot="1" x14ac:dyDescent="0.3">
      <c r="A4" s="145"/>
      <c r="B4" s="167"/>
      <c r="C4" s="547" t="s">
        <v>253</v>
      </c>
      <c r="D4" s="548"/>
      <c r="E4" s="548"/>
      <c r="F4" s="548"/>
      <c r="G4" s="548"/>
      <c r="H4" s="548"/>
      <c r="I4" s="548"/>
      <c r="J4" s="548"/>
      <c r="K4" s="548"/>
      <c r="L4" s="549"/>
      <c r="M4" s="547" t="s">
        <v>262</v>
      </c>
      <c r="N4" s="548"/>
      <c r="O4" s="548"/>
      <c r="P4" s="548"/>
      <c r="Q4" s="548"/>
      <c r="R4" s="548"/>
      <c r="S4" s="548"/>
      <c r="T4" s="548"/>
      <c r="U4" s="548"/>
      <c r="V4" s="549"/>
      <c r="W4" s="202"/>
      <c r="X4" s="202"/>
      <c r="Y4" s="272" t="s">
        <v>472</v>
      </c>
      <c r="Z4" s="202"/>
      <c r="AA4" s="202"/>
    </row>
    <row r="5" spans="1:29" ht="45" customHeight="1" thickBot="1" x14ac:dyDescent="0.3">
      <c r="A5" s="146" t="s">
        <v>360</v>
      </c>
      <c r="B5" s="168" t="s">
        <v>456</v>
      </c>
      <c r="C5" s="315" t="s">
        <v>254</v>
      </c>
      <c r="D5" s="316" t="s">
        <v>219</v>
      </c>
      <c r="E5" s="317" t="s">
        <v>255</v>
      </c>
      <c r="F5" s="318" t="s">
        <v>256</v>
      </c>
      <c r="G5" s="318" t="s">
        <v>257</v>
      </c>
      <c r="H5" s="318" t="s">
        <v>258</v>
      </c>
      <c r="I5" s="318" t="s">
        <v>259</v>
      </c>
      <c r="J5" s="318" t="s">
        <v>260</v>
      </c>
      <c r="K5" s="319" t="s">
        <v>261</v>
      </c>
      <c r="L5" s="171" t="s">
        <v>208</v>
      </c>
      <c r="M5" s="324" t="s">
        <v>254</v>
      </c>
      <c r="N5" s="316" t="s">
        <v>219</v>
      </c>
      <c r="O5" s="317" t="s">
        <v>255</v>
      </c>
      <c r="P5" s="318" t="s">
        <v>256</v>
      </c>
      <c r="Q5" s="318" t="s">
        <v>257</v>
      </c>
      <c r="R5" s="318" t="s">
        <v>258</v>
      </c>
      <c r="S5" s="318" t="s">
        <v>259</v>
      </c>
      <c r="T5" s="318" t="s">
        <v>260</v>
      </c>
      <c r="U5" s="319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</row>
    <row r="6" spans="1:29" ht="12.75" customHeight="1" x14ac:dyDescent="0.25">
      <c r="A6" s="136" t="s">
        <v>68</v>
      </c>
      <c r="B6" s="139" t="s">
        <v>268</v>
      </c>
      <c r="C6" s="230">
        <v>102</v>
      </c>
      <c r="D6" s="230">
        <v>106</v>
      </c>
      <c r="E6" s="230">
        <v>51</v>
      </c>
      <c r="F6" s="230">
        <v>6</v>
      </c>
      <c r="G6" s="230">
        <v>7</v>
      </c>
      <c r="H6" s="230">
        <v>6</v>
      </c>
      <c r="I6" s="230">
        <v>0</v>
      </c>
      <c r="J6" s="230">
        <v>48</v>
      </c>
      <c r="K6" s="230">
        <v>0</v>
      </c>
      <c r="L6" s="356">
        <f>SUM(C6:K6)</f>
        <v>326</v>
      </c>
      <c r="M6" s="230">
        <v>0</v>
      </c>
      <c r="N6" s="230">
        <v>0</v>
      </c>
      <c r="O6" s="230">
        <v>0</v>
      </c>
      <c r="P6" s="230">
        <v>0</v>
      </c>
      <c r="Q6" s="230">
        <v>0</v>
      </c>
      <c r="R6" s="230">
        <v>0</v>
      </c>
      <c r="S6" s="230">
        <v>0</v>
      </c>
      <c r="T6" s="230">
        <v>0</v>
      </c>
      <c r="U6" s="389"/>
      <c r="V6" s="229">
        <f>SUM(M6:U6)</f>
        <v>0</v>
      </c>
      <c r="W6" s="204">
        <v>1151</v>
      </c>
      <c r="X6" s="204"/>
      <c r="Y6" s="204"/>
      <c r="Z6" s="214">
        <f>L6+V6+W6+X6+Y6</f>
        <v>1477</v>
      </c>
      <c r="AA6" s="215">
        <f>C6+D6+F6+K6+M6+N6+P6+U6</f>
        <v>214</v>
      </c>
    </row>
    <row r="7" spans="1:29" x14ac:dyDescent="0.25">
      <c r="A7" s="136" t="s">
        <v>69</v>
      </c>
      <c r="B7" s="137" t="s">
        <v>269</v>
      </c>
      <c r="C7" s="230">
        <v>404</v>
      </c>
      <c r="D7" s="230">
        <v>147</v>
      </c>
      <c r="E7" s="230">
        <v>27</v>
      </c>
      <c r="F7" s="230">
        <v>8</v>
      </c>
      <c r="G7" s="230">
        <v>2</v>
      </c>
      <c r="H7" s="230">
        <v>0</v>
      </c>
      <c r="I7" s="230">
        <v>19</v>
      </c>
      <c r="J7" s="230">
        <v>263</v>
      </c>
      <c r="K7" s="230">
        <v>0</v>
      </c>
      <c r="L7" s="234">
        <f t="shared" ref="L7:L22" si="0">SUM(C7:K7)</f>
        <v>870</v>
      </c>
      <c r="M7" s="230">
        <v>28</v>
      </c>
      <c r="N7" s="230">
        <v>2</v>
      </c>
      <c r="O7" s="230">
        <v>2</v>
      </c>
      <c r="P7" s="230">
        <v>2</v>
      </c>
      <c r="Q7" s="230">
        <v>0</v>
      </c>
      <c r="R7" s="230">
        <v>0</v>
      </c>
      <c r="S7" s="230">
        <v>0</v>
      </c>
      <c r="T7" s="230">
        <v>6</v>
      </c>
      <c r="U7" s="389"/>
      <c r="V7" s="229">
        <f>SUM(M7:U7)</f>
        <v>40</v>
      </c>
      <c r="W7" s="205"/>
      <c r="X7" s="204"/>
      <c r="Y7" s="204"/>
      <c r="Z7" s="214">
        <f t="shared" ref="Z7:Z22" si="1">L7+V7+W7+X7+Y7</f>
        <v>910</v>
      </c>
      <c r="AA7" s="215">
        <f>C7+D7+F7+K7+M7+N7+P7+U7</f>
        <v>591</v>
      </c>
    </row>
    <row r="8" spans="1:29" x14ac:dyDescent="0.25">
      <c r="A8" s="136" t="s">
        <v>73</v>
      </c>
      <c r="B8" s="137" t="s">
        <v>270</v>
      </c>
      <c r="C8" s="230">
        <v>4</v>
      </c>
      <c r="D8" s="230">
        <v>2</v>
      </c>
      <c r="E8" s="230">
        <v>2</v>
      </c>
      <c r="F8" s="230">
        <v>2</v>
      </c>
      <c r="G8" s="230">
        <v>0</v>
      </c>
      <c r="H8" s="230">
        <v>0</v>
      </c>
      <c r="I8" s="230">
        <v>2</v>
      </c>
      <c r="J8" s="230">
        <v>0</v>
      </c>
      <c r="K8" s="230">
        <v>0</v>
      </c>
      <c r="L8" s="232">
        <f t="shared" si="0"/>
        <v>12</v>
      </c>
      <c r="M8" s="230">
        <v>41</v>
      </c>
      <c r="N8" s="230">
        <v>18</v>
      </c>
      <c r="O8" s="230">
        <v>15</v>
      </c>
      <c r="P8" s="230">
        <v>0</v>
      </c>
      <c r="Q8" s="230">
        <v>0</v>
      </c>
      <c r="R8" s="230">
        <v>0</v>
      </c>
      <c r="S8" s="230">
        <v>33</v>
      </c>
      <c r="T8" s="230">
        <v>4</v>
      </c>
      <c r="U8" s="389"/>
      <c r="V8" s="229">
        <f>SUM(M8:U8)</f>
        <v>111</v>
      </c>
      <c r="W8" s="205"/>
      <c r="X8" s="204"/>
      <c r="Y8" s="204"/>
      <c r="Z8" s="214">
        <f t="shared" si="1"/>
        <v>123</v>
      </c>
      <c r="AA8" s="215">
        <f>C8+D8+F8+K8+M8+N8+P8+U8</f>
        <v>67</v>
      </c>
    </row>
    <row r="9" spans="1:29" x14ac:dyDescent="0.25">
      <c r="A9" s="136" t="s">
        <v>74</v>
      </c>
      <c r="B9" s="137" t="s">
        <v>358</v>
      </c>
      <c r="C9" s="128"/>
      <c r="D9" s="128"/>
      <c r="E9" s="128"/>
      <c r="F9" s="128"/>
      <c r="G9" s="128"/>
      <c r="H9" s="128"/>
      <c r="I9" s="128"/>
      <c r="J9" s="128"/>
      <c r="K9" s="128"/>
      <c r="L9" s="229">
        <f t="shared" si="0"/>
        <v>0</v>
      </c>
      <c r="M9" s="196"/>
      <c r="N9" s="147"/>
      <c r="O9" s="147"/>
      <c r="P9" s="147"/>
      <c r="Q9" s="147"/>
      <c r="R9" s="147"/>
      <c r="S9" s="147"/>
      <c r="T9" s="147"/>
      <c r="U9" s="189"/>
      <c r="V9" s="176">
        <f>SUM(M9:U9)</f>
        <v>0</v>
      </c>
      <c r="W9" s="204">
        <v>12991</v>
      </c>
      <c r="X9" s="204"/>
      <c r="Y9" s="204"/>
      <c r="Z9" s="214">
        <f t="shared" si="1"/>
        <v>12991</v>
      </c>
      <c r="AA9" s="215">
        <f>C9+D9+F9+K9+M9+N9+P9+U9</f>
        <v>0</v>
      </c>
    </row>
    <row r="10" spans="1:29" x14ac:dyDescent="0.25">
      <c r="A10" s="136" t="s">
        <v>94</v>
      </c>
      <c r="B10" s="137" t="s">
        <v>271</v>
      </c>
      <c r="C10" s="230">
        <v>719</v>
      </c>
      <c r="D10" s="230">
        <v>467</v>
      </c>
      <c r="E10" s="230">
        <v>190</v>
      </c>
      <c r="F10" s="230">
        <v>63</v>
      </c>
      <c r="G10" s="230">
        <v>24</v>
      </c>
      <c r="H10" s="230">
        <v>0</v>
      </c>
      <c r="I10" s="230">
        <v>0</v>
      </c>
      <c r="J10" s="230">
        <v>81</v>
      </c>
      <c r="K10" s="230">
        <v>0</v>
      </c>
      <c r="L10" s="232">
        <f t="shared" si="0"/>
        <v>1544</v>
      </c>
      <c r="M10">
        <v>888</v>
      </c>
      <c r="N10">
        <v>2224</v>
      </c>
      <c r="O10">
        <v>809</v>
      </c>
      <c r="P10">
        <v>153</v>
      </c>
      <c r="Q10">
        <v>76</v>
      </c>
      <c r="R10">
        <v>106</v>
      </c>
      <c r="S10">
        <v>81</v>
      </c>
      <c r="T10">
        <v>19</v>
      </c>
      <c r="U10" s="448"/>
      <c r="V10" s="229">
        <f t="shared" ref="V10:V22" si="2">SUM(M10:U10)</f>
        <v>4356</v>
      </c>
      <c r="W10" s="204">
        <v>3273</v>
      </c>
      <c r="X10" s="204"/>
      <c r="Y10" s="204"/>
      <c r="Z10" s="214">
        <f t="shared" si="1"/>
        <v>9173</v>
      </c>
      <c r="AA10" s="215">
        <f t="shared" ref="AA10:AA22" si="3">C10+D10+F10+K10+M10+N10+P10+U10</f>
        <v>4514</v>
      </c>
    </row>
    <row r="11" spans="1:29" x14ac:dyDescent="0.25">
      <c r="A11" s="136" t="s">
        <v>95</v>
      </c>
      <c r="B11" s="137" t="s">
        <v>272</v>
      </c>
      <c r="C11" s="448"/>
      <c r="D11" s="448"/>
      <c r="E11" s="448"/>
      <c r="F11" s="448"/>
      <c r="G11" s="448"/>
      <c r="H11" s="448"/>
      <c r="I11" s="448"/>
      <c r="J11" s="448"/>
      <c r="K11" s="448"/>
      <c r="L11" s="232">
        <f t="shared" si="0"/>
        <v>0</v>
      </c>
      <c r="M11">
        <v>0</v>
      </c>
      <c r="N11">
        <v>0</v>
      </c>
      <c r="O11">
        <v>12</v>
      </c>
      <c r="P11">
        <v>0</v>
      </c>
      <c r="Q11">
        <v>0</v>
      </c>
      <c r="R11">
        <v>0</v>
      </c>
      <c r="S11">
        <v>0</v>
      </c>
      <c r="T11">
        <v>406</v>
      </c>
      <c r="U11" s="448"/>
      <c r="V11" s="229">
        <f t="shared" si="2"/>
        <v>418</v>
      </c>
      <c r="W11" s="205"/>
      <c r="X11" s="204"/>
      <c r="Y11" s="204"/>
      <c r="Z11" s="214">
        <f t="shared" si="1"/>
        <v>418</v>
      </c>
      <c r="AA11" s="215">
        <f t="shared" si="3"/>
        <v>0</v>
      </c>
    </row>
    <row r="12" spans="1:29" x14ac:dyDescent="0.25">
      <c r="A12" s="136" t="s">
        <v>361</v>
      </c>
      <c r="B12" s="137" t="s">
        <v>355</v>
      </c>
      <c r="C12" s="230">
        <v>0</v>
      </c>
      <c r="D12" s="230">
        <v>0</v>
      </c>
      <c r="E12" s="230">
        <v>21</v>
      </c>
      <c r="F12" s="230">
        <v>0</v>
      </c>
      <c r="G12" s="230">
        <v>0</v>
      </c>
      <c r="H12" s="230">
        <v>0</v>
      </c>
      <c r="I12" s="230">
        <v>0</v>
      </c>
      <c r="J12" s="230">
        <v>260</v>
      </c>
      <c r="K12" s="230">
        <v>0</v>
      </c>
      <c r="L12" s="229">
        <f t="shared" si="0"/>
        <v>281</v>
      </c>
      <c r="M12" s="196"/>
      <c r="N12" s="147"/>
      <c r="O12" s="147"/>
      <c r="P12" s="147"/>
      <c r="Q12" s="147"/>
      <c r="R12" s="147"/>
      <c r="S12" s="147"/>
      <c r="T12" s="147"/>
      <c r="U12" s="189"/>
      <c r="V12" s="176">
        <f t="shared" si="2"/>
        <v>0</v>
      </c>
      <c r="W12" s="205"/>
      <c r="X12" s="204">
        <v>152</v>
      </c>
      <c r="Y12" s="204">
        <v>64</v>
      </c>
      <c r="Z12" s="214">
        <f t="shared" si="1"/>
        <v>497</v>
      </c>
      <c r="AA12" s="215">
        <f t="shared" si="3"/>
        <v>0</v>
      </c>
    </row>
    <row r="13" spans="1:29" x14ac:dyDescent="0.25">
      <c r="A13" s="136" t="s">
        <v>106</v>
      </c>
      <c r="B13" s="137" t="s">
        <v>273</v>
      </c>
      <c r="C13" s="230">
        <v>120</v>
      </c>
      <c r="D13" s="230">
        <v>34</v>
      </c>
      <c r="E13" s="230">
        <v>35</v>
      </c>
      <c r="F13" s="230">
        <v>4</v>
      </c>
      <c r="G13" s="230">
        <v>0</v>
      </c>
      <c r="H13" s="230">
        <v>0</v>
      </c>
      <c r="I13" s="230">
        <v>0</v>
      </c>
      <c r="J13" s="230">
        <v>30</v>
      </c>
      <c r="K13" s="230">
        <v>0</v>
      </c>
      <c r="L13" s="232">
        <f t="shared" si="0"/>
        <v>223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448"/>
      <c r="V13" s="229">
        <f t="shared" si="2"/>
        <v>0</v>
      </c>
      <c r="W13" s="205"/>
      <c r="X13" s="204"/>
      <c r="Y13" s="204"/>
      <c r="Z13" s="214">
        <f t="shared" si="1"/>
        <v>223</v>
      </c>
      <c r="AA13" s="215">
        <f t="shared" si="3"/>
        <v>158</v>
      </c>
    </row>
    <row r="14" spans="1:29" x14ac:dyDescent="0.25">
      <c r="A14" s="136" t="s">
        <v>110</v>
      </c>
      <c r="B14" s="137" t="s">
        <v>274</v>
      </c>
      <c r="C14" s="230">
        <v>2734</v>
      </c>
      <c r="D14" s="230">
        <v>1060</v>
      </c>
      <c r="E14" s="230">
        <v>509</v>
      </c>
      <c r="F14" s="230">
        <v>19</v>
      </c>
      <c r="G14" s="230">
        <v>92</v>
      </c>
      <c r="H14" s="230">
        <v>0</v>
      </c>
      <c r="I14" s="230">
        <v>13</v>
      </c>
      <c r="J14" s="230">
        <v>39</v>
      </c>
      <c r="K14" s="230">
        <v>0</v>
      </c>
      <c r="L14" s="232">
        <f t="shared" si="0"/>
        <v>4466</v>
      </c>
      <c r="M14" s="230">
        <v>124</v>
      </c>
      <c r="N14" s="230">
        <v>18</v>
      </c>
      <c r="O14" s="230">
        <v>18</v>
      </c>
      <c r="P14" s="230">
        <v>0</v>
      </c>
      <c r="Q14" s="230">
        <v>2</v>
      </c>
      <c r="R14" s="230">
        <v>0</v>
      </c>
      <c r="S14" s="230">
        <v>0</v>
      </c>
      <c r="T14" s="230">
        <v>0</v>
      </c>
      <c r="U14" s="448"/>
      <c r="V14" s="229">
        <f t="shared" si="2"/>
        <v>162</v>
      </c>
      <c r="W14" s="205"/>
      <c r="X14" s="204"/>
      <c r="Y14" s="204"/>
      <c r="Z14" s="214">
        <f t="shared" si="1"/>
        <v>4628</v>
      </c>
      <c r="AA14" s="215">
        <f t="shared" si="3"/>
        <v>3955</v>
      </c>
    </row>
    <row r="15" spans="1:29" x14ac:dyDescent="0.25">
      <c r="A15" s="136" t="s">
        <v>119</v>
      </c>
      <c r="B15" s="137" t="s">
        <v>275</v>
      </c>
      <c r="C15" s="230">
        <v>1064</v>
      </c>
      <c r="D15" s="230">
        <v>244</v>
      </c>
      <c r="E15" s="230">
        <v>309</v>
      </c>
      <c r="F15" s="230">
        <v>18</v>
      </c>
      <c r="G15" s="230">
        <v>9</v>
      </c>
      <c r="H15" s="230">
        <v>0</v>
      </c>
      <c r="I15" s="230">
        <v>50</v>
      </c>
      <c r="J15" s="230">
        <v>39</v>
      </c>
      <c r="K15" s="230">
        <v>0</v>
      </c>
      <c r="L15" s="232">
        <f t="shared" si="0"/>
        <v>1733</v>
      </c>
      <c r="M15" s="230">
        <v>83</v>
      </c>
      <c r="N15" s="230">
        <v>43</v>
      </c>
      <c r="O15" s="230">
        <v>21</v>
      </c>
      <c r="P15" s="230">
        <v>2</v>
      </c>
      <c r="Q15" s="230">
        <v>8</v>
      </c>
      <c r="R15" s="230">
        <v>0</v>
      </c>
      <c r="S15" s="230">
        <v>0</v>
      </c>
      <c r="T15" s="230">
        <v>1</v>
      </c>
      <c r="U15" s="448"/>
      <c r="V15" s="229">
        <f t="shared" si="2"/>
        <v>158</v>
      </c>
      <c r="W15" s="205"/>
      <c r="X15" s="204">
        <v>23</v>
      </c>
      <c r="Y15" s="204"/>
      <c r="Z15" s="214">
        <f t="shared" si="1"/>
        <v>1914</v>
      </c>
      <c r="AA15" s="215">
        <f t="shared" si="3"/>
        <v>1454</v>
      </c>
    </row>
    <row r="16" spans="1:29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10</v>
      </c>
      <c r="F16" s="230">
        <v>0</v>
      </c>
      <c r="G16" s="230">
        <v>0</v>
      </c>
      <c r="H16" s="230">
        <v>0</v>
      </c>
      <c r="I16" s="230">
        <v>0</v>
      </c>
      <c r="J16" s="230">
        <v>1229</v>
      </c>
      <c r="K16" s="230">
        <v>0</v>
      </c>
      <c r="L16" s="232">
        <f t="shared" si="0"/>
        <v>1239</v>
      </c>
      <c r="M16" s="230">
        <v>0</v>
      </c>
      <c r="N16" s="230">
        <v>0</v>
      </c>
      <c r="O16" s="230">
        <v>24</v>
      </c>
      <c r="P16" s="230">
        <v>0</v>
      </c>
      <c r="Q16" s="230">
        <v>0</v>
      </c>
      <c r="R16" s="230">
        <v>0</v>
      </c>
      <c r="S16" s="230">
        <v>0</v>
      </c>
      <c r="T16" s="230">
        <v>1125</v>
      </c>
      <c r="U16" s="448"/>
      <c r="V16" s="229">
        <f t="shared" si="2"/>
        <v>1149</v>
      </c>
      <c r="W16" s="205"/>
      <c r="X16" s="204"/>
      <c r="Y16" s="204"/>
      <c r="Z16" s="214">
        <f t="shared" si="1"/>
        <v>2388</v>
      </c>
      <c r="AA16" s="215">
        <f t="shared" si="3"/>
        <v>0</v>
      </c>
    </row>
    <row r="17" spans="1:29" x14ac:dyDescent="0.25">
      <c r="A17" s="136" t="s">
        <v>123</v>
      </c>
      <c r="B17" s="137" t="s">
        <v>277</v>
      </c>
      <c r="C17" s="230">
        <v>60</v>
      </c>
      <c r="D17" s="230">
        <v>23</v>
      </c>
      <c r="E17" s="230">
        <v>5</v>
      </c>
      <c r="F17" s="230">
        <v>3</v>
      </c>
      <c r="G17" s="230">
        <v>4</v>
      </c>
      <c r="H17" s="230">
        <v>0</v>
      </c>
      <c r="I17" s="230">
        <v>0</v>
      </c>
      <c r="J17" s="230">
        <v>0</v>
      </c>
      <c r="K17" s="230">
        <v>0</v>
      </c>
      <c r="L17" s="232">
        <f t="shared" si="0"/>
        <v>95</v>
      </c>
      <c r="M17" s="230">
        <v>30</v>
      </c>
      <c r="N17" s="230">
        <v>102</v>
      </c>
      <c r="O17" s="230">
        <v>19</v>
      </c>
      <c r="P17" s="230">
        <v>3</v>
      </c>
      <c r="Q17" s="230">
        <v>0</v>
      </c>
      <c r="R17" s="230">
        <v>0</v>
      </c>
      <c r="S17" s="230">
        <v>0</v>
      </c>
      <c r="T17" s="230">
        <v>0</v>
      </c>
      <c r="U17" s="448"/>
      <c r="V17" s="229">
        <f t="shared" si="2"/>
        <v>154</v>
      </c>
      <c r="W17" s="204">
        <v>110</v>
      </c>
      <c r="X17" s="204"/>
      <c r="Y17" s="204"/>
      <c r="Z17" s="214">
        <f t="shared" si="1"/>
        <v>359</v>
      </c>
      <c r="AA17" s="215">
        <f t="shared" si="3"/>
        <v>221</v>
      </c>
    </row>
    <row r="18" spans="1:29" x14ac:dyDescent="0.25">
      <c r="A18" s="136" t="s">
        <v>128</v>
      </c>
      <c r="B18" s="137" t="s">
        <v>332</v>
      </c>
      <c r="C18" s="230">
        <v>514</v>
      </c>
      <c r="D18" s="230">
        <v>98</v>
      </c>
      <c r="E18" s="230">
        <v>168</v>
      </c>
      <c r="F18" s="230">
        <v>6</v>
      </c>
      <c r="G18" s="230">
        <v>3</v>
      </c>
      <c r="H18" s="230">
        <v>0</v>
      </c>
      <c r="I18" s="230">
        <v>0</v>
      </c>
      <c r="J18" s="230">
        <v>49</v>
      </c>
      <c r="K18" s="230">
        <v>36</v>
      </c>
      <c r="L18" s="232">
        <f t="shared" si="0"/>
        <v>874</v>
      </c>
      <c r="M18" s="230">
        <v>450</v>
      </c>
      <c r="N18" s="230">
        <v>356</v>
      </c>
      <c r="O18" s="230">
        <v>247</v>
      </c>
      <c r="P18" s="230">
        <v>25</v>
      </c>
      <c r="Q18" s="230">
        <v>4</v>
      </c>
      <c r="R18" s="230">
        <v>50</v>
      </c>
      <c r="S18" s="230">
        <v>0</v>
      </c>
      <c r="T18" s="230">
        <v>0</v>
      </c>
      <c r="U18" s="448"/>
      <c r="V18" s="229">
        <f>SUM(M18:U18)</f>
        <v>1132</v>
      </c>
      <c r="W18" s="205"/>
      <c r="X18" s="204"/>
      <c r="Y18" s="204"/>
      <c r="Z18" s="214">
        <f t="shared" si="1"/>
        <v>2006</v>
      </c>
      <c r="AA18" s="215">
        <f>C18+D18+F18+K18+M18+N18+P18+U18</f>
        <v>1485</v>
      </c>
    </row>
    <row r="19" spans="1:29" x14ac:dyDescent="0.25">
      <c r="A19" s="136" t="s">
        <v>150</v>
      </c>
      <c r="B19" s="137" t="s">
        <v>278</v>
      </c>
      <c r="C19" s="230">
        <v>1282</v>
      </c>
      <c r="D19" s="230">
        <v>221</v>
      </c>
      <c r="E19" s="230">
        <v>588</v>
      </c>
      <c r="F19" s="230">
        <v>31</v>
      </c>
      <c r="G19" s="230">
        <v>10</v>
      </c>
      <c r="H19" s="230">
        <v>0</v>
      </c>
      <c r="I19" s="230">
        <v>0</v>
      </c>
      <c r="J19" s="230">
        <v>47</v>
      </c>
      <c r="K19" s="230">
        <v>0</v>
      </c>
      <c r="L19" s="232">
        <f t="shared" si="0"/>
        <v>2179</v>
      </c>
      <c r="M19" s="230">
        <v>409</v>
      </c>
      <c r="N19" s="230">
        <v>197</v>
      </c>
      <c r="O19" s="230">
        <v>98</v>
      </c>
      <c r="P19" s="230">
        <v>11</v>
      </c>
      <c r="Q19" s="230">
        <v>25</v>
      </c>
      <c r="R19" s="230">
        <v>29</v>
      </c>
      <c r="S19" s="230">
        <v>0</v>
      </c>
      <c r="T19" s="230">
        <v>6</v>
      </c>
      <c r="U19" s="448"/>
      <c r="V19" s="229">
        <f t="shared" si="2"/>
        <v>775</v>
      </c>
      <c r="W19" s="204">
        <v>142</v>
      </c>
      <c r="X19" s="204"/>
      <c r="Y19" s="204"/>
      <c r="Z19" s="214">
        <f t="shared" si="1"/>
        <v>3096</v>
      </c>
      <c r="AA19" s="215">
        <f t="shared" si="3"/>
        <v>2151</v>
      </c>
    </row>
    <row r="20" spans="1:29" x14ac:dyDescent="0.25">
      <c r="A20" s="136" t="s">
        <v>181</v>
      </c>
      <c r="B20" s="137" t="s">
        <v>335</v>
      </c>
      <c r="C20" s="230">
        <v>1257</v>
      </c>
      <c r="D20" s="230">
        <v>1116</v>
      </c>
      <c r="E20" s="230">
        <v>318</v>
      </c>
      <c r="F20" s="230">
        <v>81</v>
      </c>
      <c r="G20" s="230">
        <v>84</v>
      </c>
      <c r="H20" s="230">
        <v>0</v>
      </c>
      <c r="I20" s="230">
        <v>157</v>
      </c>
      <c r="J20" s="230">
        <v>188</v>
      </c>
      <c r="K20" s="230">
        <v>0</v>
      </c>
      <c r="L20" s="232">
        <f t="shared" si="0"/>
        <v>3201</v>
      </c>
      <c r="M20" s="230">
        <v>496</v>
      </c>
      <c r="N20" s="230">
        <v>1205</v>
      </c>
      <c r="O20" s="230">
        <v>281</v>
      </c>
      <c r="P20" s="230">
        <v>57</v>
      </c>
      <c r="Q20" s="230">
        <v>52</v>
      </c>
      <c r="R20" s="230">
        <v>61</v>
      </c>
      <c r="S20" s="230">
        <v>0</v>
      </c>
      <c r="T20" s="230">
        <v>8</v>
      </c>
      <c r="U20" s="448"/>
      <c r="V20" s="229">
        <f>SUM(M20:U20)</f>
        <v>2160</v>
      </c>
      <c r="W20" s="206"/>
      <c r="X20" s="209"/>
      <c r="Y20" s="209"/>
      <c r="Z20" s="214">
        <f t="shared" si="1"/>
        <v>5361</v>
      </c>
      <c r="AA20" s="215">
        <f>C20+D20+F20+K20+M20+N20+P20+U20</f>
        <v>4212</v>
      </c>
    </row>
    <row r="21" spans="1:29" ht="12.75" customHeight="1" x14ac:dyDescent="0.25">
      <c r="A21" s="136" t="s">
        <v>184</v>
      </c>
      <c r="B21" s="137" t="s">
        <v>279</v>
      </c>
      <c r="C21" s="230">
        <v>242</v>
      </c>
      <c r="D21" s="230">
        <v>87</v>
      </c>
      <c r="E21" s="230">
        <v>71</v>
      </c>
      <c r="F21" s="230">
        <v>20</v>
      </c>
      <c r="G21" s="230">
        <v>7</v>
      </c>
      <c r="H21" s="230">
        <v>0</v>
      </c>
      <c r="I21" s="230">
        <v>112</v>
      </c>
      <c r="J21" s="230">
        <v>0</v>
      </c>
      <c r="K21" s="230">
        <v>0</v>
      </c>
      <c r="L21" s="232">
        <f t="shared" si="0"/>
        <v>539</v>
      </c>
      <c r="M21" s="230">
        <v>92</v>
      </c>
      <c r="N21" s="230">
        <v>151</v>
      </c>
      <c r="O21" s="230">
        <v>36</v>
      </c>
      <c r="P21" s="230">
        <v>9</v>
      </c>
      <c r="Q21" s="230">
        <v>6</v>
      </c>
      <c r="R21" s="230">
        <v>0</v>
      </c>
      <c r="S21" s="230">
        <v>0</v>
      </c>
      <c r="T21" s="230">
        <v>0</v>
      </c>
      <c r="U21" s="448"/>
      <c r="V21" s="229">
        <f t="shared" si="2"/>
        <v>294</v>
      </c>
      <c r="W21" s="204">
        <v>654</v>
      </c>
      <c r="X21" s="204"/>
      <c r="Y21" s="204"/>
      <c r="Z21" s="214">
        <f t="shared" si="1"/>
        <v>1487</v>
      </c>
      <c r="AA21" s="215">
        <f t="shared" si="3"/>
        <v>601</v>
      </c>
    </row>
    <row r="22" spans="1:29" ht="12.75" customHeight="1" thickBot="1" x14ac:dyDescent="0.3">
      <c r="A22" s="136" t="s">
        <v>194</v>
      </c>
      <c r="B22" s="138" t="s">
        <v>280</v>
      </c>
      <c r="C22" s="265">
        <v>0</v>
      </c>
      <c r="D22" s="265">
        <v>0</v>
      </c>
      <c r="E22" s="265">
        <v>1035</v>
      </c>
      <c r="F22" s="265">
        <v>0</v>
      </c>
      <c r="G22" s="265">
        <v>0</v>
      </c>
      <c r="H22" s="265">
        <v>0</v>
      </c>
      <c r="I22" s="265">
        <v>0</v>
      </c>
      <c r="J22" s="265">
        <v>4336</v>
      </c>
      <c r="K22" s="265">
        <v>0</v>
      </c>
      <c r="L22" s="239">
        <f t="shared" si="0"/>
        <v>5371</v>
      </c>
      <c r="M22" s="265">
        <v>0</v>
      </c>
      <c r="N22" s="265">
        <v>0</v>
      </c>
      <c r="O22" s="265">
        <v>0</v>
      </c>
      <c r="P22" s="265">
        <v>0</v>
      </c>
      <c r="Q22" s="265">
        <v>0</v>
      </c>
      <c r="R22" s="265">
        <v>0</v>
      </c>
      <c r="S22" s="265">
        <v>0</v>
      </c>
      <c r="T22" s="265">
        <v>0</v>
      </c>
      <c r="U22" s="449">
        <v>0</v>
      </c>
      <c r="V22" s="231">
        <f t="shared" si="2"/>
        <v>0</v>
      </c>
      <c r="W22" s="207"/>
      <c r="X22" s="227"/>
      <c r="Y22" s="227"/>
      <c r="Z22" s="214">
        <f t="shared" si="1"/>
        <v>5371</v>
      </c>
      <c r="AA22" s="216">
        <f t="shared" si="3"/>
        <v>0</v>
      </c>
    </row>
    <row r="23" spans="1:29" s="110" customFormat="1" ht="14.4" thickBot="1" x14ac:dyDescent="0.3">
      <c r="A23" s="134"/>
      <c r="B23" s="159" t="s">
        <v>457</v>
      </c>
      <c r="C23" s="258">
        <f t="shared" ref="C23:AA23" si="4">SUM(C6:C22)</f>
        <v>8502</v>
      </c>
      <c r="D23" s="157">
        <f t="shared" si="4"/>
        <v>3605</v>
      </c>
      <c r="E23" s="157">
        <f t="shared" si="4"/>
        <v>3339</v>
      </c>
      <c r="F23" s="159">
        <f t="shared" si="4"/>
        <v>261</v>
      </c>
      <c r="G23" s="159">
        <f t="shared" si="4"/>
        <v>242</v>
      </c>
      <c r="H23" s="159">
        <f t="shared" si="4"/>
        <v>6</v>
      </c>
      <c r="I23" s="159">
        <f t="shared" si="4"/>
        <v>353</v>
      </c>
      <c r="J23" s="159">
        <f t="shared" si="4"/>
        <v>6609</v>
      </c>
      <c r="K23" s="450">
        <f t="shared" si="4"/>
        <v>36</v>
      </c>
      <c r="L23" s="260">
        <f>SUM(L6:L22)</f>
        <v>22953</v>
      </c>
      <c r="M23" s="262">
        <f t="shared" si="4"/>
        <v>2641</v>
      </c>
      <c r="N23" s="158">
        <f t="shared" si="4"/>
        <v>4316</v>
      </c>
      <c r="O23" s="158">
        <f t="shared" si="4"/>
        <v>1582</v>
      </c>
      <c r="P23" s="158">
        <f t="shared" si="4"/>
        <v>262</v>
      </c>
      <c r="Q23" s="158">
        <f t="shared" si="4"/>
        <v>173</v>
      </c>
      <c r="R23" s="158">
        <f t="shared" si="4"/>
        <v>246</v>
      </c>
      <c r="S23" s="158">
        <f t="shared" si="4"/>
        <v>114</v>
      </c>
      <c r="T23" s="158">
        <f t="shared" si="4"/>
        <v>1575</v>
      </c>
      <c r="U23" s="264">
        <f t="shared" si="4"/>
        <v>0</v>
      </c>
      <c r="V23" s="263">
        <f t="shared" si="4"/>
        <v>10909</v>
      </c>
      <c r="W23" s="274">
        <f t="shared" si="4"/>
        <v>18321</v>
      </c>
      <c r="X23" s="208">
        <f t="shared" si="4"/>
        <v>175</v>
      </c>
      <c r="Y23" s="208">
        <f t="shared" si="4"/>
        <v>64</v>
      </c>
      <c r="Z23" s="208">
        <f t="shared" si="4"/>
        <v>52422</v>
      </c>
      <c r="AA23" s="208">
        <f t="shared" si="4"/>
        <v>19623</v>
      </c>
      <c r="AC23"/>
    </row>
    <row r="24" spans="1:29" x14ac:dyDescent="0.25">
      <c r="A24" s="136" t="s">
        <v>72</v>
      </c>
      <c r="B24" s="137" t="s">
        <v>356</v>
      </c>
      <c r="C24" s="280">
        <v>340</v>
      </c>
      <c r="D24" s="280">
        <v>357</v>
      </c>
      <c r="E24" s="280">
        <v>196</v>
      </c>
      <c r="F24" s="280">
        <v>12</v>
      </c>
      <c r="G24" s="280">
        <v>6</v>
      </c>
      <c r="H24" s="280">
        <v>8</v>
      </c>
      <c r="I24" s="280">
        <v>0</v>
      </c>
      <c r="J24" s="280">
        <v>24</v>
      </c>
      <c r="K24" s="280">
        <v>13</v>
      </c>
      <c r="L24" s="234">
        <f>SUM(C24:K24)</f>
        <v>956</v>
      </c>
      <c r="M24" s="280">
        <v>3</v>
      </c>
      <c r="N24" s="280">
        <v>10</v>
      </c>
      <c r="O24" s="280">
        <v>6</v>
      </c>
      <c r="P24" s="280">
        <v>0</v>
      </c>
      <c r="Q24" s="280">
        <v>0</v>
      </c>
      <c r="R24" s="280">
        <v>0</v>
      </c>
      <c r="S24" s="280">
        <v>0</v>
      </c>
      <c r="T24" s="280">
        <v>0</v>
      </c>
      <c r="U24" s="453"/>
      <c r="V24" s="256">
        <f>SUM(M24:U24)</f>
        <v>19</v>
      </c>
      <c r="W24" s="205"/>
      <c r="X24" s="204"/>
      <c r="Y24" s="204"/>
      <c r="Z24" s="214">
        <f>L24+V24+W24+X24</f>
        <v>975</v>
      </c>
      <c r="AA24" s="215">
        <f>C24+D24+F24+K24+M24+N24+P24+U24</f>
        <v>735</v>
      </c>
    </row>
    <row r="25" spans="1:29" x14ac:dyDescent="0.25">
      <c r="A25" s="136" t="s">
        <v>85</v>
      </c>
      <c r="B25" s="137" t="s">
        <v>281</v>
      </c>
      <c r="C25" s="230">
        <v>1502</v>
      </c>
      <c r="D25" s="230">
        <v>730</v>
      </c>
      <c r="E25" s="230">
        <v>358</v>
      </c>
      <c r="F25" s="230">
        <v>61</v>
      </c>
      <c r="G25" s="230">
        <v>59</v>
      </c>
      <c r="H25" s="230">
        <v>0</v>
      </c>
      <c r="I25" s="230">
        <v>0</v>
      </c>
      <c r="J25" s="230">
        <v>89</v>
      </c>
      <c r="K25" s="230">
        <v>0</v>
      </c>
      <c r="L25" s="232">
        <f t="shared" ref="L25:L36" si="5">SUM(C25:K25)</f>
        <v>2799</v>
      </c>
      <c r="M25" s="230">
        <v>757</v>
      </c>
      <c r="N25" s="230">
        <v>431</v>
      </c>
      <c r="O25" s="230">
        <v>389</v>
      </c>
      <c r="P25" s="230">
        <v>33</v>
      </c>
      <c r="Q25" s="230">
        <v>52</v>
      </c>
      <c r="R25" s="230">
        <v>0</v>
      </c>
      <c r="S25" s="230">
        <v>0</v>
      </c>
      <c r="T25" s="230">
        <v>17</v>
      </c>
      <c r="U25" s="448"/>
      <c r="V25" s="229">
        <f>SUM(M25:U25)</f>
        <v>1679</v>
      </c>
      <c r="W25" s="204">
        <v>575</v>
      </c>
      <c r="X25" s="204"/>
      <c r="Y25" s="204"/>
      <c r="Z25" s="214">
        <f t="shared" ref="Z25:Z88" si="6">L25+V25+W25+X25</f>
        <v>5053</v>
      </c>
      <c r="AA25" s="215">
        <f>C25+D25+F25+K25+M25+N25+P25+U25</f>
        <v>3514</v>
      </c>
    </row>
    <row r="26" spans="1:29" x14ac:dyDescent="0.25">
      <c r="A26" s="136" t="s">
        <v>214</v>
      </c>
      <c r="B26" s="137" t="s">
        <v>282</v>
      </c>
      <c r="C26" s="230">
        <v>460</v>
      </c>
      <c r="D26" s="230">
        <v>276</v>
      </c>
      <c r="E26" s="230">
        <v>141</v>
      </c>
      <c r="F26" s="230">
        <v>9</v>
      </c>
      <c r="G26" s="230">
        <v>3</v>
      </c>
      <c r="H26" s="230">
        <v>0</v>
      </c>
      <c r="I26" s="230">
        <v>0</v>
      </c>
      <c r="J26" s="230">
        <v>8</v>
      </c>
      <c r="K26" s="230">
        <v>0</v>
      </c>
      <c r="L26" s="232">
        <f t="shared" si="5"/>
        <v>897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448"/>
      <c r="V26" s="229">
        <f t="shared" ref="V26:V36" si="7">SUM(M26:U26)</f>
        <v>0</v>
      </c>
      <c r="W26" s="205"/>
      <c r="X26" s="204"/>
      <c r="Y26" s="204"/>
      <c r="Z26" s="214">
        <f t="shared" si="6"/>
        <v>897</v>
      </c>
      <c r="AA26" s="215">
        <f t="shared" ref="AA26:AA36" si="8">C26+D26+F26+K26+M26+N26+P26+U26</f>
        <v>745</v>
      </c>
    </row>
    <row r="27" spans="1:29" x14ac:dyDescent="0.25">
      <c r="A27" s="136" t="s">
        <v>101</v>
      </c>
      <c r="B27" s="137" t="s">
        <v>283</v>
      </c>
      <c r="C27" s="230">
        <v>3100</v>
      </c>
      <c r="D27" s="230">
        <v>657</v>
      </c>
      <c r="E27" s="230">
        <v>958</v>
      </c>
      <c r="F27" s="230">
        <v>48</v>
      </c>
      <c r="G27" s="230">
        <v>21</v>
      </c>
      <c r="H27" s="230">
        <v>0</v>
      </c>
      <c r="I27" s="230">
        <v>0</v>
      </c>
      <c r="J27" s="230">
        <v>44</v>
      </c>
      <c r="K27" s="230">
        <v>0</v>
      </c>
      <c r="L27" s="232">
        <f t="shared" si="5"/>
        <v>4828</v>
      </c>
      <c r="M27" s="230">
        <v>243</v>
      </c>
      <c r="N27" s="230">
        <v>388</v>
      </c>
      <c r="O27" s="230">
        <v>132</v>
      </c>
      <c r="P27" s="230">
        <v>4</v>
      </c>
      <c r="Q27" s="230">
        <v>41</v>
      </c>
      <c r="R27" s="230">
        <v>0</v>
      </c>
      <c r="S27" s="230">
        <v>8</v>
      </c>
      <c r="T27" s="230">
        <v>0</v>
      </c>
      <c r="U27" s="448"/>
      <c r="V27" s="229">
        <f t="shared" si="7"/>
        <v>816</v>
      </c>
      <c r="W27" s="204">
        <v>800</v>
      </c>
      <c r="X27" s="204"/>
      <c r="Y27" s="204"/>
      <c r="Z27" s="214">
        <f t="shared" si="6"/>
        <v>6444</v>
      </c>
      <c r="AA27" s="215">
        <f t="shared" si="8"/>
        <v>4440</v>
      </c>
    </row>
    <row r="28" spans="1:29" x14ac:dyDescent="0.25">
      <c r="A28" s="136" t="s">
        <v>114</v>
      </c>
      <c r="B28" s="137" t="s">
        <v>284</v>
      </c>
      <c r="C28" s="230">
        <v>773</v>
      </c>
      <c r="D28" s="230">
        <v>259</v>
      </c>
      <c r="E28" s="230">
        <v>252</v>
      </c>
      <c r="F28" s="230">
        <v>70</v>
      </c>
      <c r="G28" s="230">
        <v>35</v>
      </c>
      <c r="H28" s="230">
        <v>0</v>
      </c>
      <c r="I28" s="230">
        <v>7</v>
      </c>
      <c r="J28" s="230">
        <v>47</v>
      </c>
      <c r="K28" s="230">
        <v>0</v>
      </c>
      <c r="L28" s="232">
        <f t="shared" si="5"/>
        <v>1443</v>
      </c>
      <c r="M28" s="230">
        <v>227</v>
      </c>
      <c r="N28" s="230">
        <v>434</v>
      </c>
      <c r="O28" s="230">
        <v>157</v>
      </c>
      <c r="P28" s="230">
        <v>56</v>
      </c>
      <c r="Q28" s="230">
        <v>35</v>
      </c>
      <c r="R28" s="230">
        <v>0</v>
      </c>
      <c r="S28" s="230">
        <v>0</v>
      </c>
      <c r="T28" s="230">
        <v>0</v>
      </c>
      <c r="U28" s="448"/>
      <c r="V28" s="229">
        <f t="shared" si="7"/>
        <v>909</v>
      </c>
      <c r="W28" s="204">
        <v>565</v>
      </c>
      <c r="X28" s="204"/>
      <c r="Y28" s="204"/>
      <c r="Z28" s="214">
        <f t="shared" si="6"/>
        <v>2917</v>
      </c>
      <c r="AA28" s="215">
        <f t="shared" si="8"/>
        <v>1819</v>
      </c>
    </row>
    <row r="29" spans="1:29" x14ac:dyDescent="0.25">
      <c r="A29" s="136" t="s">
        <v>115</v>
      </c>
      <c r="B29" s="137" t="s">
        <v>285</v>
      </c>
      <c r="C29" s="230">
        <v>1611</v>
      </c>
      <c r="D29" s="230">
        <v>2079</v>
      </c>
      <c r="E29" s="230">
        <v>246</v>
      </c>
      <c r="F29" s="230">
        <v>28</v>
      </c>
      <c r="G29" s="230">
        <v>120</v>
      </c>
      <c r="H29" s="230">
        <v>0</v>
      </c>
      <c r="I29" s="230">
        <v>147</v>
      </c>
      <c r="J29" s="230">
        <v>321</v>
      </c>
      <c r="K29" s="230">
        <v>0</v>
      </c>
      <c r="L29" s="232">
        <f t="shared" si="5"/>
        <v>4552</v>
      </c>
      <c r="M29" s="230">
        <v>550</v>
      </c>
      <c r="N29" s="230">
        <v>1259</v>
      </c>
      <c r="O29" s="230">
        <v>503</v>
      </c>
      <c r="P29" s="230">
        <v>30</v>
      </c>
      <c r="Q29" s="230">
        <v>36</v>
      </c>
      <c r="R29" s="230">
        <v>90</v>
      </c>
      <c r="S29" s="230">
        <v>0</v>
      </c>
      <c r="T29" s="230">
        <v>12</v>
      </c>
      <c r="U29" s="448"/>
      <c r="V29" s="229">
        <f t="shared" si="7"/>
        <v>2480</v>
      </c>
      <c r="W29" s="204">
        <v>2236</v>
      </c>
      <c r="X29" s="204"/>
      <c r="Y29" s="204"/>
      <c r="Z29" s="214">
        <f t="shared" si="6"/>
        <v>9268</v>
      </c>
      <c r="AA29" s="215">
        <f t="shared" si="8"/>
        <v>5557</v>
      </c>
    </row>
    <row r="30" spans="1:29" x14ac:dyDescent="0.25">
      <c r="A30" s="136" t="s">
        <v>127</v>
      </c>
      <c r="B30" s="137" t="s">
        <v>286</v>
      </c>
      <c r="C30" s="230">
        <v>9750</v>
      </c>
      <c r="D30" s="230">
        <v>3264</v>
      </c>
      <c r="E30" s="230">
        <v>4680</v>
      </c>
      <c r="F30" s="230">
        <v>67</v>
      </c>
      <c r="G30" s="230">
        <v>157</v>
      </c>
      <c r="H30" s="230">
        <v>84</v>
      </c>
      <c r="I30" s="230">
        <v>13</v>
      </c>
      <c r="J30" s="230">
        <v>182</v>
      </c>
      <c r="K30" s="230">
        <v>0</v>
      </c>
      <c r="L30" s="232">
        <f t="shared" si="5"/>
        <v>18197</v>
      </c>
      <c r="M30" s="230">
        <v>275</v>
      </c>
      <c r="N30" s="230">
        <v>667</v>
      </c>
      <c r="O30" s="230">
        <v>325</v>
      </c>
      <c r="P30" s="230">
        <v>0</v>
      </c>
      <c r="Q30" s="230">
        <v>1</v>
      </c>
      <c r="R30" s="230">
        <v>0</v>
      </c>
      <c r="S30" s="230">
        <v>0</v>
      </c>
      <c r="T30" s="230">
        <v>2</v>
      </c>
      <c r="U30" s="448"/>
      <c r="V30" s="229">
        <f t="shared" si="7"/>
        <v>1270</v>
      </c>
      <c r="W30" s="204">
        <v>91</v>
      </c>
      <c r="X30" s="204"/>
      <c r="Y30" s="204"/>
      <c r="Z30" s="214">
        <f t="shared" si="6"/>
        <v>19558</v>
      </c>
      <c r="AA30" s="215">
        <f t="shared" si="8"/>
        <v>14023</v>
      </c>
    </row>
    <row r="31" spans="1:29" x14ac:dyDescent="0.25">
      <c r="A31" s="136" t="s">
        <v>129</v>
      </c>
      <c r="B31" s="137" t="s">
        <v>287</v>
      </c>
      <c r="C31" s="230">
        <v>7015</v>
      </c>
      <c r="D31" s="230">
        <v>2669</v>
      </c>
      <c r="E31" s="230">
        <v>3931</v>
      </c>
      <c r="F31" s="230">
        <v>119</v>
      </c>
      <c r="G31" s="230">
        <v>206</v>
      </c>
      <c r="H31" s="230">
        <v>0</v>
      </c>
      <c r="I31" s="230">
        <v>0</v>
      </c>
      <c r="J31" s="230">
        <v>150</v>
      </c>
      <c r="K31" s="230">
        <v>0</v>
      </c>
      <c r="L31" s="232">
        <f t="shared" si="5"/>
        <v>14090</v>
      </c>
      <c r="M31" s="230">
        <v>1880</v>
      </c>
      <c r="N31" s="230">
        <v>2729</v>
      </c>
      <c r="O31" s="230">
        <v>1702</v>
      </c>
      <c r="P31" s="230">
        <v>97</v>
      </c>
      <c r="Q31" s="230">
        <v>129</v>
      </c>
      <c r="R31" s="230">
        <v>0</v>
      </c>
      <c r="S31" s="230">
        <v>8</v>
      </c>
      <c r="T31" s="230">
        <v>13</v>
      </c>
      <c r="U31" s="448"/>
      <c r="V31" s="229">
        <f t="shared" si="7"/>
        <v>6558</v>
      </c>
      <c r="W31" s="204">
        <v>0</v>
      </c>
      <c r="X31" s="204"/>
      <c r="Y31" s="204"/>
      <c r="Z31" s="214">
        <f t="shared" si="6"/>
        <v>20648</v>
      </c>
      <c r="AA31" s="215">
        <f t="shared" si="8"/>
        <v>14509</v>
      </c>
    </row>
    <row r="32" spans="1:29" x14ac:dyDescent="0.25">
      <c r="A32" s="136" t="s">
        <v>139</v>
      </c>
      <c r="B32" s="137" t="s">
        <v>321</v>
      </c>
      <c r="C32" s="230">
        <v>1865</v>
      </c>
      <c r="D32" s="230">
        <v>1076</v>
      </c>
      <c r="E32" s="230">
        <v>1873</v>
      </c>
      <c r="F32" s="230">
        <v>34</v>
      </c>
      <c r="G32" s="230">
        <v>34</v>
      </c>
      <c r="H32" s="230">
        <v>128</v>
      </c>
      <c r="I32" s="230">
        <v>0</v>
      </c>
      <c r="J32" s="230">
        <v>127</v>
      </c>
      <c r="K32" s="230">
        <v>342</v>
      </c>
      <c r="L32" s="232">
        <f t="shared" si="5"/>
        <v>5479</v>
      </c>
      <c r="M32" s="230">
        <v>307</v>
      </c>
      <c r="N32" s="230">
        <v>611</v>
      </c>
      <c r="O32" s="230">
        <v>345</v>
      </c>
      <c r="P32" s="230">
        <v>12</v>
      </c>
      <c r="Q32" s="230">
        <v>46</v>
      </c>
      <c r="R32" s="230">
        <v>80</v>
      </c>
      <c r="S32" s="230">
        <v>0</v>
      </c>
      <c r="T32" s="230">
        <v>5</v>
      </c>
      <c r="U32" s="448"/>
      <c r="V32" s="229">
        <f>SUM(M32:U32)</f>
        <v>1406</v>
      </c>
      <c r="W32" s="204">
        <v>777</v>
      </c>
      <c r="X32" s="204"/>
      <c r="Y32" s="204"/>
      <c r="Z32" s="214">
        <f t="shared" si="6"/>
        <v>7662</v>
      </c>
      <c r="AA32" s="215">
        <f>C32+D32+F32+K32+M32+N32+P32+U32</f>
        <v>4247</v>
      </c>
    </row>
    <row r="33" spans="1:29" x14ac:dyDescent="0.25">
      <c r="A33" s="140" t="s">
        <v>151</v>
      </c>
      <c r="B33" s="161" t="s">
        <v>323</v>
      </c>
      <c r="C33" s="230">
        <v>0</v>
      </c>
      <c r="D33" s="230">
        <v>0</v>
      </c>
      <c r="E33" s="230">
        <v>280</v>
      </c>
      <c r="F33" s="230">
        <v>0</v>
      </c>
      <c r="G33" s="230">
        <v>0</v>
      </c>
      <c r="H33" s="230">
        <v>0</v>
      </c>
      <c r="I33" s="230">
        <v>0</v>
      </c>
      <c r="J33" s="230">
        <v>1288</v>
      </c>
      <c r="K33" s="230">
        <v>0</v>
      </c>
      <c r="L33" s="232">
        <f t="shared" si="5"/>
        <v>1568</v>
      </c>
      <c r="M33" s="147"/>
      <c r="N33" s="147"/>
      <c r="O33" s="147"/>
      <c r="P33" s="147"/>
      <c r="Q33" s="147"/>
      <c r="R33" s="147"/>
      <c r="S33" s="147"/>
      <c r="T33" s="147"/>
      <c r="U33" s="189"/>
      <c r="V33" s="176"/>
      <c r="W33" s="206"/>
      <c r="X33" s="209"/>
      <c r="Y33" s="209"/>
      <c r="Z33" s="214">
        <f t="shared" si="6"/>
        <v>1568</v>
      </c>
      <c r="AA33" s="215">
        <f>C33+D33+F33+K33+M33+N33+P33+U33</f>
        <v>0</v>
      </c>
    </row>
    <row r="34" spans="1:29" x14ac:dyDescent="0.25">
      <c r="A34" s="136" t="s">
        <v>170</v>
      </c>
      <c r="B34" s="137" t="s">
        <v>288</v>
      </c>
      <c r="C34" s="230">
        <v>6983</v>
      </c>
      <c r="D34" s="230">
        <v>2127</v>
      </c>
      <c r="E34" s="230">
        <v>3269</v>
      </c>
      <c r="F34" s="230">
        <v>30</v>
      </c>
      <c r="G34" s="230">
        <v>255</v>
      </c>
      <c r="H34" s="230">
        <v>0</v>
      </c>
      <c r="I34" s="230">
        <v>98</v>
      </c>
      <c r="J34" s="230">
        <v>165</v>
      </c>
      <c r="K34" s="230">
        <v>0</v>
      </c>
      <c r="L34" s="232">
        <f t="shared" si="5"/>
        <v>12927</v>
      </c>
      <c r="M34" s="230">
        <v>0</v>
      </c>
      <c r="N34" s="230">
        <v>0</v>
      </c>
      <c r="O34" s="230">
        <v>0</v>
      </c>
      <c r="P34" s="230">
        <v>0</v>
      </c>
      <c r="Q34" s="230">
        <v>0</v>
      </c>
      <c r="R34" s="230">
        <v>0</v>
      </c>
      <c r="S34" s="230">
        <v>0</v>
      </c>
      <c r="T34" s="230">
        <v>0</v>
      </c>
      <c r="U34" s="389"/>
      <c r="V34" s="229">
        <f t="shared" si="7"/>
        <v>0</v>
      </c>
      <c r="W34" s="209">
        <v>237</v>
      </c>
      <c r="X34" s="209"/>
      <c r="Y34" s="209"/>
      <c r="Z34" s="214">
        <f t="shared" si="6"/>
        <v>13164</v>
      </c>
      <c r="AA34" s="217">
        <f t="shared" si="8"/>
        <v>9140</v>
      </c>
    </row>
    <row r="35" spans="1:29" x14ac:dyDescent="0.25">
      <c r="A35" s="136" t="s">
        <v>171</v>
      </c>
      <c r="B35" s="228" t="s">
        <v>324</v>
      </c>
      <c r="C35" s="230">
        <v>1329</v>
      </c>
      <c r="D35" s="230">
        <v>721</v>
      </c>
      <c r="E35" s="230">
        <v>733</v>
      </c>
      <c r="F35" s="230">
        <v>62</v>
      </c>
      <c r="G35" s="230">
        <v>56</v>
      </c>
      <c r="H35" s="230">
        <v>12</v>
      </c>
      <c r="I35" s="230">
        <v>37</v>
      </c>
      <c r="J35" s="230">
        <v>204</v>
      </c>
      <c r="K35" s="230">
        <v>0</v>
      </c>
      <c r="L35" s="232">
        <f t="shared" si="5"/>
        <v>3154</v>
      </c>
      <c r="M35" s="230">
        <v>763</v>
      </c>
      <c r="N35" s="230">
        <v>810</v>
      </c>
      <c r="O35" s="230">
        <v>620</v>
      </c>
      <c r="P35" s="230">
        <v>33</v>
      </c>
      <c r="Q35" s="230">
        <v>41</v>
      </c>
      <c r="R35" s="230">
        <v>46</v>
      </c>
      <c r="S35" s="230">
        <v>0</v>
      </c>
      <c r="T35" s="230">
        <v>10</v>
      </c>
      <c r="U35" s="389"/>
      <c r="V35" s="229">
        <f>SUM(M35:U35)</f>
        <v>2323</v>
      </c>
      <c r="W35" s="204">
        <f>1885+2451</f>
        <v>4336</v>
      </c>
      <c r="X35" s="204"/>
      <c r="Y35" s="204"/>
      <c r="Z35" s="214">
        <f t="shared" si="6"/>
        <v>9813</v>
      </c>
      <c r="AA35" s="215">
        <f>C35+D35+F35+K35+M35+N35+P35+U35</f>
        <v>3718</v>
      </c>
    </row>
    <row r="36" spans="1:29" ht="13.8" thickBot="1" x14ac:dyDescent="0.3">
      <c r="A36" s="136" t="s">
        <v>362</v>
      </c>
      <c r="B36" s="137" t="s">
        <v>289</v>
      </c>
      <c r="C36" s="265">
        <v>203</v>
      </c>
      <c r="D36" s="265">
        <v>159</v>
      </c>
      <c r="E36" s="265">
        <v>294</v>
      </c>
      <c r="F36" s="265">
        <v>20</v>
      </c>
      <c r="G36" s="265">
        <v>7</v>
      </c>
      <c r="H36" s="265">
        <v>0</v>
      </c>
      <c r="I36" s="265">
        <v>0</v>
      </c>
      <c r="J36" s="265">
        <v>159</v>
      </c>
      <c r="K36" s="265">
        <v>0</v>
      </c>
      <c r="L36" s="239">
        <f t="shared" si="5"/>
        <v>842</v>
      </c>
      <c r="M36" s="265">
        <v>0</v>
      </c>
      <c r="N36" s="265">
        <v>0</v>
      </c>
      <c r="O36" s="265">
        <v>0</v>
      </c>
      <c r="P36" s="265">
        <v>0</v>
      </c>
      <c r="Q36" s="265">
        <v>0</v>
      </c>
      <c r="R36" s="265">
        <v>0</v>
      </c>
      <c r="S36" s="265">
        <v>0</v>
      </c>
      <c r="T36" s="265">
        <v>0</v>
      </c>
      <c r="U36" s="528"/>
      <c r="V36" s="231">
        <f t="shared" si="7"/>
        <v>0</v>
      </c>
      <c r="W36" s="206"/>
      <c r="X36" s="209"/>
      <c r="Y36" s="209"/>
      <c r="Z36" s="214">
        <f t="shared" si="6"/>
        <v>842</v>
      </c>
      <c r="AA36" s="217">
        <f t="shared" si="8"/>
        <v>382</v>
      </c>
    </row>
    <row r="37" spans="1:29" s="109" customFormat="1" ht="14.4" thickBot="1" x14ac:dyDescent="0.3">
      <c r="A37" s="134"/>
      <c r="B37" s="159" t="s">
        <v>458</v>
      </c>
      <c r="C37" s="377">
        <f t="shared" ref="C37:AA37" si="9">SUM(C24:C36)</f>
        <v>34931</v>
      </c>
      <c r="D37" s="378">
        <f t="shared" si="9"/>
        <v>14374</v>
      </c>
      <c r="E37" s="378">
        <f t="shared" si="9"/>
        <v>17211</v>
      </c>
      <c r="F37" s="452">
        <f t="shared" si="9"/>
        <v>560</v>
      </c>
      <c r="G37" s="452">
        <f t="shared" si="9"/>
        <v>959</v>
      </c>
      <c r="H37" s="452">
        <f t="shared" si="9"/>
        <v>232</v>
      </c>
      <c r="I37" s="452">
        <f t="shared" si="9"/>
        <v>302</v>
      </c>
      <c r="J37" s="452">
        <f t="shared" si="9"/>
        <v>2808</v>
      </c>
      <c r="K37" s="527">
        <f t="shared" si="9"/>
        <v>355</v>
      </c>
      <c r="L37" s="260">
        <f t="shared" si="9"/>
        <v>71732</v>
      </c>
      <c r="M37" s="327">
        <f t="shared" si="9"/>
        <v>5005</v>
      </c>
      <c r="N37" s="328">
        <f t="shared" si="9"/>
        <v>7339</v>
      </c>
      <c r="O37" s="328">
        <f t="shared" si="9"/>
        <v>4179</v>
      </c>
      <c r="P37" s="328">
        <f t="shared" si="9"/>
        <v>265</v>
      </c>
      <c r="Q37" s="328">
        <f t="shared" si="9"/>
        <v>381</v>
      </c>
      <c r="R37" s="328">
        <f t="shared" si="9"/>
        <v>216</v>
      </c>
      <c r="S37" s="328">
        <f t="shared" si="9"/>
        <v>16</v>
      </c>
      <c r="T37" s="328">
        <f t="shared" si="9"/>
        <v>59</v>
      </c>
      <c r="U37" s="329">
        <f t="shared" si="9"/>
        <v>0</v>
      </c>
      <c r="V37" s="180">
        <f t="shared" si="9"/>
        <v>17460</v>
      </c>
      <c r="W37" s="210">
        <f t="shared" si="9"/>
        <v>9617</v>
      </c>
      <c r="X37" s="210">
        <f t="shared" si="9"/>
        <v>0</v>
      </c>
      <c r="Y37" s="210">
        <f t="shared" si="9"/>
        <v>0</v>
      </c>
      <c r="Z37" s="210">
        <f t="shared" si="9"/>
        <v>98809</v>
      </c>
      <c r="AA37" s="210">
        <f t="shared" si="9"/>
        <v>62829</v>
      </c>
      <c r="AC37"/>
    </row>
    <row r="38" spans="1:29" x14ac:dyDescent="0.25">
      <c r="A38" s="136" t="s">
        <v>70</v>
      </c>
      <c r="B38" s="137" t="s">
        <v>313</v>
      </c>
      <c r="C38" s="230">
        <v>726</v>
      </c>
      <c r="D38" s="230">
        <v>1314</v>
      </c>
      <c r="E38" s="230">
        <v>351</v>
      </c>
      <c r="F38" s="230">
        <v>35</v>
      </c>
      <c r="G38" s="230">
        <v>81</v>
      </c>
      <c r="H38" s="230">
        <v>0</v>
      </c>
      <c r="I38" s="230">
        <v>0</v>
      </c>
      <c r="J38" s="230">
        <v>177</v>
      </c>
      <c r="K38" s="230">
        <v>235</v>
      </c>
      <c r="L38" s="234">
        <f t="shared" ref="L38:L54" si="10">SUM(C38:K38)</f>
        <v>2919</v>
      </c>
      <c r="M38" s="230">
        <v>1083</v>
      </c>
      <c r="N38" s="230">
        <v>1115</v>
      </c>
      <c r="O38" s="230">
        <v>562</v>
      </c>
      <c r="P38" s="230">
        <v>69</v>
      </c>
      <c r="Q38" s="230">
        <v>38</v>
      </c>
      <c r="R38" s="230">
        <v>16</v>
      </c>
      <c r="S38" s="230">
        <v>0</v>
      </c>
      <c r="T38" s="230">
        <v>2</v>
      </c>
      <c r="U38" s="230">
        <v>32</v>
      </c>
      <c r="V38" s="256">
        <f t="shared" ref="V38:V52" si="11">SUM(M38:U38)</f>
        <v>2917</v>
      </c>
      <c r="W38" s="211">
        <v>1103</v>
      </c>
      <c r="X38" s="211">
        <v>752</v>
      </c>
      <c r="Y38" s="211">
        <v>410</v>
      </c>
      <c r="Z38" s="214">
        <f>L38+V38+W38+X38+Y38</f>
        <v>8101</v>
      </c>
      <c r="AA38" s="215">
        <f t="shared" ref="AA38:AA48" si="12">C38+D38+F38+K38+M38+N38+P38+U38</f>
        <v>4609</v>
      </c>
    </row>
    <row r="39" spans="1:29" x14ac:dyDescent="0.25">
      <c r="A39" s="136" t="s">
        <v>75</v>
      </c>
      <c r="B39" s="228" t="s">
        <v>336</v>
      </c>
      <c r="C39" s="230">
        <v>4813</v>
      </c>
      <c r="D39" s="230">
        <v>2625</v>
      </c>
      <c r="E39" s="230">
        <v>2758</v>
      </c>
      <c r="F39" s="230">
        <v>132</v>
      </c>
      <c r="G39" s="230">
        <v>161</v>
      </c>
      <c r="H39" s="230">
        <v>6</v>
      </c>
      <c r="I39" s="230">
        <v>0</v>
      </c>
      <c r="J39" s="230">
        <v>350</v>
      </c>
      <c r="K39" s="230">
        <v>0</v>
      </c>
      <c r="L39" s="232">
        <f t="shared" si="10"/>
        <v>10845</v>
      </c>
      <c r="M39" s="230">
        <v>686</v>
      </c>
      <c r="N39" s="230">
        <v>1657</v>
      </c>
      <c r="O39" s="230">
        <v>880</v>
      </c>
      <c r="P39" s="230">
        <v>34</v>
      </c>
      <c r="Q39" s="230">
        <v>79</v>
      </c>
      <c r="R39" s="230">
        <v>0</v>
      </c>
      <c r="S39" s="230">
        <v>0</v>
      </c>
      <c r="T39" s="230">
        <v>19</v>
      </c>
      <c r="U39" s="230">
        <v>0</v>
      </c>
      <c r="V39" s="229">
        <f t="shared" si="11"/>
        <v>3355</v>
      </c>
      <c r="W39" s="204">
        <v>1164</v>
      </c>
      <c r="X39" s="204"/>
      <c r="Y39" s="204"/>
      <c r="Z39" s="214">
        <f t="shared" ref="Z39:Z54" si="13">L39+V39+W39+X39+Y39</f>
        <v>15364</v>
      </c>
      <c r="AA39" s="215">
        <f t="shared" si="12"/>
        <v>9947</v>
      </c>
    </row>
    <row r="40" spans="1:29" x14ac:dyDescent="0.25">
      <c r="A40" s="136" t="s">
        <v>78</v>
      </c>
      <c r="B40" s="137" t="s">
        <v>314</v>
      </c>
      <c r="C40" s="230">
        <v>421</v>
      </c>
      <c r="D40" s="230">
        <v>638</v>
      </c>
      <c r="E40" s="230">
        <v>211</v>
      </c>
      <c r="F40" s="230">
        <v>19</v>
      </c>
      <c r="G40" s="230">
        <v>41</v>
      </c>
      <c r="H40" s="230">
        <v>0</v>
      </c>
      <c r="I40" s="230">
        <v>631</v>
      </c>
      <c r="J40" s="230">
        <v>108</v>
      </c>
      <c r="K40" s="230">
        <v>155</v>
      </c>
      <c r="L40" s="232">
        <f t="shared" si="10"/>
        <v>2224</v>
      </c>
      <c r="M40" s="230">
        <v>455</v>
      </c>
      <c r="N40" s="230">
        <v>626</v>
      </c>
      <c r="O40" s="230">
        <v>300</v>
      </c>
      <c r="P40" s="230">
        <v>39</v>
      </c>
      <c r="Q40" s="230">
        <v>33</v>
      </c>
      <c r="R40" s="230">
        <v>0</v>
      </c>
      <c r="S40" s="230">
        <v>0</v>
      </c>
      <c r="T40" s="230">
        <v>2</v>
      </c>
      <c r="U40" s="230">
        <v>17</v>
      </c>
      <c r="V40" s="229">
        <f t="shared" si="11"/>
        <v>1472</v>
      </c>
      <c r="W40" s="204">
        <v>741</v>
      </c>
      <c r="X40" s="204"/>
      <c r="Y40" s="204"/>
      <c r="Z40" s="214">
        <f t="shared" si="13"/>
        <v>4437</v>
      </c>
      <c r="AA40" s="215">
        <f t="shared" si="12"/>
        <v>2370</v>
      </c>
    </row>
    <row r="41" spans="1:29" x14ac:dyDescent="0.25">
      <c r="A41" s="136" t="s">
        <v>88</v>
      </c>
      <c r="B41" s="137" t="s">
        <v>337</v>
      </c>
      <c r="C41" s="230">
        <v>1854</v>
      </c>
      <c r="D41" s="230">
        <v>616</v>
      </c>
      <c r="E41" s="230">
        <v>559</v>
      </c>
      <c r="F41" s="230">
        <v>37</v>
      </c>
      <c r="G41" s="230">
        <v>69</v>
      </c>
      <c r="H41" s="230">
        <v>0</v>
      </c>
      <c r="I41" s="230">
        <v>4</v>
      </c>
      <c r="J41" s="230">
        <v>50</v>
      </c>
      <c r="K41" s="230">
        <v>0</v>
      </c>
      <c r="L41" s="232">
        <f t="shared" si="10"/>
        <v>3189</v>
      </c>
      <c r="M41" s="230">
        <v>1417</v>
      </c>
      <c r="N41" s="230">
        <v>631</v>
      </c>
      <c r="O41" s="230">
        <v>637</v>
      </c>
      <c r="P41" s="230">
        <v>9</v>
      </c>
      <c r="Q41" s="230">
        <v>59</v>
      </c>
      <c r="R41" s="230">
        <v>77</v>
      </c>
      <c r="S41" s="230">
        <v>0</v>
      </c>
      <c r="T41" s="230">
        <v>2</v>
      </c>
      <c r="U41" s="230">
        <v>0</v>
      </c>
      <c r="V41" s="229">
        <f t="shared" si="11"/>
        <v>2832</v>
      </c>
      <c r="W41" s="204">
        <v>991</v>
      </c>
      <c r="X41" s="204"/>
      <c r="Y41" s="204"/>
      <c r="Z41" s="214">
        <f t="shared" si="13"/>
        <v>7012</v>
      </c>
      <c r="AA41" s="215">
        <f t="shared" si="12"/>
        <v>4564</v>
      </c>
    </row>
    <row r="42" spans="1:29" x14ac:dyDescent="0.25">
      <c r="A42" s="136" t="s">
        <v>99</v>
      </c>
      <c r="B42" s="137" t="s">
        <v>338</v>
      </c>
      <c r="C42" s="230">
        <v>10972</v>
      </c>
      <c r="D42" s="230">
        <v>1925</v>
      </c>
      <c r="E42" s="230">
        <v>2289</v>
      </c>
      <c r="F42" s="230">
        <v>157</v>
      </c>
      <c r="G42" s="230">
        <v>193</v>
      </c>
      <c r="H42" s="230">
        <f>96+16</f>
        <v>112</v>
      </c>
      <c r="I42" s="230">
        <v>506</v>
      </c>
      <c r="J42" s="230">
        <v>318</v>
      </c>
      <c r="K42" s="230">
        <v>0</v>
      </c>
      <c r="L42" s="232">
        <f t="shared" si="10"/>
        <v>16472</v>
      </c>
      <c r="M42" s="230">
        <v>941</v>
      </c>
      <c r="N42" s="230">
        <v>440</v>
      </c>
      <c r="O42" s="230">
        <v>386</v>
      </c>
      <c r="P42" s="230">
        <v>9</v>
      </c>
      <c r="Q42" s="230">
        <v>16</v>
      </c>
      <c r="R42" s="230">
        <v>56</v>
      </c>
      <c r="S42" s="230">
        <v>80</v>
      </c>
      <c r="T42" s="230">
        <v>7</v>
      </c>
      <c r="U42" s="230">
        <v>0</v>
      </c>
      <c r="V42" s="229">
        <f t="shared" si="11"/>
        <v>1935</v>
      </c>
      <c r="W42" s="204">
        <v>623</v>
      </c>
      <c r="X42" s="204"/>
      <c r="Y42" s="204"/>
      <c r="Z42" s="214">
        <f t="shared" si="13"/>
        <v>19030</v>
      </c>
      <c r="AA42" s="215">
        <f t="shared" si="12"/>
        <v>14444</v>
      </c>
    </row>
    <row r="43" spans="1:29" x14ac:dyDescent="0.25">
      <c r="A43" s="136" t="s">
        <v>113</v>
      </c>
      <c r="B43" s="137" t="s">
        <v>339</v>
      </c>
      <c r="C43" s="230">
        <v>14289</v>
      </c>
      <c r="D43" s="230">
        <v>11317</v>
      </c>
      <c r="E43" s="230">
        <v>7259</v>
      </c>
      <c r="F43" s="230">
        <v>133</v>
      </c>
      <c r="G43" s="230">
        <v>184</v>
      </c>
      <c r="H43" s="230">
        <v>28</v>
      </c>
      <c r="I43" s="230">
        <v>0</v>
      </c>
      <c r="J43" s="230">
        <v>256</v>
      </c>
      <c r="K43" s="230">
        <v>0</v>
      </c>
      <c r="L43" s="232">
        <f t="shared" si="10"/>
        <v>33466</v>
      </c>
      <c r="M43" s="230">
        <v>8009</v>
      </c>
      <c r="N43" s="230">
        <v>25141</v>
      </c>
      <c r="O43" s="230">
        <v>12431</v>
      </c>
      <c r="P43" s="230">
        <v>214</v>
      </c>
      <c r="Q43" s="230">
        <v>331</v>
      </c>
      <c r="R43" s="230">
        <v>155</v>
      </c>
      <c r="S43" s="230">
        <v>0</v>
      </c>
      <c r="T43" s="230">
        <v>47</v>
      </c>
      <c r="U43" s="230">
        <v>0</v>
      </c>
      <c r="V43" s="229">
        <f t="shared" si="11"/>
        <v>46328</v>
      </c>
      <c r="W43" s="204">
        <v>1564</v>
      </c>
      <c r="X43" s="204"/>
      <c r="Y43" s="204"/>
      <c r="Z43" s="214">
        <f t="shared" si="13"/>
        <v>81358</v>
      </c>
      <c r="AA43" s="215">
        <f t="shared" si="12"/>
        <v>59103</v>
      </c>
    </row>
    <row r="44" spans="1:29" x14ac:dyDescent="0.25">
      <c r="A44" s="136" t="s">
        <v>116</v>
      </c>
      <c r="B44" s="137" t="s">
        <v>316</v>
      </c>
      <c r="C44" s="230">
        <v>1747</v>
      </c>
      <c r="D44" s="230">
        <v>1724</v>
      </c>
      <c r="E44" s="230">
        <v>547</v>
      </c>
      <c r="F44" s="230">
        <v>38</v>
      </c>
      <c r="G44" s="230">
        <v>228</v>
      </c>
      <c r="H44" s="230">
        <v>1</v>
      </c>
      <c r="I44" s="230">
        <v>160</v>
      </c>
      <c r="J44" s="230">
        <v>71</v>
      </c>
      <c r="K44" s="230">
        <v>73</v>
      </c>
      <c r="L44" s="232">
        <f t="shared" si="10"/>
        <v>4589</v>
      </c>
      <c r="M44" s="230">
        <v>56</v>
      </c>
      <c r="N44" s="230">
        <v>26</v>
      </c>
      <c r="O44" s="230">
        <v>28</v>
      </c>
      <c r="P44" s="230">
        <v>2</v>
      </c>
      <c r="Q44" s="230">
        <v>2</v>
      </c>
      <c r="R44" s="230">
        <v>0</v>
      </c>
      <c r="S44" s="230">
        <v>0</v>
      </c>
      <c r="T44" s="230">
        <v>0</v>
      </c>
      <c r="U44" s="230">
        <v>0</v>
      </c>
      <c r="V44" s="229">
        <f t="shared" si="11"/>
        <v>114</v>
      </c>
      <c r="W44" s="204">
        <v>853</v>
      </c>
      <c r="X44" s="204"/>
      <c r="Y44" s="204"/>
      <c r="Z44" s="214">
        <f t="shared" si="13"/>
        <v>5556</v>
      </c>
      <c r="AA44" s="215">
        <f t="shared" si="12"/>
        <v>3666</v>
      </c>
    </row>
    <row r="45" spans="1:29" x14ac:dyDescent="0.25">
      <c r="A45" s="136" t="s">
        <v>117</v>
      </c>
      <c r="B45" s="137" t="s">
        <v>317</v>
      </c>
      <c r="C45" s="230">
        <v>9265</v>
      </c>
      <c r="D45" s="230">
        <v>4131</v>
      </c>
      <c r="E45" s="230">
        <v>6475</v>
      </c>
      <c r="F45" s="230">
        <v>141</v>
      </c>
      <c r="G45" s="230">
        <v>395</v>
      </c>
      <c r="H45" s="230">
        <v>25</v>
      </c>
      <c r="I45" s="230">
        <v>247</v>
      </c>
      <c r="J45" s="230">
        <v>318</v>
      </c>
      <c r="K45" s="230">
        <v>0</v>
      </c>
      <c r="L45" s="232">
        <f t="shared" si="10"/>
        <v>20997</v>
      </c>
      <c r="M45" s="230">
        <v>905</v>
      </c>
      <c r="N45" s="230">
        <v>1894</v>
      </c>
      <c r="O45" s="230">
        <v>1277</v>
      </c>
      <c r="P45" s="230">
        <v>33</v>
      </c>
      <c r="Q45" s="230">
        <v>49</v>
      </c>
      <c r="R45" s="230">
        <v>60</v>
      </c>
      <c r="S45" s="230">
        <v>0</v>
      </c>
      <c r="T45" s="230">
        <v>36</v>
      </c>
      <c r="U45" s="230">
        <v>0</v>
      </c>
      <c r="V45" s="229">
        <f t="shared" si="11"/>
        <v>4254</v>
      </c>
      <c r="W45" s="204">
        <v>980</v>
      </c>
      <c r="X45" s="204"/>
      <c r="Y45" s="204"/>
      <c r="Z45" s="214">
        <f t="shared" si="13"/>
        <v>26231</v>
      </c>
      <c r="AA45" s="215">
        <f t="shared" si="12"/>
        <v>16369</v>
      </c>
    </row>
    <row r="46" spans="1:29" x14ac:dyDescent="0.25">
      <c r="A46" s="136" t="s">
        <v>118</v>
      </c>
      <c r="B46" s="137" t="s">
        <v>340</v>
      </c>
      <c r="C46" s="230">
        <v>178</v>
      </c>
      <c r="D46" s="230">
        <v>343</v>
      </c>
      <c r="E46" s="230">
        <v>51</v>
      </c>
      <c r="F46" s="230">
        <v>14</v>
      </c>
      <c r="G46" s="230">
        <v>9</v>
      </c>
      <c r="H46" s="230">
        <v>0</v>
      </c>
      <c r="I46" s="230">
        <v>0</v>
      </c>
      <c r="J46" s="230">
        <v>96</v>
      </c>
      <c r="K46" s="230">
        <v>0</v>
      </c>
      <c r="L46" s="232">
        <f t="shared" si="10"/>
        <v>691</v>
      </c>
      <c r="M46" s="230">
        <v>73</v>
      </c>
      <c r="N46" s="230">
        <v>99</v>
      </c>
      <c r="O46" s="230">
        <v>26</v>
      </c>
      <c r="P46" s="230">
        <v>11</v>
      </c>
      <c r="Q46" s="230">
        <v>4</v>
      </c>
      <c r="R46" s="230">
        <v>104</v>
      </c>
      <c r="S46" s="230">
        <v>0</v>
      </c>
      <c r="T46" s="230">
        <v>0</v>
      </c>
      <c r="U46" s="230">
        <v>0</v>
      </c>
      <c r="V46" s="229">
        <f t="shared" si="11"/>
        <v>317</v>
      </c>
      <c r="W46" s="204">
        <v>209</v>
      </c>
      <c r="X46" s="204">
        <v>81</v>
      </c>
      <c r="Y46" s="204">
        <v>16</v>
      </c>
      <c r="Z46" s="214">
        <f t="shared" si="13"/>
        <v>1314</v>
      </c>
      <c r="AA46" s="215">
        <f t="shared" si="12"/>
        <v>718</v>
      </c>
    </row>
    <row r="47" spans="1:29" x14ac:dyDescent="0.25">
      <c r="A47" s="136" t="s">
        <v>122</v>
      </c>
      <c r="B47" s="137" t="s">
        <v>341</v>
      </c>
      <c r="C47" s="230">
        <v>5479</v>
      </c>
      <c r="D47" s="230">
        <v>2892</v>
      </c>
      <c r="E47" s="230">
        <v>2067</v>
      </c>
      <c r="F47" s="230">
        <v>134</v>
      </c>
      <c r="G47" s="230">
        <v>242</v>
      </c>
      <c r="H47" s="230">
        <f>18+16</f>
        <v>34</v>
      </c>
      <c r="I47" s="230">
        <v>120</v>
      </c>
      <c r="J47" s="230">
        <v>849</v>
      </c>
      <c r="K47" s="230">
        <v>2</v>
      </c>
      <c r="L47" s="232">
        <f t="shared" si="10"/>
        <v>11819</v>
      </c>
      <c r="M47" s="230">
        <v>4445</v>
      </c>
      <c r="N47" s="230">
        <v>7185</v>
      </c>
      <c r="O47" s="230">
        <v>4176</v>
      </c>
      <c r="P47" s="230">
        <v>213</v>
      </c>
      <c r="Q47" s="230">
        <v>270</v>
      </c>
      <c r="R47" s="230">
        <v>293</v>
      </c>
      <c r="S47" s="230">
        <v>0</v>
      </c>
      <c r="T47" s="230">
        <v>32</v>
      </c>
      <c r="U47" s="230">
        <v>6</v>
      </c>
      <c r="V47" s="229">
        <f t="shared" si="11"/>
        <v>16620</v>
      </c>
      <c r="W47" s="204">
        <v>1018</v>
      </c>
      <c r="X47" s="204"/>
      <c r="Y47" s="204"/>
      <c r="Z47" s="214">
        <f t="shared" si="13"/>
        <v>29457</v>
      </c>
      <c r="AA47" s="215">
        <f t="shared" si="12"/>
        <v>20356</v>
      </c>
    </row>
    <row r="48" spans="1:29" ht="12.75" customHeight="1" x14ac:dyDescent="0.25">
      <c r="A48" s="136" t="s">
        <v>140</v>
      </c>
      <c r="B48" s="137" t="s">
        <v>265</v>
      </c>
      <c r="C48" s="230"/>
      <c r="D48" s="128"/>
      <c r="E48" s="128"/>
      <c r="F48" s="128"/>
      <c r="G48" s="128"/>
      <c r="H48" s="128"/>
      <c r="I48" s="128"/>
      <c r="J48" s="128"/>
      <c r="K48" s="128"/>
      <c r="L48" s="232">
        <f t="shared" si="10"/>
        <v>0</v>
      </c>
      <c r="M48" s="147"/>
      <c r="N48" s="147"/>
      <c r="O48" s="147"/>
      <c r="P48" s="147"/>
      <c r="Q48" s="147"/>
      <c r="R48" s="147"/>
      <c r="S48" s="147"/>
      <c r="T48" s="147"/>
      <c r="U48" s="147"/>
      <c r="V48" s="229">
        <f t="shared" si="11"/>
        <v>0</v>
      </c>
      <c r="W48" s="205"/>
      <c r="X48" s="204">
        <f>3733+5020</f>
        <v>8753</v>
      </c>
      <c r="Y48" s="204">
        <f>884+1684</f>
        <v>2568</v>
      </c>
      <c r="Z48" s="214">
        <f t="shared" si="13"/>
        <v>11321</v>
      </c>
      <c r="AA48" s="215">
        <f t="shared" si="12"/>
        <v>0</v>
      </c>
    </row>
    <row r="49" spans="1:29" x14ac:dyDescent="0.25">
      <c r="A49" s="136" t="s">
        <v>141</v>
      </c>
      <c r="B49" s="137" t="s">
        <v>342</v>
      </c>
      <c r="C49" s="230">
        <v>962</v>
      </c>
      <c r="D49" s="230">
        <v>752</v>
      </c>
      <c r="E49" s="230">
        <v>342</v>
      </c>
      <c r="F49" s="230">
        <v>55</v>
      </c>
      <c r="G49" s="230">
        <v>34</v>
      </c>
      <c r="H49" s="230">
        <v>0</v>
      </c>
      <c r="I49" s="230">
        <v>0</v>
      </c>
      <c r="J49" s="230">
        <v>96</v>
      </c>
      <c r="K49" s="230">
        <v>0</v>
      </c>
      <c r="L49" s="232">
        <f t="shared" si="10"/>
        <v>2241</v>
      </c>
      <c r="M49" s="230">
        <v>393</v>
      </c>
      <c r="N49" s="230">
        <v>1099</v>
      </c>
      <c r="O49" s="230">
        <v>472</v>
      </c>
      <c r="P49" s="230">
        <v>32</v>
      </c>
      <c r="Q49" s="230">
        <v>10</v>
      </c>
      <c r="R49" s="230">
        <v>14</v>
      </c>
      <c r="S49" s="230">
        <v>0</v>
      </c>
      <c r="T49" s="230">
        <v>2</v>
      </c>
      <c r="U49" s="230">
        <v>0</v>
      </c>
      <c r="V49" s="229">
        <f t="shared" si="11"/>
        <v>2022</v>
      </c>
      <c r="W49" s="233">
        <v>963</v>
      </c>
      <c r="X49" s="204"/>
      <c r="Y49" s="204"/>
      <c r="Z49" s="214">
        <f t="shared" si="13"/>
        <v>5226</v>
      </c>
      <c r="AA49" s="215">
        <f t="shared" ref="AA49:AA54" si="14">C49+D49+F49+K49+M49+N49+P49+U49</f>
        <v>3293</v>
      </c>
    </row>
    <row r="50" spans="1:29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2116</v>
      </c>
      <c r="F50" s="230">
        <v>0</v>
      </c>
      <c r="G50" s="230">
        <v>0</v>
      </c>
      <c r="H50" s="230">
        <v>340</v>
      </c>
      <c r="I50" s="230">
        <v>0</v>
      </c>
      <c r="J50" s="230">
        <v>8678</v>
      </c>
      <c r="K50" s="230">
        <v>0</v>
      </c>
      <c r="L50" s="232">
        <f t="shared" si="10"/>
        <v>11134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230">
        <v>0</v>
      </c>
      <c r="V50" s="229">
        <f t="shared" si="11"/>
        <v>0</v>
      </c>
      <c r="W50" s="233">
        <f>343+268</f>
        <v>611</v>
      </c>
      <c r="X50" s="204"/>
      <c r="Y50" s="204"/>
      <c r="Z50" s="214">
        <f t="shared" si="13"/>
        <v>11745</v>
      </c>
      <c r="AA50" s="215">
        <f t="shared" si="14"/>
        <v>0</v>
      </c>
    </row>
    <row r="51" spans="1:29" x14ac:dyDescent="0.25">
      <c r="A51" s="136" t="s">
        <v>147</v>
      </c>
      <c r="B51" s="137" t="s">
        <v>322</v>
      </c>
      <c r="C51" s="230">
        <v>12980</v>
      </c>
      <c r="D51" s="230">
        <v>3191</v>
      </c>
      <c r="E51" s="230">
        <v>3136</v>
      </c>
      <c r="F51" s="230">
        <v>82</v>
      </c>
      <c r="G51" s="230">
        <v>151</v>
      </c>
      <c r="H51" s="230">
        <v>26</v>
      </c>
      <c r="I51" s="230">
        <v>196</v>
      </c>
      <c r="J51" s="230">
        <v>1844</v>
      </c>
      <c r="K51" s="230">
        <v>0</v>
      </c>
      <c r="L51" s="232">
        <f t="shared" si="10"/>
        <v>21606</v>
      </c>
      <c r="M51" s="230">
        <v>1742</v>
      </c>
      <c r="N51" s="230">
        <v>2536</v>
      </c>
      <c r="O51" s="230">
        <v>1488</v>
      </c>
      <c r="P51" s="230">
        <v>66</v>
      </c>
      <c r="Q51" s="230">
        <v>68</v>
      </c>
      <c r="R51" s="230">
        <v>70</v>
      </c>
      <c r="S51" s="230">
        <v>0</v>
      </c>
      <c r="T51" s="230">
        <v>16</v>
      </c>
      <c r="U51" s="230">
        <v>0</v>
      </c>
      <c r="V51" s="229">
        <f t="shared" si="11"/>
        <v>5986</v>
      </c>
      <c r="W51" s="233">
        <v>2642</v>
      </c>
      <c r="X51" s="204"/>
      <c r="Y51" s="204"/>
      <c r="Z51" s="214">
        <f t="shared" si="13"/>
        <v>30234</v>
      </c>
      <c r="AA51" s="215">
        <f t="shared" si="14"/>
        <v>20597</v>
      </c>
    </row>
    <row r="52" spans="1:29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>
        <v>2953</v>
      </c>
      <c r="K52" s="128"/>
      <c r="L52" s="232">
        <f t="shared" si="10"/>
        <v>2953</v>
      </c>
      <c r="M52" s="147"/>
      <c r="N52" s="147"/>
      <c r="O52" s="147"/>
      <c r="P52" s="147"/>
      <c r="Q52" s="147"/>
      <c r="R52" s="147"/>
      <c r="S52" s="147"/>
      <c r="T52" s="147">
        <v>3449</v>
      </c>
      <c r="U52" s="147"/>
      <c r="V52" s="229">
        <f t="shared" si="11"/>
        <v>3449</v>
      </c>
      <c r="W52" s="205"/>
      <c r="X52" s="204"/>
      <c r="Y52" s="204"/>
      <c r="Z52" s="214">
        <f t="shared" si="13"/>
        <v>6402</v>
      </c>
      <c r="AA52" s="215">
        <f t="shared" si="14"/>
        <v>0</v>
      </c>
    </row>
    <row r="53" spans="1:29" x14ac:dyDescent="0.25">
      <c r="A53" s="136" t="s">
        <v>174</v>
      </c>
      <c r="B53" s="137" t="s">
        <v>344</v>
      </c>
      <c r="C53" s="230">
        <v>6555</v>
      </c>
      <c r="D53" s="230">
        <v>2907</v>
      </c>
      <c r="E53" s="230">
        <v>2075</v>
      </c>
      <c r="F53" s="230">
        <v>102</v>
      </c>
      <c r="G53" s="230">
        <v>106</v>
      </c>
      <c r="H53" s="230">
        <v>21</v>
      </c>
      <c r="I53" s="230">
        <v>246</v>
      </c>
      <c r="J53" s="230">
        <v>571</v>
      </c>
      <c r="K53" s="230">
        <v>0</v>
      </c>
      <c r="L53" s="232">
        <f t="shared" si="10"/>
        <v>12583</v>
      </c>
      <c r="M53" s="230">
        <v>1008</v>
      </c>
      <c r="N53" s="230">
        <v>1457</v>
      </c>
      <c r="O53" s="230">
        <v>960</v>
      </c>
      <c r="P53" s="230">
        <v>15</v>
      </c>
      <c r="Q53" s="230">
        <v>35</v>
      </c>
      <c r="R53" s="230">
        <v>355</v>
      </c>
      <c r="S53" s="230">
        <v>21</v>
      </c>
      <c r="T53" s="230">
        <v>6</v>
      </c>
      <c r="U53" s="230">
        <v>0</v>
      </c>
      <c r="V53" s="229">
        <f t="shared" ref="V53:V54" si="15">SUM(M53:U53)</f>
        <v>3857</v>
      </c>
      <c r="W53" s="204">
        <v>1187</v>
      </c>
      <c r="X53" s="204"/>
      <c r="Y53" s="204"/>
      <c r="Z53" s="214">
        <f t="shared" si="13"/>
        <v>17627</v>
      </c>
      <c r="AA53" s="215">
        <f t="shared" si="14"/>
        <v>12044</v>
      </c>
    </row>
    <row r="54" spans="1:29" ht="13.8" thickBot="1" x14ac:dyDescent="0.3">
      <c r="A54" s="136" t="s">
        <v>186</v>
      </c>
      <c r="B54" s="137" t="s">
        <v>345</v>
      </c>
      <c r="C54" s="265">
        <v>1006</v>
      </c>
      <c r="D54" s="265">
        <v>622</v>
      </c>
      <c r="E54" s="265">
        <v>494</v>
      </c>
      <c r="F54" s="265">
        <v>32</v>
      </c>
      <c r="G54" s="265">
        <v>34</v>
      </c>
      <c r="H54" s="265">
        <v>73</v>
      </c>
      <c r="I54" s="265">
        <v>0</v>
      </c>
      <c r="J54" s="265">
        <v>125</v>
      </c>
      <c r="K54" s="265">
        <v>0</v>
      </c>
      <c r="L54" s="239">
        <f t="shared" si="10"/>
        <v>2386</v>
      </c>
      <c r="M54" s="265">
        <v>1041</v>
      </c>
      <c r="N54" s="265">
        <v>2270</v>
      </c>
      <c r="O54" s="265">
        <v>1112</v>
      </c>
      <c r="P54" s="265">
        <v>69</v>
      </c>
      <c r="Q54" s="265">
        <v>53</v>
      </c>
      <c r="R54" s="265">
        <v>58</v>
      </c>
      <c r="S54" s="265">
        <v>67</v>
      </c>
      <c r="T54" s="265">
        <v>29</v>
      </c>
      <c r="U54" s="265">
        <v>0</v>
      </c>
      <c r="V54" s="231">
        <f t="shared" si="15"/>
        <v>4699</v>
      </c>
      <c r="W54" s="209">
        <v>659</v>
      </c>
      <c r="X54" s="209"/>
      <c r="Y54" s="209"/>
      <c r="Z54" s="214">
        <f t="shared" si="13"/>
        <v>7744</v>
      </c>
      <c r="AA54" s="217">
        <f t="shared" si="14"/>
        <v>5040</v>
      </c>
    </row>
    <row r="55" spans="1:29" s="109" customFormat="1" ht="14.4" thickBot="1" x14ac:dyDescent="0.3">
      <c r="A55" s="134"/>
      <c r="B55" s="159" t="s">
        <v>459</v>
      </c>
      <c r="C55" s="258">
        <f t="shared" ref="C55:AA55" si="16">SUM(C38:C54)</f>
        <v>71247</v>
      </c>
      <c r="D55" s="157">
        <f t="shared" si="16"/>
        <v>34997</v>
      </c>
      <c r="E55" s="157">
        <f t="shared" si="16"/>
        <v>30730</v>
      </c>
      <c r="F55" s="159">
        <f t="shared" si="16"/>
        <v>1111</v>
      </c>
      <c r="G55" s="159">
        <f t="shared" si="16"/>
        <v>1928</v>
      </c>
      <c r="H55" s="159">
        <f t="shared" si="16"/>
        <v>666</v>
      </c>
      <c r="I55" s="159">
        <f t="shared" si="16"/>
        <v>2110</v>
      </c>
      <c r="J55" s="159">
        <f t="shared" si="16"/>
        <v>16860</v>
      </c>
      <c r="K55" s="450">
        <f t="shared" si="16"/>
        <v>465</v>
      </c>
      <c r="L55" s="260">
        <f t="shared" si="16"/>
        <v>160114</v>
      </c>
      <c r="M55" s="262">
        <f t="shared" si="16"/>
        <v>22254</v>
      </c>
      <c r="N55" s="158">
        <f t="shared" si="16"/>
        <v>46176</v>
      </c>
      <c r="O55" s="158">
        <f t="shared" si="16"/>
        <v>24735</v>
      </c>
      <c r="P55" s="158">
        <f t="shared" si="16"/>
        <v>815</v>
      </c>
      <c r="Q55" s="158">
        <f t="shared" si="16"/>
        <v>1047</v>
      </c>
      <c r="R55" s="158">
        <f t="shared" si="16"/>
        <v>1258</v>
      </c>
      <c r="S55" s="158">
        <f t="shared" si="16"/>
        <v>168</v>
      </c>
      <c r="T55" s="158">
        <f t="shared" si="16"/>
        <v>3649</v>
      </c>
      <c r="U55" s="264">
        <f t="shared" si="16"/>
        <v>55</v>
      </c>
      <c r="V55" s="180">
        <f t="shared" si="16"/>
        <v>100157</v>
      </c>
      <c r="W55" s="210">
        <f t="shared" si="16"/>
        <v>15308</v>
      </c>
      <c r="X55" s="210">
        <f t="shared" si="16"/>
        <v>9586</v>
      </c>
      <c r="Y55" s="210">
        <f t="shared" si="16"/>
        <v>2994</v>
      </c>
      <c r="Z55" s="210">
        <f t="shared" si="16"/>
        <v>288159</v>
      </c>
      <c r="AA55" s="210">
        <f t="shared" si="16"/>
        <v>177120</v>
      </c>
      <c r="AC55"/>
    </row>
    <row r="56" spans="1:29" x14ac:dyDescent="0.25">
      <c r="A56" s="136" t="s">
        <v>71</v>
      </c>
      <c r="B56" s="137" t="s">
        <v>305</v>
      </c>
      <c r="C56" s="280">
        <v>0</v>
      </c>
      <c r="D56" s="280">
        <v>0</v>
      </c>
      <c r="E56" s="280">
        <v>0</v>
      </c>
      <c r="F56" s="280">
        <v>0</v>
      </c>
      <c r="G56" s="280">
        <v>0</v>
      </c>
      <c r="H56" s="280">
        <v>0</v>
      </c>
      <c r="I56" s="280">
        <v>0</v>
      </c>
      <c r="J56" s="280">
        <v>3025</v>
      </c>
      <c r="K56" s="280">
        <v>0</v>
      </c>
      <c r="L56" s="232">
        <f t="shared" ref="L56:L71" si="17">SUM(C56:K56)</f>
        <v>3025</v>
      </c>
      <c r="M56" s="280">
        <v>0</v>
      </c>
      <c r="N56" s="280">
        <v>0</v>
      </c>
      <c r="O56" s="280">
        <v>0</v>
      </c>
      <c r="P56" s="280">
        <v>0</v>
      </c>
      <c r="Q56" s="280">
        <v>0</v>
      </c>
      <c r="R56" s="280">
        <v>0</v>
      </c>
      <c r="S56" s="280">
        <v>0</v>
      </c>
      <c r="T56" s="280">
        <v>0</v>
      </c>
      <c r="U56" s="280">
        <v>0</v>
      </c>
      <c r="V56" s="229">
        <f t="shared" ref="V56:V71" si="18">SUM(M56:U56)</f>
        <v>0</v>
      </c>
      <c r="W56" s="211">
        <f>10366+5316+8412</f>
        <v>24094</v>
      </c>
      <c r="X56" s="211"/>
      <c r="Y56" s="211"/>
      <c r="Z56" s="214">
        <f t="shared" si="6"/>
        <v>27119</v>
      </c>
      <c r="AA56" s="215">
        <f t="shared" ref="AA56:AA71" si="19">C56+D56+F56+K56+M56+N56+P56+U56</f>
        <v>0</v>
      </c>
      <c r="AB56" s="142">
        <f>L56</f>
        <v>3025</v>
      </c>
    </row>
    <row r="57" spans="1:29" x14ac:dyDescent="0.25">
      <c r="A57" s="136" t="s">
        <v>77</v>
      </c>
      <c r="B57" s="228" t="s">
        <v>306</v>
      </c>
      <c r="C57" s="230">
        <v>4774</v>
      </c>
      <c r="D57" s="230">
        <v>2593</v>
      </c>
      <c r="E57" s="230">
        <v>2212</v>
      </c>
      <c r="F57" s="230">
        <v>212</v>
      </c>
      <c r="G57" s="230">
        <v>74</v>
      </c>
      <c r="H57" s="230">
        <v>18</v>
      </c>
      <c r="I57" s="230">
        <v>202</v>
      </c>
      <c r="J57" s="230">
        <v>225</v>
      </c>
      <c r="K57" s="230">
        <v>0</v>
      </c>
      <c r="L57" s="232">
        <f t="shared" si="17"/>
        <v>10310</v>
      </c>
      <c r="M57" s="230">
        <v>719</v>
      </c>
      <c r="N57" s="230">
        <v>1527</v>
      </c>
      <c r="O57" s="230">
        <v>780</v>
      </c>
      <c r="P57" s="230">
        <v>22</v>
      </c>
      <c r="Q57" s="230">
        <v>24</v>
      </c>
      <c r="R57" s="230">
        <v>21</v>
      </c>
      <c r="S57" s="230">
        <v>0</v>
      </c>
      <c r="T57" s="230">
        <v>19</v>
      </c>
      <c r="U57" s="230">
        <v>0</v>
      </c>
      <c r="V57" s="229">
        <f t="shared" si="18"/>
        <v>3112</v>
      </c>
      <c r="W57" s="204">
        <v>1235</v>
      </c>
      <c r="X57" s="204"/>
      <c r="Y57" s="204"/>
      <c r="Z57" s="214">
        <f t="shared" si="6"/>
        <v>14657</v>
      </c>
      <c r="AA57" s="215">
        <f t="shared" si="19"/>
        <v>9847</v>
      </c>
    </row>
    <row r="58" spans="1:29" x14ac:dyDescent="0.25">
      <c r="A58" s="136" t="s">
        <v>102</v>
      </c>
      <c r="B58" s="137" t="s">
        <v>315</v>
      </c>
      <c r="C58" s="230">
        <v>0</v>
      </c>
      <c r="D58" s="230">
        <v>0</v>
      </c>
      <c r="E58" s="230">
        <v>49</v>
      </c>
      <c r="F58" s="230">
        <v>0</v>
      </c>
      <c r="G58" s="230">
        <v>0</v>
      </c>
      <c r="H58" s="230">
        <v>0</v>
      </c>
      <c r="I58" s="230">
        <v>0</v>
      </c>
      <c r="J58" s="230">
        <v>193</v>
      </c>
      <c r="K58" s="230">
        <v>0</v>
      </c>
      <c r="L58" s="232">
        <f t="shared" si="17"/>
        <v>242</v>
      </c>
      <c r="M58" s="230">
        <v>0</v>
      </c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230">
        <v>0</v>
      </c>
      <c r="V58" s="229">
        <f t="shared" si="18"/>
        <v>0</v>
      </c>
      <c r="W58" s="205"/>
      <c r="X58" s="204"/>
      <c r="Y58" s="204"/>
      <c r="Z58" s="214">
        <f t="shared" si="6"/>
        <v>242</v>
      </c>
      <c r="AA58" s="215">
        <f t="shared" si="19"/>
        <v>0</v>
      </c>
    </row>
    <row r="59" spans="1:29" x14ac:dyDescent="0.25">
      <c r="A59" s="136" t="s">
        <v>103</v>
      </c>
      <c r="B59" s="137" t="s">
        <v>297</v>
      </c>
      <c r="C59" s="230">
        <v>846</v>
      </c>
      <c r="D59" s="230">
        <v>196</v>
      </c>
      <c r="E59" s="230">
        <v>385</v>
      </c>
      <c r="F59" s="230">
        <v>6</v>
      </c>
      <c r="G59" s="230">
        <v>4</v>
      </c>
      <c r="H59" s="230">
        <v>0</v>
      </c>
      <c r="I59" s="230">
        <v>0</v>
      </c>
      <c r="J59" s="230">
        <v>19</v>
      </c>
      <c r="K59" s="230">
        <v>0</v>
      </c>
      <c r="L59" s="232">
        <f t="shared" si="17"/>
        <v>1456</v>
      </c>
      <c r="M59" s="230">
        <v>135</v>
      </c>
      <c r="N59" s="230">
        <v>59</v>
      </c>
      <c r="O59" s="230">
        <v>88</v>
      </c>
      <c r="P59" s="230">
        <v>3</v>
      </c>
      <c r="Q59" s="230">
        <v>0</v>
      </c>
      <c r="R59" s="230">
        <v>0</v>
      </c>
      <c r="S59" s="230">
        <v>0</v>
      </c>
      <c r="T59" s="230">
        <v>2</v>
      </c>
      <c r="U59" s="230">
        <v>0</v>
      </c>
      <c r="V59" s="229">
        <f t="shared" si="18"/>
        <v>287</v>
      </c>
      <c r="W59" s="204">
        <v>1045</v>
      </c>
      <c r="X59" s="204"/>
      <c r="Y59" s="204"/>
      <c r="Z59" s="214">
        <f t="shared" si="6"/>
        <v>2788</v>
      </c>
      <c r="AA59" s="215">
        <f t="shared" si="19"/>
        <v>1245</v>
      </c>
    </row>
    <row r="60" spans="1:29" x14ac:dyDescent="0.25">
      <c r="A60" s="136" t="s">
        <v>112</v>
      </c>
      <c r="B60" s="137" t="s">
        <v>307</v>
      </c>
      <c r="C60" s="230">
        <v>8344</v>
      </c>
      <c r="D60" s="230">
        <v>3606</v>
      </c>
      <c r="E60" s="230">
        <v>4837</v>
      </c>
      <c r="F60" s="230">
        <v>116</v>
      </c>
      <c r="G60" s="230">
        <v>137</v>
      </c>
      <c r="H60" s="230">
        <v>15</v>
      </c>
      <c r="I60" s="230">
        <v>1078</v>
      </c>
      <c r="J60" s="230">
        <v>762</v>
      </c>
      <c r="K60" s="230">
        <v>0</v>
      </c>
      <c r="L60" s="232">
        <f t="shared" si="17"/>
        <v>18895</v>
      </c>
      <c r="M60" s="230">
        <v>1366</v>
      </c>
      <c r="N60" s="230">
        <v>2079</v>
      </c>
      <c r="O60" s="230">
        <v>1215</v>
      </c>
      <c r="P60" s="230">
        <v>48</v>
      </c>
      <c r="Q60" s="230">
        <v>148</v>
      </c>
      <c r="R60" s="230">
        <v>18</v>
      </c>
      <c r="S60" s="230">
        <v>0</v>
      </c>
      <c r="T60" s="230">
        <v>26</v>
      </c>
      <c r="U60" s="230">
        <v>0</v>
      </c>
      <c r="V60" s="229">
        <f t="shared" si="18"/>
        <v>4900</v>
      </c>
      <c r="W60" s="204">
        <v>0</v>
      </c>
      <c r="X60" s="204"/>
      <c r="Y60" s="204"/>
      <c r="Z60" s="214">
        <f t="shared" si="6"/>
        <v>23795</v>
      </c>
      <c r="AA60" s="215">
        <f t="shared" si="19"/>
        <v>15559</v>
      </c>
    </row>
    <row r="61" spans="1:29" x14ac:dyDescent="0.25">
      <c r="A61" s="136" t="s">
        <v>120</v>
      </c>
      <c r="B61" s="137" t="s">
        <v>318</v>
      </c>
      <c r="C61" s="230">
        <v>8207</v>
      </c>
      <c r="D61" s="230">
        <v>2020</v>
      </c>
      <c r="E61" s="230">
        <v>3454</v>
      </c>
      <c r="F61" s="230">
        <v>70</v>
      </c>
      <c r="G61" s="230">
        <v>175</v>
      </c>
      <c r="H61" s="230">
        <v>9</v>
      </c>
      <c r="I61" s="230">
        <v>34</v>
      </c>
      <c r="J61" s="230">
        <v>609</v>
      </c>
      <c r="K61" s="230">
        <v>426</v>
      </c>
      <c r="L61" s="232">
        <f t="shared" si="17"/>
        <v>15004</v>
      </c>
      <c r="M61" s="230">
        <v>2574</v>
      </c>
      <c r="N61" s="230">
        <v>2429</v>
      </c>
      <c r="O61" s="230">
        <v>1835</v>
      </c>
      <c r="P61" s="230">
        <v>123</v>
      </c>
      <c r="Q61" s="230">
        <v>103</v>
      </c>
      <c r="R61" s="230">
        <v>0</v>
      </c>
      <c r="S61" s="230">
        <v>0</v>
      </c>
      <c r="T61" s="230">
        <v>137</v>
      </c>
      <c r="U61" s="230">
        <v>2</v>
      </c>
      <c r="V61" s="229">
        <f t="shared" si="18"/>
        <v>7203</v>
      </c>
      <c r="W61" s="204">
        <v>159</v>
      </c>
      <c r="X61" s="204"/>
      <c r="Y61" s="204"/>
      <c r="Z61" s="214">
        <f t="shared" si="6"/>
        <v>22366</v>
      </c>
      <c r="AA61" s="215">
        <f t="shared" si="19"/>
        <v>15851</v>
      </c>
    </row>
    <row r="62" spans="1:29" x14ac:dyDescent="0.25">
      <c r="A62" s="136" t="s">
        <v>131</v>
      </c>
      <c r="B62" s="137" t="s">
        <v>308</v>
      </c>
      <c r="C62" s="230">
        <v>3269</v>
      </c>
      <c r="D62" s="230">
        <v>1444</v>
      </c>
      <c r="E62" s="230">
        <v>1590</v>
      </c>
      <c r="F62" s="230">
        <v>84</v>
      </c>
      <c r="G62" s="230">
        <v>103</v>
      </c>
      <c r="H62" s="230">
        <v>38</v>
      </c>
      <c r="I62" s="230">
        <v>0</v>
      </c>
      <c r="J62" s="230">
        <v>498</v>
      </c>
      <c r="K62" s="230">
        <v>0</v>
      </c>
      <c r="L62" s="232">
        <f t="shared" si="17"/>
        <v>7026</v>
      </c>
      <c r="M62" s="230">
        <v>2144</v>
      </c>
      <c r="N62" s="230">
        <v>2913</v>
      </c>
      <c r="O62" s="230">
        <v>1757</v>
      </c>
      <c r="P62" s="230">
        <v>84</v>
      </c>
      <c r="Q62" s="230">
        <v>73</v>
      </c>
      <c r="R62" s="230">
        <v>20</v>
      </c>
      <c r="S62" s="230">
        <v>0</v>
      </c>
      <c r="T62" s="230">
        <v>27</v>
      </c>
      <c r="U62" s="230">
        <v>0</v>
      </c>
      <c r="V62" s="229">
        <f t="shared" si="18"/>
        <v>7018</v>
      </c>
      <c r="W62" s="204">
        <v>1627</v>
      </c>
      <c r="X62" s="204"/>
      <c r="Y62" s="204"/>
      <c r="Z62" s="214">
        <f t="shared" si="6"/>
        <v>15671</v>
      </c>
      <c r="AA62" s="215">
        <f t="shared" si="19"/>
        <v>9938</v>
      </c>
    </row>
    <row r="63" spans="1:29" x14ac:dyDescent="0.25">
      <c r="A63" s="136" t="s">
        <v>133</v>
      </c>
      <c r="B63" s="228" t="s">
        <v>319</v>
      </c>
      <c r="C63" s="230">
        <v>1388</v>
      </c>
      <c r="D63" s="230">
        <v>1073</v>
      </c>
      <c r="E63" s="230">
        <v>588</v>
      </c>
      <c r="F63" s="230">
        <v>52</v>
      </c>
      <c r="G63" s="230">
        <v>49</v>
      </c>
      <c r="H63" s="230">
        <v>0</v>
      </c>
      <c r="I63" s="230">
        <v>0</v>
      </c>
      <c r="J63" s="230">
        <v>117</v>
      </c>
      <c r="K63" s="230">
        <v>0</v>
      </c>
      <c r="L63" s="232">
        <f t="shared" si="17"/>
        <v>3267</v>
      </c>
      <c r="M63" s="230">
        <v>589</v>
      </c>
      <c r="N63" s="230">
        <v>740</v>
      </c>
      <c r="O63" s="230">
        <v>405</v>
      </c>
      <c r="P63" s="230">
        <v>18</v>
      </c>
      <c r="Q63" s="230">
        <v>5</v>
      </c>
      <c r="R63" s="230">
        <v>0</v>
      </c>
      <c r="S63" s="230">
        <v>0</v>
      </c>
      <c r="T63" s="230">
        <v>2</v>
      </c>
      <c r="U63" s="230">
        <v>0</v>
      </c>
      <c r="V63" s="229">
        <f t="shared" si="18"/>
        <v>1759</v>
      </c>
      <c r="W63" s="204">
        <v>1178</v>
      </c>
      <c r="X63" s="204"/>
      <c r="Y63" s="204"/>
      <c r="Z63" s="214">
        <f t="shared" si="6"/>
        <v>6204</v>
      </c>
      <c r="AA63" s="215">
        <f t="shared" si="19"/>
        <v>3860</v>
      </c>
    </row>
    <row r="64" spans="1:29" x14ac:dyDescent="0.25">
      <c r="A64" s="136" t="s">
        <v>134</v>
      </c>
      <c r="B64" s="228" t="s">
        <v>320</v>
      </c>
      <c r="C64" s="230">
        <v>458</v>
      </c>
      <c r="D64" s="230">
        <v>212</v>
      </c>
      <c r="E64" s="230">
        <v>125</v>
      </c>
      <c r="F64" s="230">
        <v>15</v>
      </c>
      <c r="G64" s="230">
        <v>31</v>
      </c>
      <c r="H64" s="230">
        <v>0</v>
      </c>
      <c r="I64" s="230">
        <v>0</v>
      </c>
      <c r="J64" s="230">
        <v>38</v>
      </c>
      <c r="K64" s="230">
        <v>0</v>
      </c>
      <c r="L64" s="232">
        <f t="shared" si="17"/>
        <v>879</v>
      </c>
      <c r="M64" s="230">
        <v>212</v>
      </c>
      <c r="N64" s="230">
        <v>160</v>
      </c>
      <c r="O64" s="230">
        <v>152</v>
      </c>
      <c r="P64" s="230">
        <v>6</v>
      </c>
      <c r="Q64" s="230">
        <v>10</v>
      </c>
      <c r="R64" s="230">
        <v>0</v>
      </c>
      <c r="S64" s="230">
        <v>0</v>
      </c>
      <c r="T64" s="230">
        <v>0</v>
      </c>
      <c r="U64" s="230">
        <v>0</v>
      </c>
      <c r="V64" s="229">
        <f t="shared" si="18"/>
        <v>540</v>
      </c>
      <c r="W64" s="204">
        <v>359</v>
      </c>
      <c r="X64" s="204"/>
      <c r="Y64" s="204"/>
      <c r="Z64" s="214">
        <f t="shared" si="6"/>
        <v>1778</v>
      </c>
      <c r="AA64" s="215">
        <f t="shared" si="19"/>
        <v>1063</v>
      </c>
    </row>
    <row r="65" spans="1:29" x14ac:dyDescent="0.25">
      <c r="A65" s="136" t="s">
        <v>145</v>
      </c>
      <c r="B65" s="137" t="s">
        <v>309</v>
      </c>
      <c r="C65" s="230">
        <v>1497</v>
      </c>
      <c r="D65" s="230">
        <v>374</v>
      </c>
      <c r="E65" s="230">
        <v>609</v>
      </c>
      <c r="F65" s="230">
        <v>57</v>
      </c>
      <c r="G65" s="230">
        <v>57</v>
      </c>
      <c r="H65" s="230">
        <v>0</v>
      </c>
      <c r="I65" s="230">
        <v>0</v>
      </c>
      <c r="J65" s="230">
        <v>285</v>
      </c>
      <c r="K65" s="230">
        <v>0</v>
      </c>
      <c r="L65" s="232">
        <f t="shared" si="17"/>
        <v>2879</v>
      </c>
      <c r="M65" s="230">
        <v>1182</v>
      </c>
      <c r="N65" s="230">
        <v>708</v>
      </c>
      <c r="O65" s="230">
        <v>669</v>
      </c>
      <c r="P65" s="230">
        <v>38</v>
      </c>
      <c r="Q65" s="230">
        <v>52</v>
      </c>
      <c r="R65" s="230">
        <v>0</v>
      </c>
      <c r="S65" s="230">
        <v>0</v>
      </c>
      <c r="T65" s="230">
        <v>249</v>
      </c>
      <c r="U65" s="230">
        <v>0</v>
      </c>
      <c r="V65" s="229">
        <f t="shared" si="18"/>
        <v>2898</v>
      </c>
      <c r="W65" s="204">
        <v>307</v>
      </c>
      <c r="X65" s="204"/>
      <c r="Y65" s="204"/>
      <c r="Z65" s="214">
        <f t="shared" si="6"/>
        <v>6084</v>
      </c>
      <c r="AA65" s="215">
        <f t="shared" si="19"/>
        <v>3856</v>
      </c>
    </row>
    <row r="66" spans="1:29" x14ac:dyDescent="0.25">
      <c r="A66" s="136" t="s">
        <v>149</v>
      </c>
      <c r="B66" s="137" t="s">
        <v>353</v>
      </c>
      <c r="C66" s="230">
        <v>221</v>
      </c>
      <c r="D66" s="230">
        <v>144</v>
      </c>
      <c r="E66" s="230">
        <v>95</v>
      </c>
      <c r="F66" s="230">
        <v>7</v>
      </c>
      <c r="G66" s="230">
        <v>5</v>
      </c>
      <c r="H66" s="230">
        <v>0</v>
      </c>
      <c r="I66" s="230">
        <v>0</v>
      </c>
      <c r="J66" s="230">
        <v>37</v>
      </c>
      <c r="K66" s="230">
        <v>0</v>
      </c>
      <c r="L66" s="232">
        <f t="shared" si="17"/>
        <v>509</v>
      </c>
      <c r="M66" s="230">
        <v>96</v>
      </c>
      <c r="N66" s="230">
        <v>138</v>
      </c>
      <c r="O66" s="230">
        <v>65</v>
      </c>
      <c r="P66" s="230">
        <v>8</v>
      </c>
      <c r="Q66" s="230">
        <v>6</v>
      </c>
      <c r="R66" s="230">
        <v>0</v>
      </c>
      <c r="S66" s="230">
        <v>0</v>
      </c>
      <c r="T66" s="230">
        <v>0</v>
      </c>
      <c r="U66" s="230">
        <v>0</v>
      </c>
      <c r="V66" s="229">
        <f t="shared" si="18"/>
        <v>313</v>
      </c>
      <c r="W66" s="204">
        <v>291</v>
      </c>
      <c r="X66" s="204"/>
      <c r="Y66" s="204"/>
      <c r="Z66" s="214">
        <f t="shared" si="6"/>
        <v>1113</v>
      </c>
      <c r="AA66" s="215">
        <f t="shared" si="19"/>
        <v>614</v>
      </c>
    </row>
    <row r="67" spans="1:29" x14ac:dyDescent="0.25">
      <c r="A67" s="136" t="s">
        <v>182</v>
      </c>
      <c r="B67" s="137" t="s">
        <v>357</v>
      </c>
      <c r="C67" s="230">
        <v>4678</v>
      </c>
      <c r="D67" s="230">
        <v>447</v>
      </c>
      <c r="E67" s="230">
        <v>2215</v>
      </c>
      <c r="F67" s="230">
        <v>46</v>
      </c>
      <c r="G67" s="230">
        <v>43</v>
      </c>
      <c r="H67" s="230">
        <v>0</v>
      </c>
      <c r="I67" s="230">
        <v>67</v>
      </c>
      <c r="J67" s="230">
        <v>113</v>
      </c>
      <c r="K67" s="230">
        <v>0</v>
      </c>
      <c r="L67" s="232">
        <f t="shared" si="17"/>
        <v>7609</v>
      </c>
      <c r="M67" s="230">
        <v>603</v>
      </c>
      <c r="N67" s="230">
        <v>511</v>
      </c>
      <c r="O67" s="230">
        <v>382</v>
      </c>
      <c r="P67" s="230">
        <v>15</v>
      </c>
      <c r="Q67" s="230">
        <v>16</v>
      </c>
      <c r="R67" s="230">
        <v>16</v>
      </c>
      <c r="S67" s="230">
        <v>0</v>
      </c>
      <c r="T67" s="230">
        <v>14</v>
      </c>
      <c r="U67" s="230">
        <v>0</v>
      </c>
      <c r="V67" s="229">
        <f t="shared" si="18"/>
        <v>1557</v>
      </c>
      <c r="W67" s="204">
        <f>0+905</f>
        <v>905</v>
      </c>
      <c r="X67" s="204"/>
      <c r="Y67" s="204"/>
      <c r="Z67" s="214">
        <f t="shared" si="6"/>
        <v>10071</v>
      </c>
      <c r="AA67" s="215">
        <f t="shared" si="19"/>
        <v>6300</v>
      </c>
      <c r="AB67" s="142">
        <f>L67+V67</f>
        <v>9166</v>
      </c>
    </row>
    <row r="68" spans="1:29" x14ac:dyDescent="0.25">
      <c r="A68" s="136" t="s">
        <v>185</v>
      </c>
      <c r="B68" s="137" t="s">
        <v>310</v>
      </c>
      <c r="C68" s="389"/>
      <c r="D68" s="389"/>
      <c r="E68" s="389"/>
      <c r="F68" s="389"/>
      <c r="G68" s="389"/>
      <c r="H68" s="389"/>
      <c r="I68" s="389"/>
      <c r="J68" s="389"/>
      <c r="K68" s="128"/>
      <c r="L68" s="232">
        <f t="shared" si="17"/>
        <v>0</v>
      </c>
      <c r="M68" s="230"/>
      <c r="N68" s="230"/>
      <c r="O68" s="230"/>
      <c r="P68" s="230"/>
      <c r="Q68" s="230"/>
      <c r="R68" s="230"/>
      <c r="S68" s="230"/>
      <c r="T68" s="230"/>
      <c r="U68" s="230"/>
      <c r="V68" s="229">
        <f t="shared" si="18"/>
        <v>0</v>
      </c>
      <c r="W68" s="529">
        <v>605</v>
      </c>
      <c r="X68" s="204"/>
      <c r="Y68" s="204"/>
      <c r="Z68" s="214">
        <f t="shared" si="6"/>
        <v>605</v>
      </c>
      <c r="AA68" s="215">
        <f t="shared" si="19"/>
        <v>0</v>
      </c>
    </row>
    <row r="69" spans="1:29" x14ac:dyDescent="0.25">
      <c r="A69" s="136" t="s">
        <v>188</v>
      </c>
      <c r="B69" s="137" t="s">
        <v>311</v>
      </c>
      <c r="C69" s="230">
        <v>321</v>
      </c>
      <c r="D69" s="230">
        <v>423</v>
      </c>
      <c r="E69" s="230">
        <v>183</v>
      </c>
      <c r="F69" s="230">
        <v>16</v>
      </c>
      <c r="G69" s="230">
        <v>19</v>
      </c>
      <c r="H69" s="230">
        <v>0</v>
      </c>
      <c r="I69" s="230">
        <v>0</v>
      </c>
      <c r="J69" s="230">
        <v>230</v>
      </c>
      <c r="K69" s="230">
        <v>0</v>
      </c>
      <c r="L69" s="232">
        <f t="shared" si="17"/>
        <v>1192</v>
      </c>
      <c r="M69" s="230">
        <v>262</v>
      </c>
      <c r="N69" s="230">
        <v>693</v>
      </c>
      <c r="O69" s="230">
        <v>245</v>
      </c>
      <c r="P69" s="230">
        <v>19</v>
      </c>
      <c r="Q69" s="230">
        <v>2</v>
      </c>
      <c r="R69" s="230">
        <v>0</v>
      </c>
      <c r="S69" s="230">
        <v>0</v>
      </c>
      <c r="T69" s="230">
        <v>5</v>
      </c>
      <c r="U69" s="230">
        <v>0</v>
      </c>
      <c r="V69" s="229">
        <f t="shared" si="18"/>
        <v>1226</v>
      </c>
      <c r="W69" s="209">
        <v>242</v>
      </c>
      <c r="X69" s="209"/>
      <c r="Y69" s="209"/>
      <c r="Z69" s="214">
        <f t="shared" si="6"/>
        <v>2660</v>
      </c>
      <c r="AA69" s="215">
        <f t="shared" si="19"/>
        <v>1734</v>
      </c>
    </row>
    <row r="70" spans="1:29" x14ac:dyDescent="0.25">
      <c r="A70" s="136" t="s">
        <v>192</v>
      </c>
      <c r="B70" s="137" t="s">
        <v>312</v>
      </c>
      <c r="C70" s="230">
        <v>23</v>
      </c>
      <c r="D70" s="230">
        <v>8</v>
      </c>
      <c r="E70" s="230">
        <v>7</v>
      </c>
      <c r="F70" s="230">
        <v>0</v>
      </c>
      <c r="G70" s="230">
        <v>0</v>
      </c>
      <c r="H70" s="230">
        <v>0</v>
      </c>
      <c r="I70" s="230">
        <v>0</v>
      </c>
      <c r="J70" s="230">
        <v>0</v>
      </c>
      <c r="K70" s="230">
        <v>0</v>
      </c>
      <c r="L70" s="232">
        <f t="shared" si="17"/>
        <v>38</v>
      </c>
      <c r="M70" s="230">
        <v>141</v>
      </c>
      <c r="N70" s="230">
        <v>144</v>
      </c>
      <c r="O70" s="230">
        <v>48</v>
      </c>
      <c r="P70" s="230">
        <v>1</v>
      </c>
      <c r="Q70" s="230">
        <v>5</v>
      </c>
      <c r="R70" s="230">
        <v>0</v>
      </c>
      <c r="S70" s="230">
        <v>0</v>
      </c>
      <c r="T70" s="230">
        <v>0</v>
      </c>
      <c r="U70" s="230">
        <v>0</v>
      </c>
      <c r="V70" s="229">
        <f t="shared" si="18"/>
        <v>339</v>
      </c>
      <c r="W70" s="209">
        <v>397</v>
      </c>
      <c r="X70" s="209"/>
      <c r="Y70" s="209"/>
      <c r="Z70" s="214">
        <f t="shared" si="6"/>
        <v>774</v>
      </c>
      <c r="AA70" s="215">
        <f t="shared" si="19"/>
        <v>317</v>
      </c>
    </row>
    <row r="71" spans="1:29" ht="13.8" thickBot="1" x14ac:dyDescent="0.3">
      <c r="A71" s="136" t="s">
        <v>193</v>
      </c>
      <c r="B71" s="137" t="s">
        <v>325</v>
      </c>
      <c r="C71" s="265">
        <v>0</v>
      </c>
      <c r="D71" s="265">
        <v>0</v>
      </c>
      <c r="E71" s="265">
        <v>0</v>
      </c>
      <c r="F71" s="265">
        <v>0</v>
      </c>
      <c r="G71" s="265">
        <v>0</v>
      </c>
      <c r="H71" s="265">
        <v>0</v>
      </c>
      <c r="I71" s="265">
        <v>42</v>
      </c>
      <c r="J71" s="265">
        <v>54</v>
      </c>
      <c r="K71" s="265">
        <v>0</v>
      </c>
      <c r="L71" s="239">
        <f t="shared" si="17"/>
        <v>96</v>
      </c>
      <c r="M71" s="449"/>
      <c r="N71" s="449"/>
      <c r="O71" s="449"/>
      <c r="P71" s="449">
        <v>0</v>
      </c>
      <c r="Q71" s="449">
        <v>0</v>
      </c>
      <c r="R71" s="449"/>
      <c r="S71" s="449"/>
      <c r="T71" s="449"/>
      <c r="U71" s="528"/>
      <c r="V71" s="229">
        <f t="shared" si="18"/>
        <v>0</v>
      </c>
      <c r="W71" s="209">
        <v>6348</v>
      </c>
      <c r="X71" s="209"/>
      <c r="Y71" s="209"/>
      <c r="Z71" s="214">
        <f t="shared" si="6"/>
        <v>6444</v>
      </c>
      <c r="AA71" s="215">
        <f t="shared" si="19"/>
        <v>0</v>
      </c>
      <c r="AB71" s="142">
        <f>L71+V71</f>
        <v>96</v>
      </c>
    </row>
    <row r="72" spans="1:29" s="109" customFormat="1" ht="14.4" thickBot="1" x14ac:dyDescent="0.3">
      <c r="A72" s="134"/>
      <c r="B72" s="159" t="s">
        <v>460</v>
      </c>
      <c r="C72" s="258">
        <f t="shared" ref="C72:AA72" si="20">SUM(C56:C71)</f>
        <v>34026</v>
      </c>
      <c r="D72" s="157">
        <f t="shared" si="20"/>
        <v>12540</v>
      </c>
      <c r="E72" s="259">
        <f t="shared" si="20"/>
        <v>16349</v>
      </c>
      <c r="F72" s="159">
        <f t="shared" si="20"/>
        <v>681</v>
      </c>
      <c r="G72" s="159">
        <f t="shared" si="20"/>
        <v>697</v>
      </c>
      <c r="H72" s="159">
        <f t="shared" si="20"/>
        <v>80</v>
      </c>
      <c r="I72" s="159">
        <f t="shared" si="20"/>
        <v>1423</v>
      </c>
      <c r="J72" s="159">
        <f t="shared" si="20"/>
        <v>6205</v>
      </c>
      <c r="K72" s="259">
        <f t="shared" si="20"/>
        <v>426</v>
      </c>
      <c r="L72" s="260">
        <f t="shared" si="20"/>
        <v>72427</v>
      </c>
      <c r="M72" s="262">
        <f t="shared" si="20"/>
        <v>10023</v>
      </c>
      <c r="N72" s="158">
        <f t="shared" si="20"/>
        <v>12101</v>
      </c>
      <c r="O72" s="158">
        <f t="shared" si="20"/>
        <v>7641</v>
      </c>
      <c r="P72" s="158">
        <f t="shared" si="20"/>
        <v>385</v>
      </c>
      <c r="Q72" s="158">
        <f t="shared" si="20"/>
        <v>444</v>
      </c>
      <c r="R72" s="158">
        <f t="shared" si="20"/>
        <v>75</v>
      </c>
      <c r="S72" s="158">
        <f t="shared" si="20"/>
        <v>0</v>
      </c>
      <c r="T72" s="158">
        <f t="shared" si="20"/>
        <v>481</v>
      </c>
      <c r="U72" s="264">
        <f t="shared" si="20"/>
        <v>2</v>
      </c>
      <c r="V72" s="180">
        <f t="shared" si="20"/>
        <v>31152</v>
      </c>
      <c r="W72" s="210">
        <f t="shared" si="20"/>
        <v>38792</v>
      </c>
      <c r="X72" s="210">
        <f t="shared" si="20"/>
        <v>0</v>
      </c>
      <c r="Y72" s="210">
        <f t="shared" si="20"/>
        <v>0</v>
      </c>
      <c r="Z72" s="210">
        <f t="shared" si="20"/>
        <v>142371</v>
      </c>
      <c r="AA72" s="210">
        <f t="shared" si="20"/>
        <v>70184</v>
      </c>
      <c r="AC72"/>
    </row>
    <row r="73" spans="1:29" x14ac:dyDescent="0.25">
      <c r="A73" s="136" t="s">
        <v>65</v>
      </c>
      <c r="B73" s="137" t="s">
        <v>326</v>
      </c>
      <c r="C73" s="280">
        <v>2177</v>
      </c>
      <c r="D73" s="280">
        <v>773</v>
      </c>
      <c r="E73" s="280">
        <v>1486</v>
      </c>
      <c r="F73" s="280">
        <v>37</v>
      </c>
      <c r="G73" s="280">
        <v>85</v>
      </c>
      <c r="H73" s="280">
        <v>0</v>
      </c>
      <c r="I73" s="280">
        <v>24</v>
      </c>
      <c r="J73" s="280">
        <v>175</v>
      </c>
      <c r="K73" s="280">
        <v>139</v>
      </c>
      <c r="L73" s="234">
        <f>SUM(C73:K73)</f>
        <v>4896</v>
      </c>
      <c r="M73" s="280">
        <v>1133</v>
      </c>
      <c r="N73" s="280">
        <v>1251</v>
      </c>
      <c r="O73" s="280">
        <v>1184</v>
      </c>
      <c r="P73" s="280">
        <v>86</v>
      </c>
      <c r="Q73" s="280">
        <v>62</v>
      </c>
      <c r="R73" s="280">
        <v>0</v>
      </c>
      <c r="S73" s="280">
        <v>0</v>
      </c>
      <c r="T73" s="280">
        <v>4</v>
      </c>
      <c r="U73" s="453">
        <v>10</v>
      </c>
      <c r="V73" s="256">
        <f>SUM(M73:U73)</f>
        <v>3730</v>
      </c>
      <c r="W73" s="211">
        <v>1189</v>
      </c>
      <c r="X73" s="211"/>
      <c r="Y73" s="211"/>
      <c r="Z73" s="214">
        <f t="shared" si="6"/>
        <v>9815</v>
      </c>
      <c r="AA73" s="218">
        <f>C73+D73+F73+K73+M73+N73+P73+U73</f>
        <v>5606</v>
      </c>
    </row>
    <row r="74" spans="1:29" x14ac:dyDescent="0.25">
      <c r="A74" s="136" t="s">
        <v>81</v>
      </c>
      <c r="B74" s="137" t="s">
        <v>327</v>
      </c>
      <c r="C74" s="230">
        <v>1636</v>
      </c>
      <c r="D74" s="230">
        <v>556</v>
      </c>
      <c r="E74" s="230">
        <v>462</v>
      </c>
      <c r="F74" s="230">
        <v>108</v>
      </c>
      <c r="G74" s="230">
        <v>37</v>
      </c>
      <c r="H74" s="230">
        <v>0</v>
      </c>
      <c r="I74" s="230">
        <v>106</v>
      </c>
      <c r="J74" s="230">
        <v>66</v>
      </c>
      <c r="K74" s="230">
        <v>0</v>
      </c>
      <c r="L74" s="232">
        <f>SUM(C74:K74)</f>
        <v>2971</v>
      </c>
      <c r="M74" s="230">
        <v>1262</v>
      </c>
      <c r="N74" s="230">
        <v>1228</v>
      </c>
      <c r="O74" s="230">
        <v>669</v>
      </c>
      <c r="P74" s="230">
        <v>55</v>
      </c>
      <c r="Q74" s="230">
        <v>72</v>
      </c>
      <c r="R74" s="230">
        <v>104</v>
      </c>
      <c r="S74" s="230">
        <v>98</v>
      </c>
      <c r="T74" s="230">
        <v>4</v>
      </c>
      <c r="U74" s="448"/>
      <c r="V74" s="229">
        <f>SUM(M74:U74)</f>
        <v>3492</v>
      </c>
      <c r="W74" s="204">
        <v>3877</v>
      </c>
      <c r="X74" s="204"/>
      <c r="Y74" s="204"/>
      <c r="Z74" s="214">
        <f t="shared" si="6"/>
        <v>10340</v>
      </c>
      <c r="AA74" s="215">
        <f>C74+D74+F74+K74+M74+N74+P74+U74</f>
        <v>4845</v>
      </c>
    </row>
    <row r="75" spans="1:29" x14ac:dyDescent="0.25">
      <c r="A75" s="136" t="s">
        <v>87</v>
      </c>
      <c r="B75" s="137" t="s">
        <v>292</v>
      </c>
      <c r="C75" s="230">
        <v>2324</v>
      </c>
      <c r="D75" s="230">
        <v>1486</v>
      </c>
      <c r="E75" s="230">
        <v>1473</v>
      </c>
      <c r="F75" s="230">
        <v>76</v>
      </c>
      <c r="G75" s="230">
        <v>56</v>
      </c>
      <c r="H75" s="230">
        <v>16</v>
      </c>
      <c r="I75" s="230">
        <v>0</v>
      </c>
      <c r="J75" s="230">
        <v>221</v>
      </c>
      <c r="K75" s="230">
        <v>0</v>
      </c>
      <c r="L75" s="232">
        <f t="shared" ref="L75:L88" si="21">SUM(C75:K75)</f>
        <v>5652</v>
      </c>
      <c r="M75" s="230">
        <v>1072</v>
      </c>
      <c r="N75" s="230">
        <v>1175</v>
      </c>
      <c r="O75" s="230">
        <v>1142</v>
      </c>
      <c r="P75" s="230">
        <v>31</v>
      </c>
      <c r="Q75" s="230">
        <v>88</v>
      </c>
      <c r="R75" s="230">
        <v>117</v>
      </c>
      <c r="S75" s="230">
        <v>0</v>
      </c>
      <c r="T75" s="230">
        <v>626</v>
      </c>
      <c r="U75" s="448"/>
      <c r="V75" s="229">
        <f t="shared" ref="V75:V88" si="22">SUM(M75:U75)</f>
        <v>4251</v>
      </c>
      <c r="W75" s="204">
        <v>482</v>
      </c>
      <c r="X75" s="204"/>
      <c r="Y75" s="204"/>
      <c r="Z75" s="214">
        <f t="shared" si="6"/>
        <v>10385</v>
      </c>
      <c r="AA75" s="215">
        <f t="shared" ref="AA75:AA88" si="23">C75+D75+F75+K75+M75+N75+P75+U75</f>
        <v>6164</v>
      </c>
    </row>
    <row r="76" spans="1:29" x14ac:dyDescent="0.25">
      <c r="A76" s="136" t="s">
        <v>92</v>
      </c>
      <c r="B76" s="137" t="s">
        <v>328</v>
      </c>
      <c r="C76" s="230">
        <v>502</v>
      </c>
      <c r="D76" s="230">
        <v>77</v>
      </c>
      <c r="E76" s="230">
        <v>157</v>
      </c>
      <c r="F76" s="230">
        <v>13</v>
      </c>
      <c r="G76" s="230">
        <v>7</v>
      </c>
      <c r="H76" s="230">
        <v>10</v>
      </c>
      <c r="I76" s="230">
        <v>2</v>
      </c>
      <c r="J76" s="230">
        <v>56</v>
      </c>
      <c r="K76" s="230">
        <v>0</v>
      </c>
      <c r="L76" s="232">
        <f t="shared" si="21"/>
        <v>824</v>
      </c>
      <c r="M76" s="230">
        <v>484</v>
      </c>
      <c r="N76" s="230">
        <v>479</v>
      </c>
      <c r="O76" s="230">
        <v>261</v>
      </c>
      <c r="P76" s="230">
        <v>22</v>
      </c>
      <c r="Q76" s="230">
        <v>6</v>
      </c>
      <c r="R76" s="230">
        <v>0</v>
      </c>
      <c r="S76" s="230">
        <v>0</v>
      </c>
      <c r="T76" s="230">
        <v>2</v>
      </c>
      <c r="U76" s="448"/>
      <c r="V76" s="229">
        <f t="shared" si="22"/>
        <v>1254</v>
      </c>
      <c r="W76" s="204">
        <v>405</v>
      </c>
      <c r="X76" s="204"/>
      <c r="Y76" s="204"/>
      <c r="Z76" s="214">
        <f t="shared" si="6"/>
        <v>2483</v>
      </c>
      <c r="AA76" s="215">
        <f t="shared" si="23"/>
        <v>1577</v>
      </c>
    </row>
    <row r="77" spans="1:29" x14ac:dyDescent="0.25">
      <c r="A77" s="136" t="s">
        <v>96</v>
      </c>
      <c r="B77" s="137" t="s">
        <v>293</v>
      </c>
      <c r="C77" s="230">
        <v>10632</v>
      </c>
      <c r="D77" s="230">
        <v>2244</v>
      </c>
      <c r="E77" s="230">
        <v>6845</v>
      </c>
      <c r="F77" s="230">
        <v>235</v>
      </c>
      <c r="G77" s="230">
        <v>236</v>
      </c>
      <c r="H77" s="230">
        <v>0</v>
      </c>
      <c r="I77" s="230">
        <v>206</v>
      </c>
      <c r="J77" s="230">
        <v>317</v>
      </c>
      <c r="K77" s="230">
        <v>0</v>
      </c>
      <c r="L77" s="232">
        <f t="shared" si="21"/>
        <v>20715</v>
      </c>
      <c r="M77" s="230">
        <v>1166</v>
      </c>
      <c r="N77" s="230">
        <v>1557</v>
      </c>
      <c r="O77" s="230">
        <v>1966</v>
      </c>
      <c r="P77" s="230">
        <v>43</v>
      </c>
      <c r="Q77" s="230">
        <v>68</v>
      </c>
      <c r="R77" s="230">
        <v>0</v>
      </c>
      <c r="S77" s="230">
        <v>0</v>
      </c>
      <c r="T77" s="230">
        <v>36</v>
      </c>
      <c r="U77" s="448"/>
      <c r="V77" s="229">
        <f t="shared" si="22"/>
        <v>4836</v>
      </c>
      <c r="W77" s="204">
        <v>1127</v>
      </c>
      <c r="X77" s="204"/>
      <c r="Y77" s="204"/>
      <c r="Z77" s="214">
        <f t="shared" si="6"/>
        <v>26678</v>
      </c>
      <c r="AA77" s="215">
        <f t="shared" si="23"/>
        <v>15877</v>
      </c>
    </row>
    <row r="78" spans="1:29" x14ac:dyDescent="0.25">
      <c r="A78" s="136" t="s">
        <v>100</v>
      </c>
      <c r="B78" s="137" t="s">
        <v>295</v>
      </c>
      <c r="C78" s="230">
        <v>3010</v>
      </c>
      <c r="D78" s="230">
        <v>604</v>
      </c>
      <c r="E78" s="230">
        <v>953</v>
      </c>
      <c r="F78" s="230">
        <v>85</v>
      </c>
      <c r="G78" s="230">
        <v>70</v>
      </c>
      <c r="H78" s="230">
        <v>0</v>
      </c>
      <c r="I78" s="230">
        <v>0</v>
      </c>
      <c r="J78" s="230">
        <v>111</v>
      </c>
      <c r="K78" s="230">
        <v>0</v>
      </c>
      <c r="L78" s="232">
        <f t="shared" si="21"/>
        <v>4833</v>
      </c>
      <c r="M78" s="230">
        <v>855</v>
      </c>
      <c r="N78" s="230">
        <v>798</v>
      </c>
      <c r="O78" s="230">
        <v>524</v>
      </c>
      <c r="P78" s="230">
        <v>66</v>
      </c>
      <c r="Q78" s="230">
        <v>18</v>
      </c>
      <c r="R78" s="230">
        <v>0</v>
      </c>
      <c r="S78" s="230">
        <v>0</v>
      </c>
      <c r="T78" s="230">
        <v>8</v>
      </c>
      <c r="U78" s="448"/>
      <c r="V78" s="229">
        <f t="shared" si="22"/>
        <v>2269</v>
      </c>
      <c r="W78" s="204">
        <v>76</v>
      </c>
      <c r="X78" s="204"/>
      <c r="Y78" s="204"/>
      <c r="Z78" s="214">
        <f t="shared" si="6"/>
        <v>7178</v>
      </c>
      <c r="AA78" s="215">
        <f t="shared" si="23"/>
        <v>5418</v>
      </c>
    </row>
    <row r="79" spans="1:29" x14ac:dyDescent="0.25">
      <c r="A79" s="136" t="s">
        <v>108</v>
      </c>
      <c r="B79" s="137" t="s">
        <v>296</v>
      </c>
      <c r="C79" s="230">
        <v>1081</v>
      </c>
      <c r="D79" s="230">
        <v>389</v>
      </c>
      <c r="E79" s="230">
        <v>475</v>
      </c>
      <c r="F79" s="230">
        <v>123</v>
      </c>
      <c r="G79" s="230">
        <v>48</v>
      </c>
      <c r="H79" s="230">
        <v>0</v>
      </c>
      <c r="I79" s="230">
        <v>9</v>
      </c>
      <c r="J79" s="230">
        <v>153</v>
      </c>
      <c r="K79" s="230">
        <v>0</v>
      </c>
      <c r="L79" s="232">
        <f t="shared" si="21"/>
        <v>2278</v>
      </c>
      <c r="M79" s="230">
        <v>658</v>
      </c>
      <c r="N79" s="230">
        <v>607</v>
      </c>
      <c r="O79" s="230">
        <v>449</v>
      </c>
      <c r="P79" s="230">
        <v>60</v>
      </c>
      <c r="Q79" s="230">
        <v>37</v>
      </c>
      <c r="R79" s="230">
        <v>4</v>
      </c>
      <c r="S79" s="230">
        <v>0</v>
      </c>
      <c r="T79" s="230">
        <v>642</v>
      </c>
      <c r="U79" s="448"/>
      <c r="V79" s="229">
        <f t="shared" si="22"/>
        <v>2457</v>
      </c>
      <c r="W79" s="204">
        <v>237</v>
      </c>
      <c r="X79" s="204"/>
      <c r="Y79" s="204"/>
      <c r="Z79" s="214">
        <f t="shared" si="6"/>
        <v>4972</v>
      </c>
      <c r="AA79" s="215">
        <f t="shared" si="23"/>
        <v>2918</v>
      </c>
    </row>
    <row r="80" spans="1:29" x14ac:dyDescent="0.25">
      <c r="A80" s="136" t="s">
        <v>109</v>
      </c>
      <c r="B80" s="137" t="s">
        <v>329</v>
      </c>
      <c r="C80" s="230">
        <v>656</v>
      </c>
      <c r="D80" s="230">
        <v>398</v>
      </c>
      <c r="E80" s="230">
        <v>344</v>
      </c>
      <c r="F80" s="230">
        <v>21</v>
      </c>
      <c r="G80" s="230">
        <v>19</v>
      </c>
      <c r="H80" s="230">
        <v>0</v>
      </c>
      <c r="I80" s="230">
        <v>12</v>
      </c>
      <c r="J80" s="230">
        <v>84</v>
      </c>
      <c r="K80" s="230">
        <v>0</v>
      </c>
      <c r="L80" s="232">
        <f t="shared" si="21"/>
        <v>1534</v>
      </c>
      <c r="M80" s="230">
        <v>445</v>
      </c>
      <c r="N80" s="230">
        <v>747</v>
      </c>
      <c r="O80" s="230">
        <v>357</v>
      </c>
      <c r="P80" s="230">
        <v>38</v>
      </c>
      <c r="Q80" s="230">
        <v>61</v>
      </c>
      <c r="R80" s="230">
        <v>0</v>
      </c>
      <c r="S80" s="230">
        <v>0</v>
      </c>
      <c r="T80" s="230">
        <v>0</v>
      </c>
      <c r="U80" s="448"/>
      <c r="V80" s="229">
        <f t="shared" si="22"/>
        <v>1648</v>
      </c>
      <c r="W80" s="204">
        <v>283</v>
      </c>
      <c r="X80" s="204"/>
      <c r="Y80" s="204"/>
      <c r="Z80" s="214">
        <f t="shared" si="6"/>
        <v>3465</v>
      </c>
      <c r="AA80" s="215">
        <f t="shared" si="23"/>
        <v>2305</v>
      </c>
    </row>
    <row r="81" spans="1:29" x14ac:dyDescent="0.25">
      <c r="A81" s="136" t="s">
        <v>124</v>
      </c>
      <c r="B81" s="228" t="s">
        <v>330</v>
      </c>
      <c r="C81" s="230">
        <v>3280</v>
      </c>
      <c r="D81" s="230">
        <v>1773</v>
      </c>
      <c r="E81" s="230">
        <v>1217</v>
      </c>
      <c r="F81" s="230">
        <v>75</v>
      </c>
      <c r="G81" s="230">
        <v>136</v>
      </c>
      <c r="H81" s="230">
        <v>0</v>
      </c>
      <c r="I81" s="230">
        <v>27</v>
      </c>
      <c r="J81" s="230">
        <v>29</v>
      </c>
      <c r="K81" s="230">
        <v>0</v>
      </c>
      <c r="L81" s="232">
        <f t="shared" si="21"/>
        <v>6537</v>
      </c>
      <c r="M81" s="230">
        <v>669</v>
      </c>
      <c r="N81" s="230">
        <v>940</v>
      </c>
      <c r="O81" s="230">
        <v>408</v>
      </c>
      <c r="P81" s="230">
        <v>42</v>
      </c>
      <c r="Q81" s="230">
        <v>78</v>
      </c>
      <c r="R81" s="230">
        <v>0</v>
      </c>
      <c r="S81" s="230">
        <v>0</v>
      </c>
      <c r="T81" s="230">
        <v>2</v>
      </c>
      <c r="U81" s="448"/>
      <c r="V81" s="229">
        <f t="shared" si="22"/>
        <v>2139</v>
      </c>
      <c r="W81" s="204">
        <v>0</v>
      </c>
      <c r="X81" s="204"/>
      <c r="Y81" s="204"/>
      <c r="Z81" s="214">
        <f t="shared" si="6"/>
        <v>8676</v>
      </c>
      <c r="AA81" s="215">
        <f t="shared" si="23"/>
        <v>6779</v>
      </c>
    </row>
    <row r="82" spans="1:29" x14ac:dyDescent="0.25">
      <c r="A82" s="136" t="s">
        <v>126</v>
      </c>
      <c r="B82" s="137" t="s">
        <v>331</v>
      </c>
      <c r="C82" s="230">
        <v>2616</v>
      </c>
      <c r="D82" s="230">
        <v>742</v>
      </c>
      <c r="E82" s="230">
        <v>1035</v>
      </c>
      <c r="F82" s="230">
        <v>86</v>
      </c>
      <c r="G82" s="230">
        <v>45</v>
      </c>
      <c r="H82" s="230">
        <v>0</v>
      </c>
      <c r="I82" s="230">
        <v>0</v>
      </c>
      <c r="J82" s="230">
        <v>371</v>
      </c>
      <c r="K82" s="230">
        <v>86</v>
      </c>
      <c r="L82" s="232">
        <f t="shared" si="21"/>
        <v>4981</v>
      </c>
      <c r="M82" s="230">
        <v>2267</v>
      </c>
      <c r="N82" s="230">
        <v>1859</v>
      </c>
      <c r="O82" s="230">
        <v>1515</v>
      </c>
      <c r="P82" s="230">
        <v>161</v>
      </c>
      <c r="Q82" s="230">
        <v>71</v>
      </c>
      <c r="R82" s="230">
        <v>0</v>
      </c>
      <c r="S82" s="230">
        <v>0</v>
      </c>
      <c r="T82" s="230">
        <v>14</v>
      </c>
      <c r="U82" s="448"/>
      <c r="V82" s="229">
        <f t="shared" si="22"/>
        <v>5887</v>
      </c>
      <c r="W82" s="204">
        <v>2337</v>
      </c>
      <c r="X82" s="204"/>
      <c r="Y82" s="204"/>
      <c r="Z82" s="214">
        <f t="shared" si="6"/>
        <v>13205</v>
      </c>
      <c r="AA82" s="215">
        <f t="shared" si="23"/>
        <v>7817</v>
      </c>
    </row>
    <row r="83" spans="1:29" x14ac:dyDescent="0.25">
      <c r="A83" s="136" t="s">
        <v>132</v>
      </c>
      <c r="B83" s="137" t="s">
        <v>298</v>
      </c>
      <c r="C83" s="230">
        <v>2971</v>
      </c>
      <c r="D83" s="230">
        <v>3449</v>
      </c>
      <c r="E83" s="230">
        <v>2171</v>
      </c>
      <c r="F83" s="230">
        <v>129</v>
      </c>
      <c r="G83" s="230">
        <v>108</v>
      </c>
      <c r="H83" s="230">
        <v>19</v>
      </c>
      <c r="I83" s="230">
        <v>17</v>
      </c>
      <c r="J83" s="230">
        <v>424</v>
      </c>
      <c r="K83" s="230">
        <v>0</v>
      </c>
      <c r="L83" s="232">
        <f t="shared" si="21"/>
        <v>9288</v>
      </c>
      <c r="M83" s="230">
        <v>1262</v>
      </c>
      <c r="N83" s="230">
        <v>2022</v>
      </c>
      <c r="O83" s="230">
        <v>1297</v>
      </c>
      <c r="P83" s="230">
        <v>14</v>
      </c>
      <c r="Q83" s="230">
        <v>79</v>
      </c>
      <c r="R83" s="230">
        <v>167</v>
      </c>
      <c r="S83" s="230">
        <v>0</v>
      </c>
      <c r="T83" s="230">
        <v>10</v>
      </c>
      <c r="U83" s="389"/>
      <c r="V83" s="229">
        <f t="shared" si="22"/>
        <v>4851</v>
      </c>
      <c r="W83" s="204">
        <v>782</v>
      </c>
      <c r="X83" s="204"/>
      <c r="Y83" s="204"/>
      <c r="Z83" s="214">
        <f t="shared" si="6"/>
        <v>14921</v>
      </c>
      <c r="AA83" s="215">
        <f t="shared" si="23"/>
        <v>9847</v>
      </c>
    </row>
    <row r="84" spans="1:29" ht="12.75" customHeight="1" x14ac:dyDescent="0.25">
      <c r="A84" s="136" t="s">
        <v>137</v>
      </c>
      <c r="B84" s="228" t="s">
        <v>299</v>
      </c>
      <c r="C84" s="230">
        <v>1964</v>
      </c>
      <c r="D84" s="230">
        <v>949</v>
      </c>
      <c r="E84" s="230">
        <v>783</v>
      </c>
      <c r="F84" s="230">
        <v>44</v>
      </c>
      <c r="G84" s="230">
        <v>100</v>
      </c>
      <c r="H84" s="230">
        <v>0</v>
      </c>
      <c r="I84" s="230">
        <v>0</v>
      </c>
      <c r="J84" s="230">
        <v>309</v>
      </c>
      <c r="K84" s="230">
        <v>0</v>
      </c>
      <c r="L84" s="232">
        <f t="shared" si="21"/>
        <v>4149</v>
      </c>
      <c r="M84" s="230">
        <v>1893</v>
      </c>
      <c r="N84" s="230">
        <v>2200</v>
      </c>
      <c r="O84" s="230">
        <v>1366</v>
      </c>
      <c r="P84" s="230">
        <v>103</v>
      </c>
      <c r="Q84" s="230">
        <v>111</v>
      </c>
      <c r="R84" s="230">
        <v>0</v>
      </c>
      <c r="S84" s="230">
        <v>0</v>
      </c>
      <c r="T84" s="230">
        <v>0</v>
      </c>
      <c r="U84" s="189"/>
      <c r="V84" s="176">
        <f t="shared" si="22"/>
        <v>5673</v>
      </c>
      <c r="W84" s="204">
        <v>449</v>
      </c>
      <c r="X84" s="204"/>
      <c r="Y84" s="204"/>
      <c r="Z84" s="214">
        <f t="shared" si="6"/>
        <v>10271</v>
      </c>
      <c r="AA84" s="215">
        <f t="shared" si="23"/>
        <v>7153</v>
      </c>
    </row>
    <row r="85" spans="1:29" x14ac:dyDescent="0.25">
      <c r="A85" s="136" t="s">
        <v>148</v>
      </c>
      <c r="B85" s="137" t="s">
        <v>300</v>
      </c>
      <c r="C85" s="230">
        <v>765</v>
      </c>
      <c r="D85" s="230">
        <v>633</v>
      </c>
      <c r="E85" s="230">
        <v>524</v>
      </c>
      <c r="F85" s="230">
        <v>56</v>
      </c>
      <c r="G85" s="230">
        <v>25</v>
      </c>
      <c r="H85" s="230">
        <v>0</v>
      </c>
      <c r="I85" s="230">
        <v>20</v>
      </c>
      <c r="J85" s="230">
        <v>135</v>
      </c>
      <c r="K85" s="230">
        <v>2</v>
      </c>
      <c r="L85" s="232">
        <f t="shared" si="21"/>
        <v>2160</v>
      </c>
      <c r="M85" s="230">
        <v>603</v>
      </c>
      <c r="N85" s="230">
        <v>752</v>
      </c>
      <c r="O85" s="230">
        <v>635</v>
      </c>
      <c r="P85" s="230">
        <v>7</v>
      </c>
      <c r="Q85" s="230">
        <v>30</v>
      </c>
      <c r="R85" s="230">
        <v>45</v>
      </c>
      <c r="S85" s="230">
        <v>0</v>
      </c>
      <c r="T85" s="230">
        <v>0</v>
      </c>
      <c r="U85" s="389"/>
      <c r="V85" s="229">
        <f t="shared" si="22"/>
        <v>2072</v>
      </c>
      <c r="W85" s="204">
        <v>220</v>
      </c>
      <c r="X85" s="204"/>
      <c r="Y85" s="204"/>
      <c r="Z85" s="214">
        <f t="shared" si="6"/>
        <v>4452</v>
      </c>
      <c r="AA85" s="215">
        <f t="shared" si="23"/>
        <v>2818</v>
      </c>
    </row>
    <row r="86" spans="1:29" x14ac:dyDescent="0.25">
      <c r="A86" s="136" t="s">
        <v>169</v>
      </c>
      <c r="B86" s="137" t="s">
        <v>301</v>
      </c>
      <c r="C86" s="230">
        <v>387</v>
      </c>
      <c r="D86" s="230">
        <v>230</v>
      </c>
      <c r="E86" s="230">
        <v>180</v>
      </c>
      <c r="F86" s="230">
        <v>12</v>
      </c>
      <c r="G86" s="230">
        <v>62</v>
      </c>
      <c r="H86" s="230">
        <v>0</v>
      </c>
      <c r="I86" s="230">
        <v>85</v>
      </c>
      <c r="J86" s="230">
        <v>63</v>
      </c>
      <c r="K86" s="230">
        <v>0</v>
      </c>
      <c r="L86" s="232">
        <f t="shared" si="21"/>
        <v>1019</v>
      </c>
      <c r="M86" s="230">
        <v>223</v>
      </c>
      <c r="N86" s="230">
        <v>515</v>
      </c>
      <c r="O86" s="230">
        <v>215</v>
      </c>
      <c r="P86" s="230">
        <v>68</v>
      </c>
      <c r="Q86" s="230">
        <v>51</v>
      </c>
      <c r="R86" s="230">
        <v>0</v>
      </c>
      <c r="S86" s="230">
        <v>0</v>
      </c>
      <c r="T86" s="230">
        <v>0</v>
      </c>
      <c r="U86" s="389"/>
      <c r="V86" s="229">
        <f t="shared" si="22"/>
        <v>1072</v>
      </c>
      <c r="W86" s="205"/>
      <c r="X86" s="204"/>
      <c r="Y86" s="204"/>
      <c r="Z86" s="214">
        <f t="shared" si="6"/>
        <v>2091</v>
      </c>
      <c r="AA86" s="215">
        <f t="shared" si="23"/>
        <v>1435</v>
      </c>
    </row>
    <row r="87" spans="1:29" x14ac:dyDescent="0.25">
      <c r="A87" s="136" t="s">
        <v>172</v>
      </c>
      <c r="B87" s="137" t="s">
        <v>333</v>
      </c>
      <c r="C87" s="230">
        <v>18513</v>
      </c>
      <c r="D87" s="230">
        <v>3320</v>
      </c>
      <c r="E87" s="230">
        <v>3597</v>
      </c>
      <c r="F87" s="230">
        <v>416</v>
      </c>
      <c r="G87" s="230">
        <v>221</v>
      </c>
      <c r="H87" s="230">
        <v>72</v>
      </c>
      <c r="I87" s="230">
        <v>143</v>
      </c>
      <c r="J87" s="230">
        <v>15719</v>
      </c>
      <c r="K87" s="230">
        <v>0</v>
      </c>
      <c r="L87" s="232">
        <f t="shared" si="21"/>
        <v>42001</v>
      </c>
      <c r="M87" s="230">
        <v>3013</v>
      </c>
      <c r="N87" s="230">
        <v>2955</v>
      </c>
      <c r="O87" s="230">
        <v>1631</v>
      </c>
      <c r="P87" s="230">
        <v>253</v>
      </c>
      <c r="Q87" s="230">
        <v>89</v>
      </c>
      <c r="R87" s="230">
        <v>134</v>
      </c>
      <c r="S87" s="230">
        <v>39</v>
      </c>
      <c r="T87" s="230">
        <v>36</v>
      </c>
      <c r="U87" s="389"/>
      <c r="V87" s="229">
        <f t="shared" si="22"/>
        <v>8150</v>
      </c>
      <c r="W87" s="209">
        <v>0</v>
      </c>
      <c r="X87" s="209"/>
      <c r="Y87" s="209"/>
      <c r="Z87" s="214">
        <f t="shared" si="6"/>
        <v>50151</v>
      </c>
      <c r="AA87" s="215">
        <f t="shared" si="23"/>
        <v>28470</v>
      </c>
    </row>
    <row r="88" spans="1:29" ht="13.8" thickBot="1" x14ac:dyDescent="0.3">
      <c r="A88" s="136" t="s">
        <v>175</v>
      </c>
      <c r="B88" s="137" t="s">
        <v>334</v>
      </c>
      <c r="C88" s="265">
        <v>850</v>
      </c>
      <c r="D88" s="265">
        <v>275</v>
      </c>
      <c r="E88" s="265">
        <v>310</v>
      </c>
      <c r="F88" s="265">
        <v>19</v>
      </c>
      <c r="G88" s="265">
        <v>27</v>
      </c>
      <c r="H88" s="265">
        <v>0</v>
      </c>
      <c r="I88" s="265">
        <v>0</v>
      </c>
      <c r="J88" s="265">
        <v>41</v>
      </c>
      <c r="K88" s="265">
        <v>0</v>
      </c>
      <c r="L88" s="239">
        <f t="shared" si="21"/>
        <v>1522</v>
      </c>
      <c r="M88" s="265">
        <v>2488</v>
      </c>
      <c r="N88" s="265">
        <v>1383</v>
      </c>
      <c r="O88" s="265">
        <v>1479</v>
      </c>
      <c r="P88" s="265">
        <v>83</v>
      </c>
      <c r="Q88" s="265">
        <v>66</v>
      </c>
      <c r="R88" s="265">
        <v>0</v>
      </c>
      <c r="S88" s="265">
        <v>0</v>
      </c>
      <c r="T88" s="265">
        <v>5</v>
      </c>
      <c r="U88" s="528"/>
      <c r="V88" s="231">
        <f t="shared" si="22"/>
        <v>5504</v>
      </c>
      <c r="W88" s="209">
        <v>1048</v>
      </c>
      <c r="X88" s="209"/>
      <c r="Y88" s="209"/>
      <c r="Z88" s="214">
        <f t="shared" si="6"/>
        <v>8074</v>
      </c>
      <c r="AA88" s="215">
        <f t="shared" si="23"/>
        <v>5098</v>
      </c>
    </row>
    <row r="89" spans="1:29" s="109" customFormat="1" ht="14.4" thickBot="1" x14ac:dyDescent="0.3">
      <c r="A89" s="134"/>
      <c r="B89" s="159" t="s">
        <v>461</v>
      </c>
      <c r="C89" s="258">
        <f t="shared" ref="C89:AA89" si="24">SUM(C73:C88)</f>
        <v>53364</v>
      </c>
      <c r="D89" s="157">
        <f t="shared" si="24"/>
        <v>17898</v>
      </c>
      <c r="E89" s="259">
        <f t="shared" si="24"/>
        <v>22012</v>
      </c>
      <c r="F89" s="159">
        <f t="shared" si="24"/>
        <v>1535</v>
      </c>
      <c r="G89" s="159">
        <f t="shared" si="24"/>
        <v>1282</v>
      </c>
      <c r="H89" s="159">
        <f t="shared" si="24"/>
        <v>117</v>
      </c>
      <c r="I89" s="159">
        <f t="shared" si="24"/>
        <v>651</v>
      </c>
      <c r="J89" s="159">
        <f t="shared" si="24"/>
        <v>18274</v>
      </c>
      <c r="K89" s="450">
        <f t="shared" si="24"/>
        <v>227</v>
      </c>
      <c r="L89" s="260">
        <f t="shared" si="24"/>
        <v>115360</v>
      </c>
      <c r="M89" s="262">
        <f t="shared" si="24"/>
        <v>19493</v>
      </c>
      <c r="N89" s="158">
        <f t="shared" si="24"/>
        <v>20468</v>
      </c>
      <c r="O89" s="158">
        <f t="shared" si="24"/>
        <v>15098</v>
      </c>
      <c r="P89" s="158">
        <f t="shared" si="24"/>
        <v>1132</v>
      </c>
      <c r="Q89" s="158">
        <f t="shared" si="24"/>
        <v>987</v>
      </c>
      <c r="R89" s="158">
        <f t="shared" si="24"/>
        <v>571</v>
      </c>
      <c r="S89" s="158">
        <f t="shared" si="24"/>
        <v>137</v>
      </c>
      <c r="T89" s="158">
        <f t="shared" si="24"/>
        <v>1389</v>
      </c>
      <c r="U89" s="264">
        <f t="shared" si="24"/>
        <v>10</v>
      </c>
      <c r="V89" s="180">
        <f t="shared" si="24"/>
        <v>59285</v>
      </c>
      <c r="W89" s="210">
        <f t="shared" si="24"/>
        <v>12512</v>
      </c>
      <c r="X89" s="210">
        <f t="shared" si="24"/>
        <v>0</v>
      </c>
      <c r="Y89" s="210">
        <f t="shared" si="24"/>
        <v>0</v>
      </c>
      <c r="Z89" s="210">
        <f t="shared" si="24"/>
        <v>187157</v>
      </c>
      <c r="AA89" s="210">
        <f t="shared" si="24"/>
        <v>114127</v>
      </c>
      <c r="AC89"/>
    </row>
    <row r="90" spans="1:29" x14ac:dyDescent="0.25">
      <c r="A90" s="136" t="s">
        <v>67</v>
      </c>
      <c r="B90" s="137" t="s">
        <v>346</v>
      </c>
      <c r="C90" s="280">
        <v>913</v>
      </c>
      <c r="D90" s="280">
        <v>213</v>
      </c>
      <c r="E90" s="280">
        <v>339</v>
      </c>
      <c r="F90" s="280">
        <v>49</v>
      </c>
      <c r="G90" s="280">
        <v>18</v>
      </c>
      <c r="H90" s="280">
        <v>0</v>
      </c>
      <c r="I90" s="280">
        <v>0</v>
      </c>
      <c r="J90" s="280">
        <v>142</v>
      </c>
      <c r="K90" s="280">
        <v>0</v>
      </c>
      <c r="L90" s="234">
        <f t="shared" ref="L90:L105" si="25">SUM(C90:K90)</f>
        <v>1674</v>
      </c>
      <c r="M90" s="280">
        <v>257</v>
      </c>
      <c r="N90" s="280">
        <v>396</v>
      </c>
      <c r="O90" s="280">
        <v>161</v>
      </c>
      <c r="P90" s="280">
        <v>26</v>
      </c>
      <c r="Q90" s="280">
        <v>41</v>
      </c>
      <c r="R90" s="280">
        <v>6</v>
      </c>
      <c r="S90" s="280">
        <v>0</v>
      </c>
      <c r="T90" s="280">
        <v>0</v>
      </c>
      <c r="U90" s="280">
        <v>0</v>
      </c>
      <c r="V90" s="256">
        <f t="shared" ref="V90:V105" si="26">SUM(M90:U90)</f>
        <v>887</v>
      </c>
      <c r="W90" s="211">
        <v>506</v>
      </c>
      <c r="X90" s="211"/>
      <c r="Y90" s="211"/>
      <c r="Z90" s="214">
        <f t="shared" ref="Z90:Z105" si="27">L90+V90+W90+X90</f>
        <v>3067</v>
      </c>
      <c r="AA90" s="215">
        <f t="shared" ref="AA90:AA103" si="28">C90+D90+F90+K90+M90+N90+P90+U90</f>
        <v>1854</v>
      </c>
    </row>
    <row r="91" spans="1:29" x14ac:dyDescent="0.25">
      <c r="A91" s="136" t="s">
        <v>76</v>
      </c>
      <c r="B91" s="137" t="s">
        <v>290</v>
      </c>
      <c r="C91" s="230">
        <v>1206</v>
      </c>
      <c r="D91" s="230">
        <v>510</v>
      </c>
      <c r="E91" s="230">
        <v>914</v>
      </c>
      <c r="F91" s="230">
        <v>42</v>
      </c>
      <c r="G91" s="230">
        <v>64</v>
      </c>
      <c r="H91" s="230">
        <v>0</v>
      </c>
      <c r="I91" s="230">
        <v>0</v>
      </c>
      <c r="J91" s="230">
        <v>170</v>
      </c>
      <c r="K91" s="230">
        <v>0</v>
      </c>
      <c r="L91" s="232">
        <f t="shared" si="25"/>
        <v>2906</v>
      </c>
      <c r="M91" s="230">
        <v>305</v>
      </c>
      <c r="N91" s="230">
        <v>462</v>
      </c>
      <c r="O91" s="230">
        <v>461</v>
      </c>
      <c r="P91" s="230">
        <v>22</v>
      </c>
      <c r="Q91" s="230">
        <v>32</v>
      </c>
      <c r="R91" s="230">
        <v>0</v>
      </c>
      <c r="S91" s="230">
        <v>0</v>
      </c>
      <c r="T91" s="230">
        <v>306</v>
      </c>
      <c r="U91" s="230">
        <v>0</v>
      </c>
      <c r="V91" s="229">
        <f t="shared" si="26"/>
        <v>1588</v>
      </c>
      <c r="W91" s="204">
        <v>2997</v>
      </c>
      <c r="X91" s="204"/>
      <c r="Y91" s="204"/>
      <c r="Z91" s="214">
        <f t="shared" si="27"/>
        <v>7491</v>
      </c>
      <c r="AA91" s="215">
        <f t="shared" si="28"/>
        <v>2547</v>
      </c>
      <c r="AB91" s="142">
        <f>L91+V91</f>
        <v>4494</v>
      </c>
    </row>
    <row r="92" spans="1:29" x14ac:dyDescent="0.25">
      <c r="A92" s="136" t="s">
        <v>79</v>
      </c>
      <c r="B92" s="137" t="s">
        <v>347</v>
      </c>
      <c r="C92" s="230">
        <v>1291</v>
      </c>
      <c r="D92" s="230">
        <v>361</v>
      </c>
      <c r="E92" s="230">
        <v>306</v>
      </c>
      <c r="F92" s="230">
        <v>51</v>
      </c>
      <c r="G92" s="230">
        <v>43</v>
      </c>
      <c r="H92" s="230">
        <v>0</v>
      </c>
      <c r="I92" s="230">
        <v>0</v>
      </c>
      <c r="J92" s="230">
        <v>493</v>
      </c>
      <c r="K92" s="230">
        <v>0</v>
      </c>
      <c r="L92" s="232">
        <f t="shared" si="25"/>
        <v>2545</v>
      </c>
      <c r="M92" s="230">
        <v>532</v>
      </c>
      <c r="N92" s="230">
        <v>353</v>
      </c>
      <c r="O92" s="230">
        <v>192</v>
      </c>
      <c r="P92" s="230">
        <v>57</v>
      </c>
      <c r="Q92" s="230">
        <v>12</v>
      </c>
      <c r="R92" s="230">
        <v>9</v>
      </c>
      <c r="S92" s="230">
        <v>0</v>
      </c>
      <c r="T92" s="230">
        <v>2</v>
      </c>
      <c r="U92" s="230">
        <v>0</v>
      </c>
      <c r="V92" s="229">
        <f t="shared" si="26"/>
        <v>1157</v>
      </c>
      <c r="W92" s="204">
        <v>906</v>
      </c>
      <c r="X92" s="204"/>
      <c r="Y92" s="204"/>
      <c r="Z92" s="214">
        <f t="shared" si="27"/>
        <v>4608</v>
      </c>
      <c r="AA92" s="215">
        <f t="shared" si="28"/>
        <v>2645</v>
      </c>
    </row>
    <row r="93" spans="1:29" x14ac:dyDescent="0.25">
      <c r="A93" s="136" t="s">
        <v>83</v>
      </c>
      <c r="B93" s="228" t="s">
        <v>291</v>
      </c>
      <c r="C93" s="230">
        <v>9155</v>
      </c>
      <c r="D93" s="230">
        <v>7134</v>
      </c>
      <c r="E93" s="230">
        <v>4029</v>
      </c>
      <c r="F93" s="230">
        <v>102</v>
      </c>
      <c r="G93" s="230">
        <v>377</v>
      </c>
      <c r="H93" s="230">
        <v>85</v>
      </c>
      <c r="I93" s="230">
        <v>122</v>
      </c>
      <c r="J93" s="230">
        <v>618</v>
      </c>
      <c r="K93" s="230">
        <v>0</v>
      </c>
      <c r="L93" s="232">
        <f t="shared" si="25"/>
        <v>21622</v>
      </c>
      <c r="M93" s="230">
        <v>2448</v>
      </c>
      <c r="N93" s="230">
        <v>3554</v>
      </c>
      <c r="O93" s="230">
        <v>1965</v>
      </c>
      <c r="P93" s="230">
        <v>41</v>
      </c>
      <c r="Q93" s="230">
        <v>213</v>
      </c>
      <c r="R93" s="230">
        <v>35</v>
      </c>
      <c r="S93" s="230">
        <v>0</v>
      </c>
      <c r="T93" s="230">
        <v>1</v>
      </c>
      <c r="U93" s="230">
        <v>0</v>
      </c>
      <c r="V93" s="229">
        <f t="shared" si="26"/>
        <v>8257</v>
      </c>
      <c r="W93" s="205"/>
      <c r="X93" s="204"/>
      <c r="Y93" s="204"/>
      <c r="Z93" s="214">
        <f t="shared" si="27"/>
        <v>29879</v>
      </c>
      <c r="AA93" s="215">
        <f t="shared" si="28"/>
        <v>22434</v>
      </c>
    </row>
    <row r="94" spans="1:29" x14ac:dyDescent="0.25">
      <c r="A94" s="136" t="s">
        <v>89</v>
      </c>
      <c r="B94" s="137" t="s">
        <v>348</v>
      </c>
      <c r="C94" s="230">
        <v>711</v>
      </c>
      <c r="D94" s="230">
        <v>432</v>
      </c>
      <c r="E94" s="230">
        <v>367</v>
      </c>
      <c r="F94" s="230">
        <v>15</v>
      </c>
      <c r="G94" s="230">
        <v>7</v>
      </c>
      <c r="H94" s="230">
        <v>0</v>
      </c>
      <c r="I94" s="230">
        <v>0</v>
      </c>
      <c r="J94" s="230">
        <v>106</v>
      </c>
      <c r="K94" s="230">
        <v>0</v>
      </c>
      <c r="L94" s="232">
        <f t="shared" si="25"/>
        <v>1638</v>
      </c>
      <c r="M94" s="230">
        <v>263</v>
      </c>
      <c r="N94" s="230">
        <v>503</v>
      </c>
      <c r="O94" s="230">
        <v>249</v>
      </c>
      <c r="P94" s="230">
        <v>13</v>
      </c>
      <c r="Q94" s="230">
        <v>13</v>
      </c>
      <c r="R94" s="230">
        <v>0</v>
      </c>
      <c r="S94" s="230">
        <v>0</v>
      </c>
      <c r="T94" s="230">
        <v>6</v>
      </c>
      <c r="U94" s="230">
        <v>0</v>
      </c>
      <c r="V94" s="229">
        <f t="shared" si="26"/>
        <v>1047</v>
      </c>
      <c r="W94" s="204">
        <v>1294</v>
      </c>
      <c r="X94" s="204"/>
      <c r="Y94" s="204"/>
      <c r="Z94" s="214">
        <f t="shared" si="27"/>
        <v>3979</v>
      </c>
      <c r="AA94" s="215">
        <f t="shared" si="28"/>
        <v>1937</v>
      </c>
    </row>
    <row r="95" spans="1:29" x14ac:dyDescent="0.25">
      <c r="A95" s="136" t="s">
        <v>90</v>
      </c>
      <c r="B95" s="137" t="s">
        <v>349</v>
      </c>
      <c r="C95" s="230">
        <v>2010</v>
      </c>
      <c r="D95" s="230">
        <v>923</v>
      </c>
      <c r="E95" s="230">
        <v>992</v>
      </c>
      <c r="F95" s="230">
        <v>71</v>
      </c>
      <c r="G95" s="230">
        <v>20</v>
      </c>
      <c r="H95" s="230">
        <v>0</v>
      </c>
      <c r="I95" s="230">
        <v>0</v>
      </c>
      <c r="J95" s="230">
        <v>208</v>
      </c>
      <c r="K95" s="230">
        <v>0</v>
      </c>
      <c r="L95" s="232">
        <f t="shared" si="25"/>
        <v>4224</v>
      </c>
      <c r="M95" s="230">
        <v>1321</v>
      </c>
      <c r="N95" s="230">
        <v>1340</v>
      </c>
      <c r="O95" s="230">
        <v>926</v>
      </c>
      <c r="P95" s="230">
        <v>35</v>
      </c>
      <c r="Q95" s="230">
        <v>33</v>
      </c>
      <c r="R95" s="230">
        <v>4</v>
      </c>
      <c r="S95" s="230">
        <v>0</v>
      </c>
      <c r="T95" s="230">
        <v>13</v>
      </c>
      <c r="U95" s="230">
        <v>0</v>
      </c>
      <c r="V95" s="229">
        <f t="shared" si="26"/>
        <v>3672</v>
      </c>
      <c r="W95" s="204">
        <v>2165</v>
      </c>
      <c r="X95" s="204"/>
      <c r="Y95" s="204"/>
      <c r="Z95" s="214">
        <f t="shared" si="27"/>
        <v>10061</v>
      </c>
      <c r="AA95" s="215">
        <f t="shared" si="28"/>
        <v>5700</v>
      </c>
    </row>
    <row r="96" spans="1:29" x14ac:dyDescent="0.25">
      <c r="A96" s="136" t="s">
        <v>93</v>
      </c>
      <c r="B96" s="137" t="s">
        <v>359</v>
      </c>
      <c r="C96" s="230">
        <v>3705</v>
      </c>
      <c r="D96" s="230">
        <v>1339</v>
      </c>
      <c r="E96" s="230">
        <v>2130</v>
      </c>
      <c r="F96" s="230">
        <v>174</v>
      </c>
      <c r="G96" s="230">
        <v>91</v>
      </c>
      <c r="H96" s="230">
        <v>0</v>
      </c>
      <c r="I96" s="230">
        <v>134</v>
      </c>
      <c r="J96" s="230">
        <v>536</v>
      </c>
      <c r="K96" s="230">
        <v>0</v>
      </c>
      <c r="L96" s="232">
        <f t="shared" si="25"/>
        <v>8109</v>
      </c>
      <c r="M96" s="230">
        <v>1029</v>
      </c>
      <c r="N96" s="230">
        <v>1169</v>
      </c>
      <c r="O96" s="230">
        <v>907</v>
      </c>
      <c r="P96" s="230">
        <v>101</v>
      </c>
      <c r="Q96" s="230">
        <v>18</v>
      </c>
      <c r="R96" s="230">
        <v>0</v>
      </c>
      <c r="S96" s="230">
        <v>0</v>
      </c>
      <c r="T96" s="230">
        <v>7</v>
      </c>
      <c r="U96" s="230">
        <v>0</v>
      </c>
      <c r="V96" s="229">
        <f t="shared" si="26"/>
        <v>3231</v>
      </c>
      <c r="W96" s="204">
        <v>521</v>
      </c>
      <c r="X96" s="204"/>
      <c r="Y96" s="204"/>
      <c r="Z96" s="214">
        <f t="shared" si="27"/>
        <v>11861</v>
      </c>
      <c r="AA96" s="215">
        <f t="shared" si="28"/>
        <v>7517</v>
      </c>
    </row>
    <row r="97" spans="1:27" x14ac:dyDescent="0.25">
      <c r="A97" s="136" t="s">
        <v>97</v>
      </c>
      <c r="B97" s="137" t="s">
        <v>294</v>
      </c>
      <c r="C97" s="230">
        <v>3972</v>
      </c>
      <c r="D97" s="230">
        <v>1899</v>
      </c>
      <c r="E97" s="230">
        <v>1771</v>
      </c>
      <c r="F97" s="230">
        <v>37</v>
      </c>
      <c r="G97" s="230">
        <v>89</v>
      </c>
      <c r="H97" s="230">
        <v>733</v>
      </c>
      <c r="I97" s="230">
        <v>29</v>
      </c>
      <c r="J97" s="230">
        <v>195</v>
      </c>
      <c r="K97" s="230">
        <v>0</v>
      </c>
      <c r="L97" s="232">
        <f t="shared" si="25"/>
        <v>8725</v>
      </c>
      <c r="M97" s="230">
        <v>2371</v>
      </c>
      <c r="N97" s="230">
        <v>2297</v>
      </c>
      <c r="O97" s="230">
        <v>1629</v>
      </c>
      <c r="P97" s="230">
        <v>77</v>
      </c>
      <c r="Q97" s="230">
        <v>76</v>
      </c>
      <c r="R97" s="230">
        <v>91</v>
      </c>
      <c r="S97" s="230">
        <v>0</v>
      </c>
      <c r="T97" s="230">
        <v>0</v>
      </c>
      <c r="U97" s="230">
        <v>0</v>
      </c>
      <c r="V97" s="229">
        <f t="shared" si="26"/>
        <v>6541</v>
      </c>
      <c r="W97" s="204">
        <v>1542</v>
      </c>
      <c r="X97" s="204"/>
      <c r="Y97" s="204"/>
      <c r="Z97" s="214">
        <f t="shared" si="27"/>
        <v>16808</v>
      </c>
      <c r="AA97" s="215">
        <f t="shared" si="28"/>
        <v>10653</v>
      </c>
    </row>
    <row r="98" spans="1:27" x14ac:dyDescent="0.25">
      <c r="A98" s="136" t="s">
        <v>125</v>
      </c>
      <c r="B98" s="137" t="s">
        <v>350</v>
      </c>
      <c r="C98" s="230">
        <v>1959</v>
      </c>
      <c r="D98" s="230">
        <v>776</v>
      </c>
      <c r="E98" s="230">
        <v>882</v>
      </c>
      <c r="F98" s="230">
        <v>86</v>
      </c>
      <c r="G98" s="230">
        <v>60</v>
      </c>
      <c r="H98" s="230">
        <v>0</v>
      </c>
      <c r="I98" s="230">
        <v>0</v>
      </c>
      <c r="J98" s="230">
        <v>277</v>
      </c>
      <c r="K98" s="230">
        <v>2</v>
      </c>
      <c r="L98" s="232">
        <f t="shared" si="25"/>
        <v>4042</v>
      </c>
      <c r="M98" s="230">
        <v>1292</v>
      </c>
      <c r="N98" s="230">
        <v>1422</v>
      </c>
      <c r="O98" s="230">
        <v>945</v>
      </c>
      <c r="P98" s="230">
        <v>90</v>
      </c>
      <c r="Q98" s="230">
        <v>54</v>
      </c>
      <c r="R98" s="230">
        <v>93</v>
      </c>
      <c r="S98" s="230">
        <v>0</v>
      </c>
      <c r="T98" s="230">
        <v>16</v>
      </c>
      <c r="U98" s="230">
        <v>0</v>
      </c>
      <c r="V98" s="229">
        <f t="shared" si="26"/>
        <v>3912</v>
      </c>
      <c r="W98" s="204">
        <v>1378</v>
      </c>
      <c r="X98" s="204"/>
      <c r="Y98" s="204"/>
      <c r="Z98" s="214">
        <f t="shared" si="27"/>
        <v>9332</v>
      </c>
      <c r="AA98" s="215">
        <f t="shared" si="28"/>
        <v>5627</v>
      </c>
    </row>
    <row r="99" spans="1:27" x14ac:dyDescent="0.25">
      <c r="A99" s="136" t="s">
        <v>135</v>
      </c>
      <c r="B99" s="137" t="s">
        <v>351</v>
      </c>
      <c r="C99" s="230">
        <v>3073</v>
      </c>
      <c r="D99" s="230">
        <v>1624</v>
      </c>
      <c r="E99" s="230">
        <v>1473</v>
      </c>
      <c r="F99" s="230">
        <v>102</v>
      </c>
      <c r="G99" s="230">
        <v>75</v>
      </c>
      <c r="H99" s="230">
        <v>0</v>
      </c>
      <c r="I99" s="230">
        <v>0</v>
      </c>
      <c r="J99" s="230">
        <v>155</v>
      </c>
      <c r="K99" s="230">
        <v>2</v>
      </c>
      <c r="L99" s="232">
        <f t="shared" si="25"/>
        <v>6504</v>
      </c>
      <c r="M99" s="230">
        <v>899</v>
      </c>
      <c r="N99" s="230">
        <v>1530</v>
      </c>
      <c r="O99" s="230">
        <v>750</v>
      </c>
      <c r="P99" s="230">
        <v>43</v>
      </c>
      <c r="Q99" s="230">
        <v>47</v>
      </c>
      <c r="R99" s="230">
        <v>5</v>
      </c>
      <c r="S99" s="230">
        <v>0</v>
      </c>
      <c r="T99" s="230">
        <v>79</v>
      </c>
      <c r="U99" s="230">
        <v>0</v>
      </c>
      <c r="V99" s="229">
        <f t="shared" si="26"/>
        <v>3353</v>
      </c>
      <c r="W99" s="204">
        <v>671</v>
      </c>
      <c r="X99" s="204"/>
      <c r="Y99" s="204"/>
      <c r="Z99" s="214">
        <f t="shared" si="27"/>
        <v>10528</v>
      </c>
      <c r="AA99" s="215">
        <f t="shared" si="28"/>
        <v>7273</v>
      </c>
    </row>
    <row r="100" spans="1:27" x14ac:dyDescent="0.25">
      <c r="A100" s="136" t="s">
        <v>144</v>
      </c>
      <c r="B100" s="137" t="s">
        <v>352</v>
      </c>
      <c r="C100" s="230">
        <v>2748</v>
      </c>
      <c r="D100" s="230">
        <v>501</v>
      </c>
      <c r="E100" s="230">
        <v>1234</v>
      </c>
      <c r="F100" s="230">
        <v>111</v>
      </c>
      <c r="G100" s="230">
        <v>66</v>
      </c>
      <c r="H100" s="230">
        <v>0</v>
      </c>
      <c r="I100" s="230">
        <v>0</v>
      </c>
      <c r="J100" s="230">
        <v>211</v>
      </c>
      <c r="K100" s="230">
        <v>0</v>
      </c>
      <c r="L100" s="232">
        <f t="shared" si="25"/>
        <v>4871</v>
      </c>
      <c r="M100" s="230">
        <v>1146</v>
      </c>
      <c r="N100" s="230">
        <v>676</v>
      </c>
      <c r="O100" s="230">
        <v>800</v>
      </c>
      <c r="P100" s="230">
        <v>46</v>
      </c>
      <c r="Q100" s="230">
        <v>20</v>
      </c>
      <c r="R100" s="230">
        <v>0</v>
      </c>
      <c r="S100" s="230">
        <v>0</v>
      </c>
      <c r="T100" s="230">
        <v>0</v>
      </c>
      <c r="U100" s="230">
        <v>0</v>
      </c>
      <c r="V100" s="229">
        <f t="shared" si="26"/>
        <v>2688</v>
      </c>
      <c r="W100" s="204">
        <v>408</v>
      </c>
      <c r="X100" s="204"/>
      <c r="Y100" s="204"/>
      <c r="Z100" s="214">
        <f t="shared" si="27"/>
        <v>7967</v>
      </c>
      <c r="AA100" s="215">
        <f t="shared" si="28"/>
        <v>5228</v>
      </c>
    </row>
    <row r="101" spans="1:27" x14ac:dyDescent="0.25">
      <c r="A101" s="136" t="s">
        <v>176</v>
      </c>
      <c r="B101" s="137" t="s">
        <v>354</v>
      </c>
      <c r="C101" s="230">
        <v>2154</v>
      </c>
      <c r="D101" s="230">
        <v>1171</v>
      </c>
      <c r="E101" s="230">
        <v>1141</v>
      </c>
      <c r="F101" s="230">
        <v>47</v>
      </c>
      <c r="G101" s="230">
        <v>59</v>
      </c>
      <c r="H101" s="230">
        <v>0</v>
      </c>
      <c r="I101" s="230">
        <v>11</v>
      </c>
      <c r="J101" s="230">
        <v>269</v>
      </c>
      <c r="K101" s="230">
        <v>0</v>
      </c>
      <c r="L101" s="232">
        <f t="shared" si="25"/>
        <v>4852</v>
      </c>
      <c r="M101" s="230">
        <v>808</v>
      </c>
      <c r="N101" s="230">
        <v>1316</v>
      </c>
      <c r="O101" s="230">
        <v>692</v>
      </c>
      <c r="P101" s="230">
        <v>48</v>
      </c>
      <c r="Q101" s="230">
        <v>45</v>
      </c>
      <c r="R101" s="230">
        <v>0</v>
      </c>
      <c r="S101" s="230">
        <v>0</v>
      </c>
      <c r="T101" s="230">
        <v>0</v>
      </c>
      <c r="U101" s="230">
        <v>0</v>
      </c>
      <c r="V101" s="229">
        <f t="shared" si="26"/>
        <v>2909</v>
      </c>
      <c r="W101" s="204">
        <v>1077</v>
      </c>
      <c r="X101" s="204"/>
      <c r="Y101" s="204"/>
      <c r="Z101" s="214">
        <f t="shared" si="27"/>
        <v>8838</v>
      </c>
      <c r="AA101" s="215">
        <f t="shared" si="28"/>
        <v>5544</v>
      </c>
    </row>
    <row r="102" spans="1:27" x14ac:dyDescent="0.25">
      <c r="A102" s="136" t="s">
        <v>363</v>
      </c>
      <c r="B102" s="228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25"/>
        <v>0</v>
      </c>
      <c r="M102" s="147"/>
      <c r="N102" s="147"/>
      <c r="O102" s="147"/>
      <c r="P102" s="147"/>
      <c r="Q102" s="147"/>
      <c r="R102" s="147"/>
      <c r="S102" s="147"/>
      <c r="T102" s="147"/>
      <c r="U102" s="147"/>
      <c r="V102" s="229">
        <f t="shared" si="26"/>
        <v>0</v>
      </c>
      <c r="W102" s="204">
        <f>0+1562+3075+1741+9166+4476+2956+1498+3301</f>
        <v>27775</v>
      </c>
      <c r="X102" s="204"/>
      <c r="Y102" s="204"/>
      <c r="Z102" s="214">
        <f t="shared" si="27"/>
        <v>27775</v>
      </c>
      <c r="AA102" s="215">
        <f t="shared" si="28"/>
        <v>0</v>
      </c>
    </row>
    <row r="103" spans="1:27" x14ac:dyDescent="0.25">
      <c r="A103" s="136" t="s">
        <v>177</v>
      </c>
      <c r="B103" s="228" t="s">
        <v>302</v>
      </c>
      <c r="C103" s="230">
        <v>12493</v>
      </c>
      <c r="D103" s="230">
        <v>9407</v>
      </c>
      <c r="E103" s="230">
        <v>8235</v>
      </c>
      <c r="F103" s="230">
        <v>126</v>
      </c>
      <c r="G103" s="230">
        <v>211</v>
      </c>
      <c r="H103" s="230">
        <f>189+11</f>
        <v>200</v>
      </c>
      <c r="I103" s="230">
        <v>58</v>
      </c>
      <c r="J103" s="230">
        <v>685</v>
      </c>
      <c r="K103" s="230">
        <v>0</v>
      </c>
      <c r="L103" s="232">
        <f t="shared" si="25"/>
        <v>31415</v>
      </c>
      <c r="M103" s="230">
        <v>1513</v>
      </c>
      <c r="N103" s="230">
        <v>4048</v>
      </c>
      <c r="O103" s="230">
        <v>2071</v>
      </c>
      <c r="P103" s="230">
        <v>32</v>
      </c>
      <c r="Q103" s="230">
        <v>69</v>
      </c>
      <c r="R103" s="230">
        <v>0</v>
      </c>
      <c r="S103" s="230">
        <v>5</v>
      </c>
      <c r="T103" s="230">
        <v>74</v>
      </c>
      <c r="U103" s="230">
        <v>0</v>
      </c>
      <c r="V103" s="229">
        <f t="shared" si="26"/>
        <v>7812</v>
      </c>
      <c r="W103" s="204">
        <v>1463</v>
      </c>
      <c r="X103" s="204"/>
      <c r="Y103" s="204"/>
      <c r="Z103" s="214">
        <f t="shared" si="27"/>
        <v>40690</v>
      </c>
      <c r="AA103" s="215">
        <f t="shared" si="28"/>
        <v>27619</v>
      </c>
    </row>
    <row r="104" spans="1:27" x14ac:dyDescent="0.25">
      <c r="A104" s="136" t="s">
        <v>178</v>
      </c>
      <c r="B104" s="228" t="s">
        <v>304</v>
      </c>
      <c r="C104" s="230">
        <v>5039</v>
      </c>
      <c r="D104" s="230">
        <v>3104</v>
      </c>
      <c r="E104" s="230">
        <v>3249</v>
      </c>
      <c r="F104" s="230">
        <v>167</v>
      </c>
      <c r="G104" s="230">
        <v>60</v>
      </c>
      <c r="H104" s="230">
        <v>38</v>
      </c>
      <c r="I104" s="230">
        <v>0</v>
      </c>
      <c r="J104" s="230">
        <v>263</v>
      </c>
      <c r="K104" s="230">
        <v>0</v>
      </c>
      <c r="L104" s="232">
        <f t="shared" si="25"/>
        <v>11920</v>
      </c>
      <c r="M104" s="230">
        <v>962</v>
      </c>
      <c r="N104" s="230">
        <v>2891</v>
      </c>
      <c r="O104" s="230">
        <v>1418</v>
      </c>
      <c r="P104" s="230">
        <v>14</v>
      </c>
      <c r="Q104" s="230">
        <v>57</v>
      </c>
      <c r="R104" s="230">
        <v>7</v>
      </c>
      <c r="S104" s="230">
        <v>0</v>
      </c>
      <c r="T104" s="230">
        <v>18</v>
      </c>
      <c r="U104" s="230">
        <v>0</v>
      </c>
      <c r="V104" s="229">
        <f t="shared" si="26"/>
        <v>5367</v>
      </c>
      <c r="W104" s="209">
        <v>1086</v>
      </c>
      <c r="X104" s="209"/>
      <c r="Y104" s="209"/>
      <c r="Z104" s="214">
        <f t="shared" si="27"/>
        <v>18373</v>
      </c>
      <c r="AA104" s="217">
        <f>C104+D104+F104+K104+M104+N104+P104+U104</f>
        <v>12177</v>
      </c>
    </row>
    <row r="105" spans="1:27" ht="13.8" thickBot="1" x14ac:dyDescent="0.3">
      <c r="A105" s="136" t="s">
        <v>190</v>
      </c>
      <c r="B105" s="143" t="s">
        <v>364</v>
      </c>
      <c r="C105" s="265">
        <v>6569</v>
      </c>
      <c r="D105" s="265">
        <v>2733</v>
      </c>
      <c r="E105" s="265">
        <v>2853</v>
      </c>
      <c r="F105" s="265">
        <v>71</v>
      </c>
      <c r="G105" s="265">
        <v>164</v>
      </c>
      <c r="H105" s="265">
        <v>23</v>
      </c>
      <c r="I105" s="265">
        <v>0</v>
      </c>
      <c r="J105" s="265">
        <v>587</v>
      </c>
      <c r="K105" s="265">
        <v>0</v>
      </c>
      <c r="L105" s="239">
        <f t="shared" si="25"/>
        <v>13000</v>
      </c>
      <c r="M105" s="265">
        <v>2168</v>
      </c>
      <c r="N105" s="265">
        <v>2923</v>
      </c>
      <c r="O105" s="265">
        <v>1869</v>
      </c>
      <c r="P105" s="265">
        <v>127</v>
      </c>
      <c r="Q105" s="265">
        <v>58</v>
      </c>
      <c r="R105" s="265">
        <v>0</v>
      </c>
      <c r="S105" s="265">
        <v>0</v>
      </c>
      <c r="T105" s="265">
        <v>4</v>
      </c>
      <c r="U105" s="265">
        <v>0</v>
      </c>
      <c r="V105" s="361">
        <f t="shared" si="26"/>
        <v>7149</v>
      </c>
      <c r="W105" s="209">
        <v>794</v>
      </c>
      <c r="X105" s="209"/>
      <c r="Y105" s="209"/>
      <c r="Z105" s="214">
        <f t="shared" si="27"/>
        <v>20943</v>
      </c>
      <c r="AA105" s="217">
        <f>C105+D105+F105+K105+M105+N105+P105+U105</f>
        <v>14591</v>
      </c>
    </row>
    <row r="106" spans="1:27" s="109" customFormat="1" ht="14.4" thickBot="1" x14ac:dyDescent="0.3">
      <c r="A106" s="134"/>
      <c r="B106" s="159" t="s">
        <v>462</v>
      </c>
      <c r="C106" s="293">
        <f t="shared" ref="C106:AA106" si="29">SUM(C90:C105)</f>
        <v>56998</v>
      </c>
      <c r="D106" s="157">
        <f t="shared" si="29"/>
        <v>32127</v>
      </c>
      <c r="E106" s="157">
        <f t="shared" si="29"/>
        <v>29915</v>
      </c>
      <c r="F106" s="159">
        <f t="shared" si="29"/>
        <v>1251</v>
      </c>
      <c r="G106" s="159">
        <f t="shared" si="29"/>
        <v>1404</v>
      </c>
      <c r="H106" s="159">
        <f t="shared" si="29"/>
        <v>1079</v>
      </c>
      <c r="I106" s="159">
        <f t="shared" si="29"/>
        <v>354</v>
      </c>
      <c r="J106" s="159">
        <f t="shared" si="29"/>
        <v>4915</v>
      </c>
      <c r="K106" s="450">
        <f t="shared" si="29"/>
        <v>4</v>
      </c>
      <c r="L106" s="260">
        <f t="shared" ref="L106" si="30">SUM(L90:L105)</f>
        <v>128047</v>
      </c>
      <c r="M106" s="262">
        <f t="shared" si="29"/>
        <v>17314</v>
      </c>
      <c r="N106" s="158">
        <f t="shared" si="29"/>
        <v>24880</v>
      </c>
      <c r="O106" s="158">
        <f t="shared" si="29"/>
        <v>15035</v>
      </c>
      <c r="P106" s="158">
        <f t="shared" si="29"/>
        <v>772</v>
      </c>
      <c r="Q106" s="158">
        <f t="shared" si="29"/>
        <v>788</v>
      </c>
      <c r="R106" s="158">
        <f t="shared" si="29"/>
        <v>250</v>
      </c>
      <c r="S106" s="158">
        <f t="shared" si="29"/>
        <v>5</v>
      </c>
      <c r="T106" s="158">
        <f t="shared" si="29"/>
        <v>526</v>
      </c>
      <c r="U106" s="264">
        <f t="shared" si="29"/>
        <v>0</v>
      </c>
      <c r="V106" s="387">
        <f t="shared" si="29"/>
        <v>59570</v>
      </c>
      <c r="W106" s="210">
        <f t="shared" si="29"/>
        <v>44583</v>
      </c>
      <c r="X106" s="210">
        <f>SUM(X90:X105)</f>
        <v>0</v>
      </c>
      <c r="Y106" s="210">
        <f>SUM(Y90:Y105)</f>
        <v>0</v>
      </c>
      <c r="Z106" s="210">
        <f t="shared" si="29"/>
        <v>232200</v>
      </c>
      <c r="AA106" s="210">
        <f t="shared" si="29"/>
        <v>133346</v>
      </c>
    </row>
    <row r="107" spans="1:27" ht="18" thickBot="1" x14ac:dyDescent="0.35">
      <c r="A107" s="135"/>
      <c r="B107" s="169" t="s">
        <v>463</v>
      </c>
      <c r="C107" s="186">
        <f t="shared" ref="C107:AA107" si="31">C106+C89+C72+C55+C37+C23</f>
        <v>259068</v>
      </c>
      <c r="D107" s="162">
        <f t="shared" si="31"/>
        <v>115541</v>
      </c>
      <c r="E107" s="162">
        <f t="shared" si="31"/>
        <v>119556</v>
      </c>
      <c r="F107" s="162">
        <f t="shared" si="31"/>
        <v>5399</v>
      </c>
      <c r="G107" s="162">
        <f t="shared" si="31"/>
        <v>6512</v>
      </c>
      <c r="H107" s="162">
        <f t="shared" si="31"/>
        <v>2180</v>
      </c>
      <c r="I107" s="162">
        <f t="shared" si="31"/>
        <v>5193</v>
      </c>
      <c r="J107" s="162">
        <f t="shared" si="31"/>
        <v>55671</v>
      </c>
      <c r="K107" s="163">
        <f t="shared" si="31"/>
        <v>1513</v>
      </c>
      <c r="L107" s="187">
        <f t="shared" si="31"/>
        <v>570633</v>
      </c>
      <c r="M107" s="186">
        <f t="shared" si="31"/>
        <v>76730</v>
      </c>
      <c r="N107" s="162">
        <f t="shared" si="31"/>
        <v>115280</v>
      </c>
      <c r="O107" s="162">
        <f t="shared" si="31"/>
        <v>68270</v>
      </c>
      <c r="P107" s="162">
        <f t="shared" si="31"/>
        <v>3631</v>
      </c>
      <c r="Q107" s="162">
        <f t="shared" si="31"/>
        <v>3820</v>
      </c>
      <c r="R107" s="162">
        <f t="shared" si="31"/>
        <v>2616</v>
      </c>
      <c r="S107" s="162">
        <f t="shared" si="31"/>
        <v>440</v>
      </c>
      <c r="T107" s="162">
        <f t="shared" si="31"/>
        <v>7679</v>
      </c>
      <c r="U107" s="163">
        <f t="shared" si="31"/>
        <v>67</v>
      </c>
      <c r="V107" s="187">
        <f t="shared" si="31"/>
        <v>278533</v>
      </c>
      <c r="W107" s="212">
        <f t="shared" si="31"/>
        <v>139133</v>
      </c>
      <c r="X107" s="212">
        <f t="shared" si="31"/>
        <v>9761</v>
      </c>
      <c r="Y107" s="212">
        <f t="shared" si="31"/>
        <v>3058</v>
      </c>
      <c r="Z107" s="212">
        <f t="shared" si="31"/>
        <v>1001118</v>
      </c>
      <c r="AA107" s="212">
        <f t="shared" si="31"/>
        <v>577229</v>
      </c>
    </row>
    <row r="110" spans="1:27" x14ac:dyDescent="0.25">
      <c r="H110" s="122"/>
    </row>
    <row r="111" spans="1:27" x14ac:dyDescent="0.25">
      <c r="E111" s="122"/>
    </row>
  </sheetData>
  <mergeCells count="5">
    <mergeCell ref="B1:B3"/>
    <mergeCell ref="C4:L4"/>
    <mergeCell ref="M4:V4"/>
    <mergeCell ref="C1:Z1"/>
    <mergeCell ref="C2:Z2"/>
  </mergeCells>
  <conditionalFormatting sqref="W24:Y36 W38:Y54 W56:Y71 W73:Y88 W6:Y22">
    <cfRule type="cellIs" dxfId="22" priority="1" stopIfTrue="1" operator="notBetween">
      <formula>-2000</formula>
      <formula>2000</formula>
    </cfRule>
  </conditionalFormatting>
  <conditionalFormatting sqref="V3">
    <cfRule type="cellIs" dxfId="21" priority="4" stopIfTrue="1" operator="greaterThan">
      <formula>10</formula>
    </cfRule>
    <cfRule type="cellIs" dxfId="20" priority="5" stopIfTrue="1" operator="lessThan">
      <formula>10</formula>
    </cfRule>
  </conditionalFormatting>
  <conditionalFormatting sqref="W90:Y105">
    <cfRule type="cellIs" dxfId="19" priority="3" stopIfTrue="1" operator="notBetween">
      <formula>-2000</formula>
      <formula>2000</formula>
    </cfRule>
  </conditionalFormatting>
  <conditionalFormatting sqref="W18:Y18">
    <cfRule type="cellIs" dxfId="18" priority="2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7" fitToHeight="4" orientation="landscape" r:id="rId1"/>
  <headerFooter alignWithMargins="0">
    <oddFooter xml:space="preserve">&amp;L&amp;8&amp;Z&amp;F&amp;A&amp;10
</oddFooter>
  </headerFooter>
  <ignoredErrors>
    <ignoredError sqref="V23 V55 L55 L72 V72 V89 L106 L23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pageSetUpPr fitToPage="1"/>
  </sheetPr>
  <dimension ref="A1:AB118"/>
  <sheetViews>
    <sheetView showZeros="0" zoomScale="82" zoomScaleNormal="82" zoomScaleSheetLayoutView="50" workbookViewId="0">
      <pane xSplit="2" ySplit="5" topLeftCell="T42" activePane="bottomRight" state="frozen"/>
      <selection activeCell="R34" sqref="R34"/>
      <selection pane="topRight" activeCell="R34" sqref="R34"/>
      <selection pane="bottomLeft" activeCell="R34" sqref="R34"/>
      <selection pane="bottomRight" activeCell="X102" sqref="X102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12.332031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</cols>
  <sheetData>
    <row r="1" spans="1:27" s="111" customFormat="1" ht="22.8" x14ac:dyDescent="0.35">
      <c r="B1" s="544"/>
      <c r="C1" s="546" t="s">
        <v>263</v>
      </c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6"/>
      <c r="S1" s="546"/>
      <c r="T1" s="546"/>
      <c r="U1" s="546"/>
      <c r="V1" s="546"/>
      <c r="W1" s="546"/>
      <c r="X1" s="546"/>
      <c r="Y1" s="546"/>
      <c r="Z1" s="546"/>
    </row>
    <row r="2" spans="1:27" s="111" customFormat="1" ht="22.8" x14ac:dyDescent="0.35">
      <c r="B2" s="544"/>
      <c r="C2" s="550"/>
      <c r="D2" s="550"/>
      <c r="E2" s="550"/>
      <c r="F2" s="550"/>
      <c r="G2" s="550"/>
      <c r="H2" s="550"/>
      <c r="I2" s="550"/>
      <c r="J2" s="550"/>
      <c r="K2" s="550"/>
      <c r="L2" s="550"/>
      <c r="M2" s="550"/>
      <c r="N2" s="550"/>
      <c r="O2" s="550"/>
      <c r="P2" s="550"/>
      <c r="Q2" s="550"/>
      <c r="R2" s="550"/>
      <c r="S2" s="550"/>
      <c r="T2" s="550"/>
      <c r="U2" s="550"/>
      <c r="V2" s="550"/>
      <c r="W2" s="550"/>
      <c r="X2" s="550"/>
      <c r="Y2" s="550"/>
      <c r="Z2" s="550"/>
    </row>
    <row r="3" spans="1:27" s="111" customFormat="1" ht="21" thickBot="1" x14ac:dyDescent="0.4">
      <c r="B3" s="545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7" ht="21" customHeight="1" thickTop="1" thickBot="1" x14ac:dyDescent="0.3">
      <c r="A4" s="145"/>
      <c r="B4" s="167"/>
      <c r="C4" s="547" t="s">
        <v>253</v>
      </c>
      <c r="D4" s="548"/>
      <c r="E4" s="548"/>
      <c r="F4" s="548"/>
      <c r="G4" s="548"/>
      <c r="H4" s="548"/>
      <c r="I4" s="548"/>
      <c r="J4" s="548"/>
      <c r="K4" s="548"/>
      <c r="L4" s="549"/>
      <c r="M4" s="547" t="s">
        <v>262</v>
      </c>
      <c r="N4" s="548"/>
      <c r="O4" s="548"/>
      <c r="P4" s="548"/>
      <c r="Q4" s="548"/>
      <c r="R4" s="548"/>
      <c r="S4" s="548"/>
      <c r="T4" s="548"/>
      <c r="U4" s="548"/>
      <c r="V4" s="549"/>
      <c r="W4" s="202"/>
      <c r="X4" s="202"/>
      <c r="Y4" s="272" t="s">
        <v>472</v>
      </c>
      <c r="Z4" s="202"/>
      <c r="AA4" s="202"/>
    </row>
    <row r="5" spans="1:27" ht="45" customHeight="1" thickBot="1" x14ac:dyDescent="0.3">
      <c r="A5" s="146" t="s">
        <v>360</v>
      </c>
      <c r="B5" s="168" t="s">
        <v>456</v>
      </c>
      <c r="C5" s="315" t="s">
        <v>254</v>
      </c>
      <c r="D5" s="316" t="s">
        <v>219</v>
      </c>
      <c r="E5" s="317" t="s">
        <v>255</v>
      </c>
      <c r="F5" s="318" t="s">
        <v>256</v>
      </c>
      <c r="G5" s="318" t="s">
        <v>257</v>
      </c>
      <c r="H5" s="318" t="s">
        <v>258</v>
      </c>
      <c r="I5" s="318" t="s">
        <v>259</v>
      </c>
      <c r="J5" s="318" t="s">
        <v>260</v>
      </c>
      <c r="K5" s="319" t="s">
        <v>261</v>
      </c>
      <c r="L5" s="171" t="s">
        <v>208</v>
      </c>
      <c r="M5" s="324" t="s">
        <v>254</v>
      </c>
      <c r="N5" s="316" t="s">
        <v>219</v>
      </c>
      <c r="O5" s="317" t="s">
        <v>255</v>
      </c>
      <c r="P5" s="318" t="s">
        <v>256</v>
      </c>
      <c r="Q5" s="318" t="s">
        <v>257</v>
      </c>
      <c r="R5" s="318" t="s">
        <v>258</v>
      </c>
      <c r="S5" s="318" t="s">
        <v>259</v>
      </c>
      <c r="T5" s="318" t="s">
        <v>260</v>
      </c>
      <c r="U5" s="319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</row>
    <row r="6" spans="1:27" ht="12.75" customHeight="1" x14ac:dyDescent="0.25">
      <c r="A6" s="136" t="s">
        <v>68</v>
      </c>
      <c r="B6" s="139" t="s">
        <v>268</v>
      </c>
      <c r="C6" s="230">
        <v>79</v>
      </c>
      <c r="D6" s="230">
        <v>129</v>
      </c>
      <c r="E6" s="230">
        <v>41</v>
      </c>
      <c r="F6" s="230">
        <v>2</v>
      </c>
      <c r="G6" s="230">
        <v>4</v>
      </c>
      <c r="H6" s="230">
        <v>0</v>
      </c>
      <c r="I6" s="230">
        <v>0</v>
      </c>
      <c r="J6" s="230">
        <v>33</v>
      </c>
      <c r="K6" s="230">
        <v>0</v>
      </c>
      <c r="L6" s="356">
        <f>SUM(C6:K6)</f>
        <v>288</v>
      </c>
      <c r="M6" s="230">
        <v>0</v>
      </c>
      <c r="N6" s="230">
        <v>0</v>
      </c>
      <c r="O6" s="230">
        <v>0</v>
      </c>
      <c r="P6" s="230">
        <v>0</v>
      </c>
      <c r="Q6" s="230">
        <v>0</v>
      </c>
      <c r="R6" s="230">
        <v>0</v>
      </c>
      <c r="S6" s="230">
        <v>0</v>
      </c>
      <c r="T6" s="230">
        <v>0</v>
      </c>
      <c r="U6" s="230"/>
      <c r="V6" s="229">
        <f>SUM(M6:U6)</f>
        <v>0</v>
      </c>
      <c r="W6" s="204">
        <v>1501</v>
      </c>
      <c r="X6" s="204"/>
      <c r="Y6" s="204"/>
      <c r="Z6" s="214">
        <f>L6+V6+W6+X6+Y6</f>
        <v>1789</v>
      </c>
      <c r="AA6" s="215">
        <f>C6+D6+F6+K6+M6+N6+P6+U6</f>
        <v>210</v>
      </c>
    </row>
    <row r="7" spans="1:27" x14ac:dyDescent="0.25">
      <c r="A7" s="136" t="s">
        <v>69</v>
      </c>
      <c r="B7" s="137" t="s">
        <v>269</v>
      </c>
      <c r="C7" s="230">
        <v>210</v>
      </c>
      <c r="D7" s="230">
        <v>55</v>
      </c>
      <c r="E7" s="230">
        <v>40</v>
      </c>
      <c r="F7" s="230">
        <v>4</v>
      </c>
      <c r="G7" s="230">
        <v>1</v>
      </c>
      <c r="H7" s="230">
        <v>0</v>
      </c>
      <c r="I7" s="230">
        <v>0</v>
      </c>
      <c r="J7" s="230">
        <v>205</v>
      </c>
      <c r="K7" s="230">
        <v>0</v>
      </c>
      <c r="L7" s="234">
        <f t="shared" ref="L7:L22" si="0">SUM(C7:K7)</f>
        <v>515</v>
      </c>
      <c r="M7" s="230">
        <v>4</v>
      </c>
      <c r="N7" s="230">
        <v>7</v>
      </c>
      <c r="O7" s="230">
        <v>0</v>
      </c>
      <c r="P7" s="230">
        <v>0</v>
      </c>
      <c r="Q7" s="230">
        <v>0</v>
      </c>
      <c r="R7" s="230">
        <v>8</v>
      </c>
      <c r="S7" s="230">
        <v>0</v>
      </c>
      <c r="T7" s="230">
        <v>10</v>
      </c>
      <c r="U7" s="230"/>
      <c r="V7" s="229">
        <f>SUM(M7:U7)</f>
        <v>29</v>
      </c>
      <c r="W7" s="205"/>
      <c r="X7" s="204"/>
      <c r="Y7" s="204"/>
      <c r="Z7" s="214">
        <f t="shared" ref="Z7:Z22" si="1">L7+V7+W7+X7+Y7</f>
        <v>544</v>
      </c>
      <c r="AA7" s="215">
        <f>C7+D7+F7+K7+M7+N7+P7+U7</f>
        <v>280</v>
      </c>
    </row>
    <row r="8" spans="1:27" x14ac:dyDescent="0.25">
      <c r="A8" s="136" t="s">
        <v>73</v>
      </c>
      <c r="B8" s="137" t="s">
        <v>270</v>
      </c>
      <c r="C8" s="230">
        <v>12</v>
      </c>
      <c r="D8" s="230">
        <v>11</v>
      </c>
      <c r="E8" s="230">
        <v>2</v>
      </c>
      <c r="F8" s="230">
        <v>0</v>
      </c>
      <c r="G8" s="230">
        <v>0</v>
      </c>
      <c r="H8" s="230">
        <v>0</v>
      </c>
      <c r="I8" s="230">
        <v>0</v>
      </c>
      <c r="J8" s="230">
        <v>11</v>
      </c>
      <c r="K8" s="230">
        <v>0</v>
      </c>
      <c r="L8" s="232">
        <f t="shared" si="0"/>
        <v>36</v>
      </c>
      <c r="M8" s="230">
        <v>30</v>
      </c>
      <c r="N8" s="230">
        <v>6</v>
      </c>
      <c r="O8" s="230">
        <v>0</v>
      </c>
      <c r="P8" s="230">
        <v>0</v>
      </c>
      <c r="Q8" s="230">
        <v>0</v>
      </c>
      <c r="R8" s="230">
        <v>0</v>
      </c>
      <c r="S8" s="230">
        <v>9</v>
      </c>
      <c r="T8" s="230">
        <v>0</v>
      </c>
      <c r="U8" s="230"/>
      <c r="V8" s="229">
        <f>SUM(M8:U8)</f>
        <v>45</v>
      </c>
      <c r="W8" s="205"/>
      <c r="X8" s="204"/>
      <c r="Y8" s="204"/>
      <c r="Z8" s="214">
        <f t="shared" si="1"/>
        <v>81</v>
      </c>
      <c r="AA8" s="215">
        <f>C8+D8+F8+K8+M8+N8+P8+U8</f>
        <v>59</v>
      </c>
    </row>
    <row r="9" spans="1:27" x14ac:dyDescent="0.25">
      <c r="A9" s="136" t="s">
        <v>74</v>
      </c>
      <c r="B9" s="137" t="s">
        <v>358</v>
      </c>
      <c r="C9" s="230"/>
      <c r="D9" s="128"/>
      <c r="E9" s="128"/>
      <c r="F9" s="128"/>
      <c r="G9" s="128"/>
      <c r="H9" s="128"/>
      <c r="I9" s="128"/>
      <c r="J9" s="128"/>
      <c r="K9" s="128"/>
      <c r="L9" s="232">
        <f t="shared" si="0"/>
        <v>0</v>
      </c>
      <c r="M9" s="196"/>
      <c r="N9" s="147"/>
      <c r="O9" s="147"/>
      <c r="P9" s="147"/>
      <c r="Q9" s="147"/>
      <c r="R9" s="147"/>
      <c r="S9" s="147"/>
      <c r="T9" s="147"/>
      <c r="U9" s="381"/>
      <c r="V9" s="176">
        <f>SUM(M9:U9)</f>
        <v>0</v>
      </c>
      <c r="W9" s="204">
        <v>13185</v>
      </c>
      <c r="X9" s="204"/>
      <c r="Y9" s="204"/>
      <c r="Z9" s="214">
        <f t="shared" si="1"/>
        <v>13185</v>
      </c>
      <c r="AA9" s="215">
        <f>C9+D9+F9+K9+M9+N9+P9+U9</f>
        <v>0</v>
      </c>
    </row>
    <row r="10" spans="1:27" x14ac:dyDescent="0.25">
      <c r="A10" s="136" t="s">
        <v>94</v>
      </c>
      <c r="B10" s="137" t="s">
        <v>271</v>
      </c>
      <c r="C10" s="230">
        <v>951</v>
      </c>
      <c r="D10" s="230">
        <v>527</v>
      </c>
      <c r="E10" s="230">
        <v>283</v>
      </c>
      <c r="F10" s="230">
        <v>49</v>
      </c>
      <c r="G10" s="459">
        <v>30</v>
      </c>
      <c r="H10" s="230">
        <v>0</v>
      </c>
      <c r="I10" s="230">
        <v>0</v>
      </c>
      <c r="J10" s="230">
        <v>103</v>
      </c>
      <c r="K10" s="230">
        <v>0</v>
      </c>
      <c r="L10" s="232">
        <f t="shared" si="0"/>
        <v>1943</v>
      </c>
      <c r="M10" s="230">
        <v>845</v>
      </c>
      <c r="N10" s="230">
        <v>2645</v>
      </c>
      <c r="O10" s="230">
        <v>859</v>
      </c>
      <c r="P10" s="230">
        <v>158</v>
      </c>
      <c r="Q10" s="230">
        <v>87</v>
      </c>
      <c r="R10" s="230">
        <v>91</v>
      </c>
      <c r="S10" s="230">
        <v>24</v>
      </c>
      <c r="T10" s="230">
        <v>443</v>
      </c>
      <c r="U10" s="230"/>
      <c r="V10" s="229">
        <f t="shared" ref="V10:V22" si="2">SUM(M10:U10)</f>
        <v>5152</v>
      </c>
      <c r="W10" s="204">
        <v>3460</v>
      </c>
      <c r="X10" s="204"/>
      <c r="Y10" s="204"/>
      <c r="Z10" s="214">
        <f t="shared" si="1"/>
        <v>10555</v>
      </c>
      <c r="AA10" s="215">
        <f t="shared" ref="AA10:AA22" si="3">C10+D10+F10+K10+M10+N10+P10+U10</f>
        <v>5175</v>
      </c>
    </row>
    <row r="11" spans="1:27" x14ac:dyDescent="0.25">
      <c r="A11" s="136" t="s">
        <v>95</v>
      </c>
      <c r="B11" s="137" t="s">
        <v>272</v>
      </c>
      <c r="C11">
        <v>0</v>
      </c>
      <c r="D11">
        <v>0</v>
      </c>
      <c r="E11">
        <v>20</v>
      </c>
      <c r="F11">
        <v>0</v>
      </c>
      <c r="G11">
        <v>0</v>
      </c>
      <c r="H11" s="230">
        <v>0</v>
      </c>
      <c r="I11" s="230">
        <v>0</v>
      </c>
      <c r="J11" s="230">
        <v>115</v>
      </c>
      <c r="K11" s="230">
        <v>0</v>
      </c>
      <c r="L11" s="232">
        <f t="shared" si="0"/>
        <v>135</v>
      </c>
      <c r="M11" s="230">
        <v>0</v>
      </c>
      <c r="N11" s="230">
        <v>0</v>
      </c>
      <c r="O11" s="230">
        <v>3</v>
      </c>
      <c r="P11" s="230">
        <v>0</v>
      </c>
      <c r="Q11" s="230">
        <v>0</v>
      </c>
      <c r="R11" s="230">
        <v>0</v>
      </c>
      <c r="S11" s="230">
        <v>0</v>
      </c>
      <c r="T11" s="230">
        <v>77</v>
      </c>
      <c r="U11" s="230"/>
      <c r="V11" s="229">
        <f t="shared" si="2"/>
        <v>80</v>
      </c>
      <c r="W11" s="205"/>
      <c r="X11" s="204"/>
      <c r="Y11" s="204"/>
      <c r="Z11" s="214">
        <f t="shared" si="1"/>
        <v>215</v>
      </c>
      <c r="AA11" s="215">
        <f t="shared" si="3"/>
        <v>0</v>
      </c>
    </row>
    <row r="12" spans="1:27" x14ac:dyDescent="0.25">
      <c r="A12" s="136" t="s">
        <v>361</v>
      </c>
      <c r="B12" s="137" t="s">
        <v>355</v>
      </c>
      <c r="C12" s="230"/>
      <c r="D12" s="128"/>
      <c r="E12" s="128"/>
      <c r="F12" s="128"/>
      <c r="G12" s="131"/>
      <c r="H12" s="128"/>
      <c r="I12" s="128"/>
      <c r="J12" s="128"/>
      <c r="K12" s="128"/>
      <c r="L12" s="232">
        <f t="shared" si="0"/>
        <v>0</v>
      </c>
      <c r="M12" s="196"/>
      <c r="N12" s="147"/>
      <c r="O12" s="147"/>
      <c r="P12" s="147"/>
      <c r="Q12" s="147"/>
      <c r="R12" s="147"/>
      <c r="S12" s="147"/>
      <c r="T12" s="147"/>
      <c r="U12" s="381"/>
      <c r="V12" s="176">
        <f t="shared" si="2"/>
        <v>0</v>
      </c>
      <c r="W12" s="205"/>
      <c r="X12" s="204">
        <v>197</v>
      </c>
      <c r="Y12" s="204">
        <v>87</v>
      </c>
      <c r="Z12" s="214">
        <f t="shared" si="1"/>
        <v>284</v>
      </c>
      <c r="AA12" s="215">
        <f t="shared" si="3"/>
        <v>0</v>
      </c>
    </row>
    <row r="13" spans="1:27" x14ac:dyDescent="0.25">
      <c r="A13" s="136" t="s">
        <v>106</v>
      </c>
      <c r="B13" s="137" t="s">
        <v>273</v>
      </c>
      <c r="C13" s="230">
        <v>127</v>
      </c>
      <c r="D13" s="230">
        <v>38</v>
      </c>
      <c r="E13" s="230">
        <v>25</v>
      </c>
      <c r="F13" s="230">
        <v>5</v>
      </c>
      <c r="G13" s="459">
        <v>2</v>
      </c>
      <c r="H13" s="230">
        <v>0</v>
      </c>
      <c r="I13" s="230">
        <v>0</v>
      </c>
      <c r="J13" s="230">
        <v>10</v>
      </c>
      <c r="K13" s="230">
        <v>0</v>
      </c>
      <c r="L13" s="232">
        <f t="shared" si="0"/>
        <v>207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230">
        <v>0</v>
      </c>
      <c r="V13" s="229">
        <f t="shared" si="2"/>
        <v>0</v>
      </c>
      <c r="W13" s="205"/>
      <c r="X13" s="204"/>
      <c r="Y13" s="204"/>
      <c r="Z13" s="214">
        <f t="shared" si="1"/>
        <v>207</v>
      </c>
      <c r="AA13" s="215">
        <f t="shared" si="3"/>
        <v>170</v>
      </c>
    </row>
    <row r="14" spans="1:27" x14ac:dyDescent="0.25">
      <c r="A14" s="136" t="s">
        <v>110</v>
      </c>
      <c r="B14" s="137" t="s">
        <v>274</v>
      </c>
      <c r="C14" s="230">
        <v>3216</v>
      </c>
      <c r="D14" s="230">
        <v>1036</v>
      </c>
      <c r="E14" s="230">
        <v>856</v>
      </c>
      <c r="F14" s="230">
        <v>24</v>
      </c>
      <c r="G14" s="459">
        <v>71</v>
      </c>
      <c r="H14" s="230">
        <v>0</v>
      </c>
      <c r="I14" s="230">
        <v>0</v>
      </c>
      <c r="J14" s="230">
        <v>43</v>
      </c>
      <c r="K14" s="230">
        <v>0</v>
      </c>
      <c r="L14" s="232">
        <f t="shared" si="0"/>
        <v>5246</v>
      </c>
      <c r="M14" s="230">
        <v>54</v>
      </c>
      <c r="N14" s="230">
        <v>38</v>
      </c>
      <c r="O14" s="230">
        <v>36</v>
      </c>
      <c r="P14" s="230">
        <v>0</v>
      </c>
      <c r="Q14" s="230">
        <v>2</v>
      </c>
      <c r="R14" s="230">
        <v>0</v>
      </c>
      <c r="S14" s="230">
        <v>0</v>
      </c>
      <c r="T14" s="230">
        <v>0</v>
      </c>
      <c r="U14" s="230">
        <v>0</v>
      </c>
      <c r="V14" s="229">
        <f t="shared" si="2"/>
        <v>130</v>
      </c>
      <c r="W14" s="205"/>
      <c r="X14" s="204"/>
      <c r="Y14" s="204"/>
      <c r="Z14" s="214">
        <f t="shared" si="1"/>
        <v>5376</v>
      </c>
      <c r="AA14" s="215">
        <f t="shared" si="3"/>
        <v>4368</v>
      </c>
    </row>
    <row r="15" spans="1:27" x14ac:dyDescent="0.25">
      <c r="A15" s="136" t="s">
        <v>119</v>
      </c>
      <c r="B15" s="137" t="s">
        <v>275</v>
      </c>
      <c r="C15" s="230">
        <v>1296</v>
      </c>
      <c r="D15" s="230">
        <v>243</v>
      </c>
      <c r="E15" s="230">
        <v>349</v>
      </c>
      <c r="F15" s="230">
        <v>18</v>
      </c>
      <c r="G15" s="459">
        <v>19</v>
      </c>
      <c r="H15" s="230">
        <v>0</v>
      </c>
      <c r="I15" s="230">
        <v>1</v>
      </c>
      <c r="J15" s="230">
        <v>24</v>
      </c>
      <c r="K15" s="230">
        <v>0</v>
      </c>
      <c r="L15" s="232">
        <f t="shared" si="0"/>
        <v>1950</v>
      </c>
      <c r="M15" s="230">
        <v>64</v>
      </c>
      <c r="N15" s="230">
        <v>89</v>
      </c>
      <c r="O15" s="230">
        <v>15</v>
      </c>
      <c r="P15" s="230">
        <v>0</v>
      </c>
      <c r="Q15" s="230">
        <v>0</v>
      </c>
      <c r="R15" s="230">
        <v>0</v>
      </c>
      <c r="S15" s="230">
        <v>0</v>
      </c>
      <c r="T15" s="230">
        <v>1</v>
      </c>
      <c r="U15" s="230">
        <v>0</v>
      </c>
      <c r="V15" s="229">
        <f t="shared" si="2"/>
        <v>169</v>
      </c>
      <c r="W15" s="205"/>
      <c r="X15" s="204">
        <v>47</v>
      </c>
      <c r="Y15" s="204"/>
      <c r="Z15" s="214">
        <f t="shared" si="1"/>
        <v>2166</v>
      </c>
      <c r="AA15" s="215">
        <f t="shared" si="3"/>
        <v>1710</v>
      </c>
    </row>
    <row r="16" spans="1:27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459">
        <v>0</v>
      </c>
      <c r="H16" s="230">
        <v>0</v>
      </c>
      <c r="I16" s="230">
        <v>0</v>
      </c>
      <c r="J16" s="230">
        <v>1901</v>
      </c>
      <c r="K16" s="230">
        <v>0</v>
      </c>
      <c r="L16" s="232">
        <f t="shared" si="0"/>
        <v>1901</v>
      </c>
      <c r="M16" s="230">
        <v>0</v>
      </c>
      <c r="N16" s="230">
        <v>0</v>
      </c>
      <c r="O16" s="230">
        <v>350</v>
      </c>
      <c r="P16" s="230">
        <v>0</v>
      </c>
      <c r="Q16" s="230">
        <v>0</v>
      </c>
      <c r="R16" s="230">
        <v>0</v>
      </c>
      <c r="S16" s="230">
        <v>0</v>
      </c>
      <c r="T16" s="230">
        <v>2387</v>
      </c>
      <c r="U16" s="230">
        <v>0</v>
      </c>
      <c r="V16" s="229">
        <f t="shared" si="2"/>
        <v>2737</v>
      </c>
      <c r="W16" s="205"/>
      <c r="X16" s="204"/>
      <c r="Y16" s="204"/>
      <c r="Z16" s="214">
        <f t="shared" si="1"/>
        <v>4638</v>
      </c>
      <c r="AA16" s="215">
        <f t="shared" si="3"/>
        <v>0</v>
      </c>
    </row>
    <row r="17" spans="1:27" x14ac:dyDescent="0.25">
      <c r="A17" s="136" t="s">
        <v>123</v>
      </c>
      <c r="B17" s="137" t="s">
        <v>277</v>
      </c>
      <c r="C17" s="230">
        <v>35</v>
      </c>
      <c r="D17" s="230">
        <v>38</v>
      </c>
      <c r="E17" s="230">
        <v>6</v>
      </c>
      <c r="F17" s="230">
        <v>1</v>
      </c>
      <c r="G17" s="459">
        <v>4</v>
      </c>
      <c r="H17" s="230">
        <v>0</v>
      </c>
      <c r="I17" s="230">
        <v>0</v>
      </c>
      <c r="J17" s="230">
        <v>0</v>
      </c>
      <c r="K17" s="230">
        <v>0</v>
      </c>
      <c r="L17" s="232">
        <f t="shared" si="0"/>
        <v>84</v>
      </c>
      <c r="M17" s="230">
        <v>22</v>
      </c>
      <c r="N17" s="230">
        <v>47</v>
      </c>
      <c r="O17" s="230">
        <v>11</v>
      </c>
      <c r="P17" s="230">
        <v>3</v>
      </c>
      <c r="Q17" s="230">
        <v>6</v>
      </c>
      <c r="R17" s="230">
        <v>0</v>
      </c>
      <c r="S17" s="230">
        <v>0</v>
      </c>
      <c r="T17" s="230">
        <v>0</v>
      </c>
      <c r="U17" s="230">
        <v>0</v>
      </c>
      <c r="V17" s="229">
        <f t="shared" si="2"/>
        <v>89</v>
      </c>
      <c r="W17" s="204">
        <v>55</v>
      </c>
      <c r="X17" s="204"/>
      <c r="Y17" s="204"/>
      <c r="Z17" s="214">
        <f t="shared" si="1"/>
        <v>228</v>
      </c>
      <c r="AA17" s="215">
        <f t="shared" si="3"/>
        <v>146</v>
      </c>
    </row>
    <row r="18" spans="1:27" x14ac:dyDescent="0.25">
      <c r="A18" s="136" t="s">
        <v>128</v>
      </c>
      <c r="B18" s="137" t="s">
        <v>332</v>
      </c>
      <c r="C18" s="230">
        <v>521</v>
      </c>
      <c r="D18" s="230">
        <v>101</v>
      </c>
      <c r="E18" s="230">
        <v>162</v>
      </c>
      <c r="F18" s="230">
        <v>10</v>
      </c>
      <c r="G18" s="230">
        <v>5</v>
      </c>
      <c r="H18" s="230">
        <v>0</v>
      </c>
      <c r="I18" s="230">
        <v>0</v>
      </c>
      <c r="J18" s="230">
        <v>59</v>
      </c>
      <c r="K18" s="230">
        <v>0</v>
      </c>
      <c r="L18" s="232">
        <f t="shared" si="0"/>
        <v>858</v>
      </c>
      <c r="M18" s="230">
        <v>500</v>
      </c>
      <c r="N18" s="230">
        <v>378</v>
      </c>
      <c r="O18" s="230">
        <v>364</v>
      </c>
      <c r="P18" s="230">
        <v>10</v>
      </c>
      <c r="Q18" s="230">
        <v>8</v>
      </c>
      <c r="R18" s="230">
        <v>0</v>
      </c>
      <c r="S18" s="230">
        <v>0</v>
      </c>
      <c r="T18" s="230">
        <v>4</v>
      </c>
      <c r="U18" s="230">
        <v>70</v>
      </c>
      <c r="V18" s="229">
        <f>SUM(M18:U18)</f>
        <v>1334</v>
      </c>
      <c r="W18" s="205"/>
      <c r="X18" s="204"/>
      <c r="Y18" s="204"/>
      <c r="Z18" s="214">
        <f t="shared" si="1"/>
        <v>2192</v>
      </c>
      <c r="AA18" s="215">
        <f>C18+D18+F18+K18+M18+N18+P18+U18</f>
        <v>1590</v>
      </c>
    </row>
    <row r="19" spans="1:27" x14ac:dyDescent="0.25">
      <c r="A19" s="136" t="s">
        <v>150</v>
      </c>
      <c r="B19" s="137" t="s">
        <v>278</v>
      </c>
      <c r="C19" s="230">
        <v>1543</v>
      </c>
      <c r="D19" s="230">
        <v>230</v>
      </c>
      <c r="E19" s="230">
        <v>690</v>
      </c>
      <c r="F19" s="230">
        <v>26</v>
      </c>
      <c r="G19" s="230">
        <v>4</v>
      </c>
      <c r="H19" s="230">
        <v>9</v>
      </c>
      <c r="I19" s="230">
        <v>0</v>
      </c>
      <c r="J19" s="230">
        <v>53</v>
      </c>
      <c r="K19" s="230">
        <v>0</v>
      </c>
      <c r="L19" s="232">
        <f t="shared" si="0"/>
        <v>2555</v>
      </c>
      <c r="M19" s="230">
        <v>531</v>
      </c>
      <c r="N19" s="230">
        <v>194</v>
      </c>
      <c r="O19" s="230">
        <v>114</v>
      </c>
      <c r="P19" s="230">
        <v>3</v>
      </c>
      <c r="Q19" s="230">
        <v>14</v>
      </c>
      <c r="R19" s="230">
        <v>0</v>
      </c>
      <c r="S19" s="230">
        <v>0</v>
      </c>
      <c r="T19" s="230">
        <v>8</v>
      </c>
      <c r="U19" s="230">
        <v>0</v>
      </c>
      <c r="V19" s="229">
        <f t="shared" si="2"/>
        <v>864</v>
      </c>
      <c r="W19" s="204">
        <v>889</v>
      </c>
      <c r="X19" s="204"/>
      <c r="Y19" s="204"/>
      <c r="Z19" s="214">
        <f t="shared" si="1"/>
        <v>4308</v>
      </c>
      <c r="AA19" s="215">
        <f t="shared" si="3"/>
        <v>2527</v>
      </c>
    </row>
    <row r="20" spans="1:27" x14ac:dyDescent="0.25">
      <c r="A20" s="136" t="s">
        <v>181</v>
      </c>
      <c r="B20" s="137" t="s">
        <v>335</v>
      </c>
      <c r="C20" s="230">
        <v>1152</v>
      </c>
      <c r="D20" s="230">
        <v>996</v>
      </c>
      <c r="E20" s="230">
        <v>342</v>
      </c>
      <c r="F20" s="230">
        <v>56</v>
      </c>
      <c r="G20" s="230">
        <v>67</v>
      </c>
      <c r="H20" s="230">
        <v>0</v>
      </c>
      <c r="I20" s="230">
        <v>12</v>
      </c>
      <c r="J20" s="230">
        <v>179</v>
      </c>
      <c r="K20" s="230">
        <v>0</v>
      </c>
      <c r="L20" s="232">
        <f t="shared" si="0"/>
        <v>2804</v>
      </c>
      <c r="M20" s="230">
        <v>542</v>
      </c>
      <c r="N20" s="230">
        <v>1013</v>
      </c>
      <c r="O20" s="230">
        <v>254</v>
      </c>
      <c r="P20" s="230">
        <v>76</v>
      </c>
      <c r="Q20" s="230">
        <v>140</v>
      </c>
      <c r="R20" s="230">
        <v>0</v>
      </c>
      <c r="S20" s="230">
        <v>0</v>
      </c>
      <c r="T20" s="230">
        <v>10</v>
      </c>
      <c r="U20" s="230">
        <v>0</v>
      </c>
      <c r="V20" s="229">
        <f>SUM(M20:U20)</f>
        <v>2035</v>
      </c>
      <c r="W20" s="206"/>
      <c r="X20" s="209"/>
      <c r="Y20" s="209"/>
      <c r="Z20" s="214">
        <f t="shared" si="1"/>
        <v>4839</v>
      </c>
      <c r="AA20" s="215">
        <f>C20+D20+F20+K20+M20+N20+P20+U20</f>
        <v>3835</v>
      </c>
    </row>
    <row r="21" spans="1:27" x14ac:dyDescent="0.25">
      <c r="A21" s="136" t="s">
        <v>184</v>
      </c>
      <c r="B21" s="137" t="s">
        <v>279</v>
      </c>
      <c r="C21" s="230">
        <v>227</v>
      </c>
      <c r="D21" s="230">
        <v>84</v>
      </c>
      <c r="E21" s="230">
        <v>81</v>
      </c>
      <c r="F21" s="230">
        <v>21</v>
      </c>
      <c r="G21" s="230">
        <v>9</v>
      </c>
      <c r="H21" s="230">
        <v>0</v>
      </c>
      <c r="I21" s="230">
        <v>0</v>
      </c>
      <c r="J21" s="230">
        <v>33</v>
      </c>
      <c r="K21" s="230">
        <v>0</v>
      </c>
      <c r="L21" s="232">
        <f t="shared" si="0"/>
        <v>455</v>
      </c>
      <c r="M21" s="230">
        <v>89</v>
      </c>
      <c r="N21" s="230">
        <v>82</v>
      </c>
      <c r="O21" s="230">
        <v>20</v>
      </c>
      <c r="P21" s="230">
        <v>5</v>
      </c>
      <c r="Q21" s="230">
        <v>0</v>
      </c>
      <c r="R21" s="230">
        <v>0</v>
      </c>
      <c r="S21" s="230">
        <v>0</v>
      </c>
      <c r="T21" s="230">
        <v>0</v>
      </c>
      <c r="U21" s="230">
        <v>0</v>
      </c>
      <c r="V21" s="229">
        <f t="shared" si="2"/>
        <v>196</v>
      </c>
      <c r="W21" s="204">
        <v>168</v>
      </c>
      <c r="X21" s="204"/>
      <c r="Y21" s="204"/>
      <c r="Z21" s="214">
        <f t="shared" si="1"/>
        <v>819</v>
      </c>
      <c r="AA21" s="215">
        <f t="shared" si="3"/>
        <v>508</v>
      </c>
    </row>
    <row r="22" spans="1:27" ht="17.25" customHeight="1" thickBot="1" x14ac:dyDescent="0.3">
      <c r="A22" s="136" t="s">
        <v>194</v>
      </c>
      <c r="B22" s="138" t="s">
        <v>280</v>
      </c>
      <c r="C22" s="265">
        <v>0</v>
      </c>
      <c r="D22" s="265">
        <v>0</v>
      </c>
      <c r="E22" s="265">
        <v>1045</v>
      </c>
      <c r="F22" s="265">
        <v>0</v>
      </c>
      <c r="G22" s="265">
        <v>0</v>
      </c>
      <c r="H22" s="265">
        <v>0</v>
      </c>
      <c r="I22" s="265">
        <v>0</v>
      </c>
      <c r="J22" s="265">
        <v>3481</v>
      </c>
      <c r="K22" s="265">
        <v>0</v>
      </c>
      <c r="L22" s="357">
        <f t="shared" si="0"/>
        <v>4526</v>
      </c>
      <c r="M22" s="265">
        <v>0</v>
      </c>
      <c r="N22" s="265">
        <v>0</v>
      </c>
      <c r="O22" s="265">
        <v>0</v>
      </c>
      <c r="P22" s="265">
        <v>0</v>
      </c>
      <c r="Q22" s="265">
        <v>0</v>
      </c>
      <c r="R22" s="265">
        <v>0</v>
      </c>
      <c r="S22" s="265">
        <v>0</v>
      </c>
      <c r="T22" s="265">
        <v>0</v>
      </c>
      <c r="U22" s="265">
        <v>0</v>
      </c>
      <c r="V22" s="361">
        <f t="shared" si="2"/>
        <v>0</v>
      </c>
      <c r="W22" s="207"/>
      <c r="X22" s="227"/>
      <c r="Y22" s="227"/>
      <c r="Z22" s="214">
        <f t="shared" si="1"/>
        <v>4526</v>
      </c>
      <c r="AA22" s="216">
        <f t="shared" si="3"/>
        <v>0</v>
      </c>
    </row>
    <row r="23" spans="1:27" s="110" customFormat="1" ht="14.4" thickBot="1" x14ac:dyDescent="0.3">
      <c r="A23" s="134"/>
      <c r="B23" s="159" t="s">
        <v>457</v>
      </c>
      <c r="C23" s="258">
        <f t="shared" ref="C23:AA23" si="4">SUM(C6:C22)</f>
        <v>9369</v>
      </c>
      <c r="D23" s="157">
        <f t="shared" si="4"/>
        <v>3488</v>
      </c>
      <c r="E23" s="157">
        <f t="shared" si="4"/>
        <v>3942</v>
      </c>
      <c r="F23" s="157">
        <f t="shared" si="4"/>
        <v>216</v>
      </c>
      <c r="G23" s="157">
        <f t="shared" si="4"/>
        <v>216</v>
      </c>
      <c r="H23" s="157">
        <f t="shared" si="4"/>
        <v>9</v>
      </c>
      <c r="I23" s="157">
        <f t="shared" si="4"/>
        <v>13</v>
      </c>
      <c r="J23" s="157">
        <f t="shared" si="4"/>
        <v>6250</v>
      </c>
      <c r="K23" s="259">
        <f t="shared" si="4"/>
        <v>0</v>
      </c>
      <c r="L23" s="260">
        <f t="shared" si="4"/>
        <v>23503</v>
      </c>
      <c r="M23" s="262">
        <f t="shared" si="4"/>
        <v>2681</v>
      </c>
      <c r="N23" s="158">
        <f t="shared" si="4"/>
        <v>4499</v>
      </c>
      <c r="O23" s="158">
        <f t="shared" si="4"/>
        <v>2026</v>
      </c>
      <c r="P23" s="158">
        <f t="shared" si="4"/>
        <v>255</v>
      </c>
      <c r="Q23" s="158">
        <f t="shared" si="4"/>
        <v>257</v>
      </c>
      <c r="R23" s="158">
        <f t="shared" si="4"/>
        <v>99</v>
      </c>
      <c r="S23" s="158">
        <f t="shared" si="4"/>
        <v>33</v>
      </c>
      <c r="T23" s="158">
        <f t="shared" si="4"/>
        <v>2940</v>
      </c>
      <c r="U23" s="264">
        <f t="shared" si="4"/>
        <v>70</v>
      </c>
      <c r="V23" s="180">
        <f t="shared" si="4"/>
        <v>12860</v>
      </c>
      <c r="W23" s="208">
        <f t="shared" si="4"/>
        <v>19258</v>
      </c>
      <c r="X23" s="208">
        <f t="shared" si="4"/>
        <v>244</v>
      </c>
      <c r="Y23" s="208">
        <f t="shared" si="4"/>
        <v>87</v>
      </c>
      <c r="Z23" s="208">
        <f t="shared" si="4"/>
        <v>55952</v>
      </c>
      <c r="AA23" s="208">
        <f t="shared" si="4"/>
        <v>20578</v>
      </c>
    </row>
    <row r="24" spans="1:27" x14ac:dyDescent="0.25">
      <c r="A24" s="136" t="s">
        <v>72</v>
      </c>
      <c r="B24" s="137" t="s">
        <v>356</v>
      </c>
      <c r="C24" s="280">
        <v>275</v>
      </c>
      <c r="D24" s="280">
        <v>274</v>
      </c>
      <c r="E24" s="280">
        <v>110</v>
      </c>
      <c r="F24" s="280">
        <v>4</v>
      </c>
      <c r="G24" s="280">
        <v>6</v>
      </c>
      <c r="H24" s="280">
        <v>8</v>
      </c>
      <c r="I24" s="280">
        <v>0</v>
      </c>
      <c r="J24" s="280">
        <v>10</v>
      </c>
      <c r="K24" s="280">
        <v>4</v>
      </c>
      <c r="L24" s="234">
        <f>SUM(C24:K24)</f>
        <v>691</v>
      </c>
      <c r="M24" s="280">
        <v>18</v>
      </c>
      <c r="N24" s="280">
        <v>2</v>
      </c>
      <c r="O24" s="280">
        <v>18</v>
      </c>
      <c r="P24" s="280">
        <v>2</v>
      </c>
      <c r="Q24" s="280">
        <v>6</v>
      </c>
      <c r="R24" s="280">
        <v>0</v>
      </c>
      <c r="S24" s="280">
        <v>0</v>
      </c>
      <c r="T24" s="280">
        <v>0</v>
      </c>
      <c r="U24" s="280">
        <v>0</v>
      </c>
      <c r="V24" s="256">
        <f>SUM(M24:U24)</f>
        <v>46</v>
      </c>
      <c r="W24" s="205"/>
      <c r="X24" s="204"/>
      <c r="Y24" s="204"/>
      <c r="Z24" s="214">
        <f>L24+V24+W24+X24</f>
        <v>737</v>
      </c>
      <c r="AA24" s="215">
        <f>C24+D24+F24+K24+M24+N24+P24+U24</f>
        <v>579</v>
      </c>
    </row>
    <row r="25" spans="1:27" x14ac:dyDescent="0.25">
      <c r="A25" s="136" t="s">
        <v>85</v>
      </c>
      <c r="B25" s="137" t="s">
        <v>281</v>
      </c>
      <c r="C25" s="230">
        <v>1446</v>
      </c>
      <c r="D25" s="230">
        <v>766</v>
      </c>
      <c r="E25" s="230">
        <v>370</v>
      </c>
      <c r="F25" s="230">
        <v>51</v>
      </c>
      <c r="G25" s="230">
        <v>63</v>
      </c>
      <c r="H25" s="230">
        <v>0</v>
      </c>
      <c r="I25" s="230">
        <v>0</v>
      </c>
      <c r="J25" s="230">
        <v>147</v>
      </c>
      <c r="K25" s="230">
        <v>0</v>
      </c>
      <c r="L25" s="232">
        <f t="shared" ref="L25:L36" si="5">SUM(C25:K25)</f>
        <v>2843</v>
      </c>
      <c r="M25" s="230">
        <v>573</v>
      </c>
      <c r="N25" s="230">
        <v>655</v>
      </c>
      <c r="O25" s="230">
        <v>337</v>
      </c>
      <c r="P25" s="230">
        <v>15</v>
      </c>
      <c r="Q25" s="230">
        <v>56</v>
      </c>
      <c r="R25" s="230">
        <v>0</v>
      </c>
      <c r="S25" s="230">
        <v>8</v>
      </c>
      <c r="T25" s="230">
        <v>24</v>
      </c>
      <c r="U25" s="230">
        <v>0</v>
      </c>
      <c r="V25" s="229">
        <f>SUM(M25:U25)</f>
        <v>1668</v>
      </c>
      <c r="W25" s="204">
        <v>1023</v>
      </c>
      <c r="X25" s="204"/>
      <c r="Y25" s="204"/>
      <c r="Z25" s="214">
        <f t="shared" ref="Z25:Z88" si="6">L25+V25+W25+X25</f>
        <v>5534</v>
      </c>
      <c r="AA25" s="215">
        <f>C25+D25+F25+K25+M25+N25+P25+U25</f>
        <v>3506</v>
      </c>
    </row>
    <row r="26" spans="1:27" x14ac:dyDescent="0.25">
      <c r="A26" s="136" t="s">
        <v>214</v>
      </c>
      <c r="B26" s="137" t="s">
        <v>282</v>
      </c>
      <c r="C26" s="230">
        <v>618</v>
      </c>
      <c r="D26" s="230">
        <v>223</v>
      </c>
      <c r="E26" s="230">
        <v>113</v>
      </c>
      <c r="F26" s="230">
        <v>9</v>
      </c>
      <c r="G26" s="230">
        <v>2</v>
      </c>
      <c r="H26" s="230">
        <v>0</v>
      </c>
      <c r="I26" s="230">
        <v>0</v>
      </c>
      <c r="J26" s="230">
        <v>18</v>
      </c>
      <c r="K26" s="230">
        <v>0</v>
      </c>
      <c r="L26" s="232">
        <f t="shared" si="5"/>
        <v>983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230">
        <v>0</v>
      </c>
      <c r="V26" s="229">
        <f t="shared" ref="V26:V36" si="7">SUM(M26:U26)</f>
        <v>0</v>
      </c>
      <c r="W26" s="205"/>
      <c r="X26" s="204"/>
      <c r="Y26" s="204"/>
      <c r="Z26" s="214">
        <f t="shared" si="6"/>
        <v>983</v>
      </c>
      <c r="AA26" s="215">
        <f t="shared" ref="AA26:AA36" si="8">C26+D26+F26+K26+M26+N26+P26+U26</f>
        <v>850</v>
      </c>
    </row>
    <row r="27" spans="1:27" x14ac:dyDescent="0.25">
      <c r="A27" s="136" t="s">
        <v>101</v>
      </c>
      <c r="B27" s="137" t="s">
        <v>283</v>
      </c>
      <c r="C27" s="230">
        <v>3401</v>
      </c>
      <c r="D27" s="230">
        <v>767</v>
      </c>
      <c r="E27" s="230">
        <v>1079</v>
      </c>
      <c r="F27" s="230">
        <v>58</v>
      </c>
      <c r="G27" s="230">
        <v>47</v>
      </c>
      <c r="H27" s="230">
        <v>0</v>
      </c>
      <c r="I27" s="230">
        <v>0</v>
      </c>
      <c r="J27" s="230">
        <v>34</v>
      </c>
      <c r="K27" s="230">
        <v>0</v>
      </c>
      <c r="L27" s="232">
        <f t="shared" si="5"/>
        <v>5386</v>
      </c>
      <c r="M27" s="230">
        <v>282</v>
      </c>
      <c r="N27" s="230">
        <v>533</v>
      </c>
      <c r="O27" s="230">
        <v>203</v>
      </c>
      <c r="P27" s="230">
        <v>0</v>
      </c>
      <c r="Q27" s="230">
        <v>40</v>
      </c>
      <c r="R27" s="230">
        <v>0</v>
      </c>
      <c r="S27" s="230">
        <v>0</v>
      </c>
      <c r="T27" s="230">
        <v>6</v>
      </c>
      <c r="U27" s="230">
        <v>0</v>
      </c>
      <c r="V27" s="229">
        <f t="shared" si="7"/>
        <v>1064</v>
      </c>
      <c r="W27" s="204">
        <v>737</v>
      </c>
      <c r="X27" s="204"/>
      <c r="Y27" s="204"/>
      <c r="Z27" s="214">
        <f t="shared" si="6"/>
        <v>7187</v>
      </c>
      <c r="AA27" s="215">
        <f t="shared" si="8"/>
        <v>5041</v>
      </c>
    </row>
    <row r="28" spans="1:27" x14ac:dyDescent="0.25">
      <c r="A28" s="136" t="s">
        <v>114</v>
      </c>
      <c r="B28" s="137" t="s">
        <v>284</v>
      </c>
      <c r="C28" s="230">
        <v>1062</v>
      </c>
      <c r="D28" s="230">
        <v>235</v>
      </c>
      <c r="E28" s="230">
        <v>322</v>
      </c>
      <c r="F28" s="230">
        <v>75</v>
      </c>
      <c r="G28" s="230">
        <v>48</v>
      </c>
      <c r="H28" s="230">
        <v>0</v>
      </c>
      <c r="I28" s="230">
        <v>0</v>
      </c>
      <c r="J28" s="230">
        <v>147</v>
      </c>
      <c r="K28" s="230">
        <v>0</v>
      </c>
      <c r="L28" s="232">
        <f t="shared" si="5"/>
        <v>1889</v>
      </c>
      <c r="M28" s="230">
        <v>167</v>
      </c>
      <c r="N28" s="230">
        <v>449</v>
      </c>
      <c r="O28" s="230">
        <v>142</v>
      </c>
      <c r="P28" s="230">
        <v>20</v>
      </c>
      <c r="Q28" s="230">
        <v>4</v>
      </c>
      <c r="R28" s="230">
        <v>0</v>
      </c>
      <c r="S28" s="230">
        <v>0</v>
      </c>
      <c r="T28" s="230">
        <v>0</v>
      </c>
      <c r="U28" s="230">
        <v>0</v>
      </c>
      <c r="V28" s="229">
        <f t="shared" si="7"/>
        <v>782</v>
      </c>
      <c r="W28" s="204">
        <v>966</v>
      </c>
      <c r="X28" s="204"/>
      <c r="Y28" s="204"/>
      <c r="Z28" s="214">
        <f t="shared" si="6"/>
        <v>3637</v>
      </c>
      <c r="AA28" s="215">
        <f t="shared" si="8"/>
        <v>2008</v>
      </c>
    </row>
    <row r="29" spans="1:27" x14ac:dyDescent="0.25">
      <c r="A29" s="136" t="s">
        <v>115</v>
      </c>
      <c r="B29" s="137" t="s">
        <v>285</v>
      </c>
      <c r="C29" s="230">
        <v>1807</v>
      </c>
      <c r="D29" s="230">
        <v>2358</v>
      </c>
      <c r="E29" s="230">
        <v>411</v>
      </c>
      <c r="F29" s="230">
        <v>37</v>
      </c>
      <c r="G29" s="230">
        <v>105</v>
      </c>
      <c r="H29" s="230">
        <v>0</v>
      </c>
      <c r="I29" s="230">
        <v>70</v>
      </c>
      <c r="J29" s="230">
        <v>331</v>
      </c>
      <c r="K29" s="230">
        <v>0</v>
      </c>
      <c r="L29" s="232">
        <f t="shared" si="5"/>
        <v>5119</v>
      </c>
      <c r="M29" s="230">
        <v>677</v>
      </c>
      <c r="N29" s="230">
        <v>1397</v>
      </c>
      <c r="O29" s="230">
        <v>585</v>
      </c>
      <c r="P29" s="230">
        <v>42</v>
      </c>
      <c r="Q29" s="230">
        <v>29</v>
      </c>
      <c r="R29" s="230">
        <v>0</v>
      </c>
      <c r="S29" s="230">
        <v>0</v>
      </c>
      <c r="T29" s="230">
        <v>18</v>
      </c>
      <c r="U29" s="230">
        <v>0</v>
      </c>
      <c r="V29" s="229">
        <f t="shared" si="7"/>
        <v>2748</v>
      </c>
      <c r="W29" s="204">
        <v>2854</v>
      </c>
      <c r="X29" s="204"/>
      <c r="Y29" s="204"/>
      <c r="Z29" s="214">
        <f t="shared" si="6"/>
        <v>10721</v>
      </c>
      <c r="AA29" s="215">
        <f t="shared" si="8"/>
        <v>6318</v>
      </c>
    </row>
    <row r="30" spans="1:27" x14ac:dyDescent="0.25">
      <c r="A30" s="136" t="s">
        <v>127</v>
      </c>
      <c r="B30" s="137" t="s">
        <v>286</v>
      </c>
      <c r="C30" s="230">
        <v>10736</v>
      </c>
      <c r="D30" s="230">
        <v>3297</v>
      </c>
      <c r="E30" s="230">
        <v>5084</v>
      </c>
      <c r="F30" s="230">
        <v>47</v>
      </c>
      <c r="G30" s="230">
        <v>144</v>
      </c>
      <c r="H30" s="230">
        <v>47</v>
      </c>
      <c r="I30" s="230">
        <v>0</v>
      </c>
      <c r="J30" s="230">
        <v>177</v>
      </c>
      <c r="K30" s="230">
        <v>0</v>
      </c>
      <c r="L30" s="232">
        <f t="shared" si="5"/>
        <v>19532</v>
      </c>
      <c r="M30" s="230">
        <v>230</v>
      </c>
      <c r="N30" s="230">
        <v>798</v>
      </c>
      <c r="O30" s="230">
        <v>220</v>
      </c>
      <c r="P30" s="230">
        <v>5</v>
      </c>
      <c r="Q30" s="230">
        <v>48</v>
      </c>
      <c r="R30" s="230">
        <v>0</v>
      </c>
      <c r="S30" s="230">
        <v>0</v>
      </c>
      <c r="T30" s="230">
        <v>2</v>
      </c>
      <c r="U30" s="230">
        <v>0</v>
      </c>
      <c r="V30" s="229">
        <f t="shared" si="7"/>
        <v>1303</v>
      </c>
      <c r="W30" s="204">
        <v>0</v>
      </c>
      <c r="X30" s="204"/>
      <c r="Y30" s="204"/>
      <c r="Z30" s="214">
        <f t="shared" si="6"/>
        <v>20835</v>
      </c>
      <c r="AA30" s="215">
        <f t="shared" si="8"/>
        <v>15113</v>
      </c>
    </row>
    <row r="31" spans="1:27" x14ac:dyDescent="0.25">
      <c r="A31" s="136" t="s">
        <v>129</v>
      </c>
      <c r="B31" s="137" t="s">
        <v>287</v>
      </c>
      <c r="C31" s="230">
        <v>6642</v>
      </c>
      <c r="D31" s="230">
        <v>2804</v>
      </c>
      <c r="E31" s="230">
        <v>3488</v>
      </c>
      <c r="F31" s="230">
        <v>118</v>
      </c>
      <c r="G31" s="230">
        <v>177</v>
      </c>
      <c r="H31" s="230">
        <v>0</v>
      </c>
      <c r="I31" s="230">
        <v>5</v>
      </c>
      <c r="J31" s="230">
        <v>264</v>
      </c>
      <c r="K31" s="230">
        <v>0</v>
      </c>
      <c r="L31" s="232">
        <f t="shared" si="5"/>
        <v>13498</v>
      </c>
      <c r="M31" s="230">
        <v>1881</v>
      </c>
      <c r="N31" s="230">
        <v>2865</v>
      </c>
      <c r="O31" s="230">
        <v>2002</v>
      </c>
      <c r="P31" s="230">
        <v>43</v>
      </c>
      <c r="Q31" s="230">
        <v>168</v>
      </c>
      <c r="R31" s="230">
        <v>0</v>
      </c>
      <c r="S31" s="230">
        <v>0</v>
      </c>
      <c r="T31" s="230">
        <v>7</v>
      </c>
      <c r="U31" s="230">
        <v>0</v>
      </c>
      <c r="V31" s="229">
        <f t="shared" si="7"/>
        <v>6966</v>
      </c>
      <c r="W31" s="204">
        <v>1322</v>
      </c>
      <c r="X31" s="204"/>
      <c r="Y31" s="204"/>
      <c r="Z31" s="214">
        <f t="shared" si="6"/>
        <v>21786</v>
      </c>
      <c r="AA31" s="215">
        <f t="shared" si="8"/>
        <v>14353</v>
      </c>
    </row>
    <row r="32" spans="1:27" x14ac:dyDescent="0.25">
      <c r="A32" s="136" t="s">
        <v>139</v>
      </c>
      <c r="B32" s="137" t="s">
        <v>321</v>
      </c>
      <c r="C32" s="230">
        <v>1529</v>
      </c>
      <c r="D32" s="230">
        <v>1068</v>
      </c>
      <c r="E32" s="230">
        <v>1290</v>
      </c>
      <c r="F32" s="230">
        <v>55</v>
      </c>
      <c r="G32" s="230">
        <v>46</v>
      </c>
      <c r="H32" s="230">
        <v>68</v>
      </c>
      <c r="I32" s="230">
        <v>33</v>
      </c>
      <c r="J32" s="230">
        <v>147</v>
      </c>
      <c r="K32" s="230">
        <v>223</v>
      </c>
      <c r="L32" s="232">
        <f t="shared" si="5"/>
        <v>4459</v>
      </c>
      <c r="M32" s="230">
        <v>294</v>
      </c>
      <c r="N32" s="230">
        <v>686</v>
      </c>
      <c r="O32" s="230">
        <v>437</v>
      </c>
      <c r="P32" s="230">
        <v>15</v>
      </c>
      <c r="Q32" s="230">
        <v>40</v>
      </c>
      <c r="R32" s="230">
        <v>0</v>
      </c>
      <c r="S32" s="230">
        <v>0</v>
      </c>
      <c r="T32" s="230">
        <v>4</v>
      </c>
      <c r="U32" s="230">
        <v>68</v>
      </c>
      <c r="V32" s="229">
        <f>SUM(M32:U32)</f>
        <v>1544</v>
      </c>
      <c r="W32" s="204">
        <v>1689</v>
      </c>
      <c r="X32" s="204"/>
      <c r="Y32" s="204"/>
      <c r="Z32" s="214">
        <f t="shared" si="6"/>
        <v>7692</v>
      </c>
      <c r="AA32" s="215">
        <f>C32+D32+F32+K32+M32+N32+P32+U32</f>
        <v>3938</v>
      </c>
    </row>
    <row r="33" spans="1:27" x14ac:dyDescent="0.25">
      <c r="A33" s="140" t="s">
        <v>151</v>
      </c>
      <c r="B33" s="161" t="s">
        <v>323</v>
      </c>
      <c r="C33" s="230">
        <v>0</v>
      </c>
      <c r="D33" s="230">
        <v>0</v>
      </c>
      <c r="E33" s="230">
        <v>261</v>
      </c>
      <c r="F33" s="230">
        <v>0</v>
      </c>
      <c r="G33" s="230">
        <v>0</v>
      </c>
      <c r="H33" s="230">
        <v>0</v>
      </c>
      <c r="I33" s="230">
        <v>0</v>
      </c>
      <c r="J33" s="230">
        <v>1137</v>
      </c>
      <c r="K33" s="230">
        <v>0</v>
      </c>
      <c r="L33" s="229">
        <f t="shared" si="5"/>
        <v>1398</v>
      </c>
      <c r="M33" s="196"/>
      <c r="N33" s="147"/>
      <c r="O33" s="147"/>
      <c r="P33" s="147"/>
      <c r="Q33" s="147"/>
      <c r="R33" s="147"/>
      <c r="S33" s="147"/>
      <c r="T33" s="147"/>
      <c r="U33" s="189"/>
      <c r="V33" s="176"/>
      <c r="W33" s="206"/>
      <c r="X33" s="209"/>
      <c r="Y33" s="209"/>
      <c r="Z33" s="214">
        <f t="shared" si="6"/>
        <v>1398</v>
      </c>
      <c r="AA33" s="215">
        <f>C33+D33+F33+K33+M33+N33+P33+U33</f>
        <v>0</v>
      </c>
    </row>
    <row r="34" spans="1:27" x14ac:dyDescent="0.25">
      <c r="A34" s="136" t="s">
        <v>170</v>
      </c>
      <c r="B34" s="137" t="s">
        <v>288</v>
      </c>
      <c r="C34" s="230">
        <v>10874</v>
      </c>
      <c r="D34" s="230">
        <v>3132</v>
      </c>
      <c r="E34" s="230">
        <v>5211</v>
      </c>
      <c r="F34" s="230">
        <v>65</v>
      </c>
      <c r="G34" s="230">
        <v>315</v>
      </c>
      <c r="H34" s="230">
        <v>0</v>
      </c>
      <c r="I34" s="230">
        <v>0</v>
      </c>
      <c r="J34" s="230">
        <v>257</v>
      </c>
      <c r="K34" s="230">
        <v>4</v>
      </c>
      <c r="L34" s="232">
        <f t="shared" si="5"/>
        <v>19858</v>
      </c>
      <c r="M34" s="230">
        <v>0</v>
      </c>
      <c r="N34" s="230">
        <v>0</v>
      </c>
      <c r="O34" s="230">
        <v>0</v>
      </c>
      <c r="P34" s="230">
        <v>0</v>
      </c>
      <c r="Q34" s="230">
        <v>0</v>
      </c>
      <c r="R34" s="230">
        <v>0</v>
      </c>
      <c r="S34" s="230">
        <v>0</v>
      </c>
      <c r="T34" s="230">
        <v>0</v>
      </c>
      <c r="U34" s="230">
        <v>0</v>
      </c>
      <c r="V34" s="229">
        <f t="shared" si="7"/>
        <v>0</v>
      </c>
      <c r="W34" s="209">
        <v>72</v>
      </c>
      <c r="X34" s="209"/>
      <c r="Y34" s="209"/>
      <c r="Z34" s="214">
        <f t="shared" si="6"/>
        <v>19930</v>
      </c>
      <c r="AA34" s="217">
        <f t="shared" si="8"/>
        <v>14075</v>
      </c>
    </row>
    <row r="35" spans="1:27" x14ac:dyDescent="0.25">
      <c r="A35" s="136" t="s">
        <v>171</v>
      </c>
      <c r="B35" s="137" t="s">
        <v>324</v>
      </c>
      <c r="C35" s="230">
        <v>1794</v>
      </c>
      <c r="D35" s="230">
        <v>841</v>
      </c>
      <c r="E35" s="230">
        <v>844</v>
      </c>
      <c r="F35" s="230">
        <v>64</v>
      </c>
      <c r="G35" s="230">
        <v>41</v>
      </c>
      <c r="H35" s="230">
        <v>6</v>
      </c>
      <c r="I35" s="230">
        <v>158</v>
      </c>
      <c r="J35" s="230">
        <v>196</v>
      </c>
      <c r="K35" s="230">
        <v>0</v>
      </c>
      <c r="L35" s="232">
        <f t="shared" si="5"/>
        <v>3944</v>
      </c>
      <c r="M35" s="230">
        <v>1025</v>
      </c>
      <c r="N35" s="230">
        <v>917</v>
      </c>
      <c r="O35" s="230">
        <v>772</v>
      </c>
      <c r="P35" s="230">
        <v>15</v>
      </c>
      <c r="Q35" s="230">
        <v>33</v>
      </c>
      <c r="R35" s="230">
        <v>24</v>
      </c>
      <c r="S35" s="230">
        <v>0</v>
      </c>
      <c r="T35" s="230">
        <v>2</v>
      </c>
      <c r="U35" s="230">
        <v>0</v>
      </c>
      <c r="V35" s="229">
        <f>SUM(M35:U35)</f>
        <v>2788</v>
      </c>
      <c r="W35" s="204">
        <f>1759+2791</f>
        <v>4550</v>
      </c>
      <c r="X35" s="204"/>
      <c r="Y35" s="204"/>
      <c r="Z35" s="214">
        <f t="shared" si="6"/>
        <v>11282</v>
      </c>
      <c r="AA35" s="215">
        <f>C35+D35+F35+K35+M35+N35+P35+U35</f>
        <v>4656</v>
      </c>
    </row>
    <row r="36" spans="1:27" ht="13.8" thickBot="1" x14ac:dyDescent="0.3">
      <c r="A36" s="136" t="s">
        <v>362</v>
      </c>
      <c r="B36" s="137" t="s">
        <v>289</v>
      </c>
      <c r="C36" s="265">
        <v>261</v>
      </c>
      <c r="D36" s="265">
        <v>106</v>
      </c>
      <c r="E36" s="265">
        <v>204</v>
      </c>
      <c r="F36" s="265">
        <v>32</v>
      </c>
      <c r="G36" s="265">
        <v>9</v>
      </c>
      <c r="H36" s="265">
        <v>0</v>
      </c>
      <c r="I36" s="265">
        <v>0</v>
      </c>
      <c r="J36" s="265">
        <v>32</v>
      </c>
      <c r="K36" s="265">
        <v>0</v>
      </c>
      <c r="L36" s="239">
        <f t="shared" si="5"/>
        <v>644</v>
      </c>
      <c r="M36" s="265">
        <v>0</v>
      </c>
      <c r="N36" s="265">
        <v>0</v>
      </c>
      <c r="O36" s="265">
        <v>0</v>
      </c>
      <c r="P36" s="265">
        <v>0</v>
      </c>
      <c r="Q36" s="265">
        <v>0</v>
      </c>
      <c r="R36" s="265">
        <v>0</v>
      </c>
      <c r="S36" s="265">
        <v>0</v>
      </c>
      <c r="T36" s="265">
        <v>0</v>
      </c>
      <c r="U36" s="265">
        <v>0</v>
      </c>
      <c r="V36" s="231">
        <f t="shared" si="7"/>
        <v>0</v>
      </c>
      <c r="W36" s="206"/>
      <c r="X36" s="209"/>
      <c r="Y36" s="209"/>
      <c r="Z36" s="214">
        <f t="shared" si="6"/>
        <v>644</v>
      </c>
      <c r="AA36" s="217">
        <f t="shared" si="8"/>
        <v>399</v>
      </c>
    </row>
    <row r="37" spans="1:27" s="109" customFormat="1" ht="14.4" thickBot="1" x14ac:dyDescent="0.3">
      <c r="A37" s="134"/>
      <c r="B37" s="159" t="s">
        <v>458</v>
      </c>
      <c r="C37" s="258">
        <f t="shared" ref="C37:AA37" si="9">SUM(C24:C36)</f>
        <v>40445</v>
      </c>
      <c r="D37" s="157">
        <f t="shared" si="9"/>
        <v>15871</v>
      </c>
      <c r="E37" s="157">
        <f t="shared" si="9"/>
        <v>18787</v>
      </c>
      <c r="F37" s="157">
        <f t="shared" si="9"/>
        <v>615</v>
      </c>
      <c r="G37" s="157">
        <f t="shared" si="9"/>
        <v>1003</v>
      </c>
      <c r="H37" s="157">
        <f t="shared" si="9"/>
        <v>129</v>
      </c>
      <c r="I37" s="157">
        <f t="shared" si="9"/>
        <v>266</v>
      </c>
      <c r="J37" s="157">
        <f t="shared" si="9"/>
        <v>2897</v>
      </c>
      <c r="K37" s="259">
        <f t="shared" si="9"/>
        <v>231</v>
      </c>
      <c r="L37" s="263">
        <f t="shared" si="9"/>
        <v>80244</v>
      </c>
      <c r="M37" s="327">
        <f t="shared" si="9"/>
        <v>5147</v>
      </c>
      <c r="N37" s="328">
        <f t="shared" si="9"/>
        <v>8302</v>
      </c>
      <c r="O37" s="328">
        <f t="shared" si="9"/>
        <v>4716</v>
      </c>
      <c r="P37" s="328">
        <f t="shared" si="9"/>
        <v>157</v>
      </c>
      <c r="Q37" s="328">
        <f t="shared" si="9"/>
        <v>424</v>
      </c>
      <c r="R37" s="328">
        <f t="shared" si="9"/>
        <v>24</v>
      </c>
      <c r="S37" s="328">
        <f t="shared" si="9"/>
        <v>8</v>
      </c>
      <c r="T37" s="328">
        <f t="shared" si="9"/>
        <v>63</v>
      </c>
      <c r="U37" s="329">
        <f t="shared" si="9"/>
        <v>68</v>
      </c>
      <c r="V37" s="180">
        <f t="shared" si="9"/>
        <v>18909</v>
      </c>
      <c r="W37" s="210">
        <f t="shared" si="9"/>
        <v>13213</v>
      </c>
      <c r="X37" s="210">
        <f t="shared" si="9"/>
        <v>0</v>
      </c>
      <c r="Y37" s="210">
        <f t="shared" si="9"/>
        <v>0</v>
      </c>
      <c r="Z37" s="210">
        <f t="shared" si="9"/>
        <v>112366</v>
      </c>
      <c r="AA37" s="210">
        <f t="shared" si="9"/>
        <v>70836</v>
      </c>
    </row>
    <row r="38" spans="1:27" x14ac:dyDescent="0.25">
      <c r="A38" s="136" t="s">
        <v>70</v>
      </c>
      <c r="B38" s="137" t="s">
        <v>313</v>
      </c>
      <c r="C38" s="280">
        <v>754</v>
      </c>
      <c r="D38" s="280">
        <v>1491</v>
      </c>
      <c r="E38" s="280">
        <v>526</v>
      </c>
      <c r="F38" s="280">
        <v>41</v>
      </c>
      <c r="G38" s="280">
        <v>74</v>
      </c>
      <c r="H38" s="280">
        <v>0</v>
      </c>
      <c r="I38" s="280">
        <v>0</v>
      </c>
      <c r="J38" s="280">
        <v>191</v>
      </c>
      <c r="K38" s="280">
        <v>148</v>
      </c>
      <c r="L38" s="234">
        <f t="shared" ref="L38:L54" si="10">SUM(C38:K38)</f>
        <v>3225</v>
      </c>
      <c r="M38" s="230">
        <v>956</v>
      </c>
      <c r="N38" s="230">
        <v>1458</v>
      </c>
      <c r="O38" s="230">
        <v>739</v>
      </c>
      <c r="P38" s="230">
        <v>65</v>
      </c>
      <c r="Q38" s="230">
        <v>45</v>
      </c>
      <c r="R38" s="230">
        <v>14</v>
      </c>
      <c r="S38" s="230">
        <v>0</v>
      </c>
      <c r="T38" s="230">
        <v>8</v>
      </c>
      <c r="U38" s="230">
        <v>7</v>
      </c>
      <c r="V38" s="390">
        <f>SUM(M38:U38)</f>
        <v>3292</v>
      </c>
      <c r="W38" s="211">
        <v>2378</v>
      </c>
      <c r="X38" s="211"/>
      <c r="Y38" s="211"/>
      <c r="Z38" s="214">
        <f>L38+V38+W38+X38+Y38</f>
        <v>8895</v>
      </c>
      <c r="AA38" s="215">
        <f t="shared" ref="AA38:AA48" si="11">C38+D38+F38+K38+M38+N38+P38+U38</f>
        <v>4920</v>
      </c>
    </row>
    <row r="39" spans="1:27" x14ac:dyDescent="0.25">
      <c r="A39" s="136" t="s">
        <v>75</v>
      </c>
      <c r="B39" s="137" t="s">
        <v>336</v>
      </c>
      <c r="C39" s="230">
        <v>5395</v>
      </c>
      <c r="D39" s="230">
        <v>2623</v>
      </c>
      <c r="E39" s="230">
        <v>2910</v>
      </c>
      <c r="F39" s="230">
        <v>115</v>
      </c>
      <c r="G39" s="230">
        <v>180</v>
      </c>
      <c r="H39" s="230">
        <v>0</v>
      </c>
      <c r="I39" s="230">
        <v>150</v>
      </c>
      <c r="J39" s="230">
        <v>435</v>
      </c>
      <c r="K39" s="230">
        <v>0</v>
      </c>
      <c r="L39" s="232">
        <f t="shared" si="10"/>
        <v>11808</v>
      </c>
      <c r="M39" s="230">
        <v>898</v>
      </c>
      <c r="N39" s="230">
        <v>1819</v>
      </c>
      <c r="O39" s="230">
        <v>1179</v>
      </c>
      <c r="P39" s="230">
        <v>48</v>
      </c>
      <c r="Q39" s="230">
        <v>65</v>
      </c>
      <c r="R39" s="230">
        <v>0</v>
      </c>
      <c r="S39" s="230">
        <v>0</v>
      </c>
      <c r="T39" s="230">
        <v>34</v>
      </c>
      <c r="U39" s="230">
        <v>0</v>
      </c>
      <c r="V39" s="229">
        <f t="shared" ref="V39:V47" si="12">SUM(M39:U39)</f>
        <v>4043</v>
      </c>
      <c r="W39" s="204">
        <v>711</v>
      </c>
      <c r="X39" s="204"/>
      <c r="Y39" s="204"/>
      <c r="Z39" s="214">
        <f t="shared" ref="Z39:Z54" si="13">L39+V39+W39+X39+Y39</f>
        <v>16562</v>
      </c>
      <c r="AA39" s="215">
        <f t="shared" si="11"/>
        <v>10898</v>
      </c>
    </row>
    <row r="40" spans="1:27" x14ac:dyDescent="0.25">
      <c r="A40" s="136" t="s">
        <v>78</v>
      </c>
      <c r="B40" s="137" t="s">
        <v>314</v>
      </c>
      <c r="C40" s="230">
        <v>372</v>
      </c>
      <c r="D40" s="230">
        <v>619</v>
      </c>
      <c r="E40" s="230">
        <v>210</v>
      </c>
      <c r="F40" s="230">
        <v>9</v>
      </c>
      <c r="G40" s="230">
        <v>46</v>
      </c>
      <c r="H40" s="230">
        <v>4</v>
      </c>
      <c r="I40" s="230">
        <v>154</v>
      </c>
      <c r="J40" s="230">
        <v>127</v>
      </c>
      <c r="K40" s="230">
        <v>0</v>
      </c>
      <c r="L40" s="232">
        <f t="shared" si="10"/>
        <v>1541</v>
      </c>
      <c r="M40" s="230">
        <v>296</v>
      </c>
      <c r="N40" s="230">
        <v>618</v>
      </c>
      <c r="O40" s="230">
        <v>264</v>
      </c>
      <c r="P40" s="230">
        <v>27</v>
      </c>
      <c r="Q40" s="230">
        <v>5</v>
      </c>
      <c r="R40" s="230">
        <v>39</v>
      </c>
      <c r="S40" s="230">
        <v>0</v>
      </c>
      <c r="T40" s="230">
        <v>0</v>
      </c>
      <c r="U40" s="230">
        <v>0</v>
      </c>
      <c r="V40" s="229">
        <f t="shared" si="12"/>
        <v>1249</v>
      </c>
      <c r="W40" s="204">
        <v>855</v>
      </c>
      <c r="X40" s="204"/>
      <c r="Y40" s="204"/>
      <c r="Z40" s="214">
        <f t="shared" si="13"/>
        <v>3645</v>
      </c>
      <c r="AA40" s="215">
        <f t="shared" si="11"/>
        <v>1941</v>
      </c>
    </row>
    <row r="41" spans="1:27" x14ac:dyDescent="0.25">
      <c r="A41" s="136" t="s">
        <v>88</v>
      </c>
      <c r="B41" s="137" t="s">
        <v>337</v>
      </c>
      <c r="C41" s="230">
        <v>1775</v>
      </c>
      <c r="D41" s="230">
        <v>597</v>
      </c>
      <c r="E41" s="230">
        <v>535</v>
      </c>
      <c r="F41" s="230">
        <v>30</v>
      </c>
      <c r="G41" s="230">
        <v>74</v>
      </c>
      <c r="H41" s="230">
        <v>0</v>
      </c>
      <c r="I41" s="230">
        <v>0</v>
      </c>
      <c r="J41" s="230">
        <v>36</v>
      </c>
      <c r="K41" s="230">
        <v>0</v>
      </c>
      <c r="L41" s="232">
        <f t="shared" si="10"/>
        <v>3047</v>
      </c>
      <c r="M41" s="230">
        <v>1234</v>
      </c>
      <c r="N41" s="230">
        <v>502</v>
      </c>
      <c r="O41" s="230">
        <v>454</v>
      </c>
      <c r="P41" s="230">
        <v>3</v>
      </c>
      <c r="Q41" s="230">
        <v>15</v>
      </c>
      <c r="R41" s="230">
        <v>0</v>
      </c>
      <c r="S41" s="230">
        <v>85</v>
      </c>
      <c r="T41" s="230">
        <v>6</v>
      </c>
      <c r="U41" s="230">
        <v>0</v>
      </c>
      <c r="V41" s="229">
        <f t="shared" si="12"/>
        <v>2299</v>
      </c>
      <c r="W41" s="204">
        <v>1147</v>
      </c>
      <c r="X41" s="204"/>
      <c r="Y41" s="204"/>
      <c r="Z41" s="214">
        <f t="shared" si="13"/>
        <v>6493</v>
      </c>
      <c r="AA41" s="215">
        <f t="shared" si="11"/>
        <v>4141</v>
      </c>
    </row>
    <row r="42" spans="1:27" x14ac:dyDescent="0.25">
      <c r="A42" s="136" t="s">
        <v>99</v>
      </c>
      <c r="B42" s="137" t="s">
        <v>338</v>
      </c>
      <c r="C42" s="230">
        <v>11342</v>
      </c>
      <c r="D42" s="230">
        <v>1942</v>
      </c>
      <c r="E42" s="230">
        <v>2334</v>
      </c>
      <c r="F42" s="230">
        <v>103</v>
      </c>
      <c r="G42" s="230">
        <v>147</v>
      </c>
      <c r="H42" s="230">
        <v>98</v>
      </c>
      <c r="I42" s="230">
        <v>172</v>
      </c>
      <c r="J42" s="230">
        <v>242</v>
      </c>
      <c r="K42" s="230">
        <v>2</v>
      </c>
      <c r="L42" s="232">
        <f t="shared" si="10"/>
        <v>16382</v>
      </c>
      <c r="M42" s="230">
        <v>915</v>
      </c>
      <c r="N42" s="230">
        <v>321</v>
      </c>
      <c r="O42" s="230">
        <v>207</v>
      </c>
      <c r="P42" s="230">
        <v>5</v>
      </c>
      <c r="Q42" s="230">
        <v>10</v>
      </c>
      <c r="R42" s="230">
        <v>60</v>
      </c>
      <c r="S42" s="230">
        <v>0</v>
      </c>
      <c r="T42" s="230">
        <v>11</v>
      </c>
      <c r="U42" s="230">
        <v>0</v>
      </c>
      <c r="V42" s="229">
        <f t="shared" si="12"/>
        <v>1529</v>
      </c>
      <c r="W42" s="204">
        <v>2312</v>
      </c>
      <c r="X42" s="204"/>
      <c r="Y42" s="204"/>
      <c r="Z42" s="214">
        <f t="shared" si="13"/>
        <v>20223</v>
      </c>
      <c r="AA42" s="215">
        <f t="shared" si="11"/>
        <v>14630</v>
      </c>
    </row>
    <row r="43" spans="1:27" x14ac:dyDescent="0.25">
      <c r="A43" s="136" t="s">
        <v>113</v>
      </c>
      <c r="B43" s="137" t="s">
        <v>339</v>
      </c>
      <c r="C43" s="230">
        <v>16617</v>
      </c>
      <c r="D43" s="230">
        <v>12271</v>
      </c>
      <c r="E43" s="230">
        <v>7868</v>
      </c>
      <c r="F43" s="230">
        <v>56</v>
      </c>
      <c r="G43" s="230">
        <v>216</v>
      </c>
      <c r="H43" s="230">
        <v>10</v>
      </c>
      <c r="I43" s="230">
        <v>0</v>
      </c>
      <c r="J43" s="230">
        <v>536</v>
      </c>
      <c r="K43" s="230">
        <v>0</v>
      </c>
      <c r="L43" s="232">
        <f t="shared" si="10"/>
        <v>37574</v>
      </c>
      <c r="M43" s="230">
        <v>10875</v>
      </c>
      <c r="N43" s="230">
        <v>30778</v>
      </c>
      <c r="O43" s="230">
        <v>15513</v>
      </c>
      <c r="P43" s="230">
        <v>204</v>
      </c>
      <c r="Q43" s="230">
        <v>460</v>
      </c>
      <c r="R43" s="230">
        <v>24</v>
      </c>
      <c r="S43" s="230">
        <v>0</v>
      </c>
      <c r="T43" s="230">
        <v>106</v>
      </c>
      <c r="U43" s="230">
        <v>0</v>
      </c>
      <c r="V43" s="229">
        <f t="shared" si="12"/>
        <v>57960</v>
      </c>
      <c r="W43" s="204">
        <v>1168</v>
      </c>
      <c r="X43" s="204"/>
      <c r="Y43" s="204"/>
      <c r="Z43" s="214">
        <f t="shared" si="13"/>
        <v>96702</v>
      </c>
      <c r="AA43" s="215">
        <f t="shared" si="11"/>
        <v>70801</v>
      </c>
    </row>
    <row r="44" spans="1:27" x14ac:dyDescent="0.25">
      <c r="A44" s="136" t="s">
        <v>116</v>
      </c>
      <c r="B44" s="137" t="s">
        <v>316</v>
      </c>
      <c r="C44" s="230">
        <v>1395</v>
      </c>
      <c r="D44" s="230">
        <v>1389</v>
      </c>
      <c r="E44" s="230">
        <v>534</v>
      </c>
      <c r="F44" s="230">
        <v>31</v>
      </c>
      <c r="G44" s="230">
        <v>182</v>
      </c>
      <c r="H44" s="230">
        <v>0</v>
      </c>
      <c r="I44" s="230">
        <v>0</v>
      </c>
      <c r="J44" s="230">
        <v>55</v>
      </c>
      <c r="K44" s="230">
        <v>12</v>
      </c>
      <c r="L44" s="232">
        <f t="shared" si="10"/>
        <v>3598</v>
      </c>
      <c r="M44" s="230">
        <v>39</v>
      </c>
      <c r="N44" s="230">
        <v>11</v>
      </c>
      <c r="O44" s="230">
        <v>21</v>
      </c>
      <c r="P44" s="230">
        <v>0</v>
      </c>
      <c r="Q44" s="230">
        <v>0</v>
      </c>
      <c r="R44" s="230">
        <v>0</v>
      </c>
      <c r="S44" s="230">
        <v>0</v>
      </c>
      <c r="T44" s="230">
        <v>0</v>
      </c>
      <c r="U44" s="230">
        <v>0</v>
      </c>
      <c r="V44" s="229">
        <f t="shared" si="12"/>
        <v>71</v>
      </c>
      <c r="W44" s="204">
        <v>1632</v>
      </c>
      <c r="X44" s="204"/>
      <c r="Y44" s="204"/>
      <c r="Z44" s="214">
        <f t="shared" si="13"/>
        <v>5301</v>
      </c>
      <c r="AA44" s="215">
        <f t="shared" si="11"/>
        <v>2877</v>
      </c>
    </row>
    <row r="45" spans="1:27" x14ac:dyDescent="0.25">
      <c r="A45" s="136" t="s">
        <v>117</v>
      </c>
      <c r="B45" s="137" t="s">
        <v>317</v>
      </c>
      <c r="C45" s="230">
        <v>9496</v>
      </c>
      <c r="D45" s="230">
        <v>3794</v>
      </c>
      <c r="E45" s="230">
        <v>6875</v>
      </c>
      <c r="F45" s="230">
        <v>149</v>
      </c>
      <c r="G45" s="230">
        <v>368</v>
      </c>
      <c r="H45" s="230">
        <v>0</v>
      </c>
      <c r="I45" s="230">
        <v>35</v>
      </c>
      <c r="J45" s="230">
        <v>314</v>
      </c>
      <c r="K45" s="230">
        <v>0</v>
      </c>
      <c r="L45" s="232">
        <f t="shared" si="10"/>
        <v>21031</v>
      </c>
      <c r="M45" s="230">
        <v>802</v>
      </c>
      <c r="N45" s="230">
        <v>1245</v>
      </c>
      <c r="O45" s="230">
        <v>916</v>
      </c>
      <c r="P45" s="230">
        <v>23</v>
      </c>
      <c r="Q45" s="230">
        <v>54</v>
      </c>
      <c r="R45" s="230">
        <v>26</v>
      </c>
      <c r="S45" s="230">
        <v>0</v>
      </c>
      <c r="T45" s="230">
        <v>4</v>
      </c>
      <c r="U45" s="230">
        <v>0</v>
      </c>
      <c r="V45" s="229">
        <f t="shared" si="12"/>
        <v>3070</v>
      </c>
      <c r="W45" s="204">
        <v>1218</v>
      </c>
      <c r="X45" s="204"/>
      <c r="Y45" s="204"/>
      <c r="Z45" s="214">
        <f t="shared" si="13"/>
        <v>25319</v>
      </c>
      <c r="AA45" s="215">
        <f t="shared" si="11"/>
        <v>15509</v>
      </c>
    </row>
    <row r="46" spans="1:27" x14ac:dyDescent="0.25">
      <c r="A46" s="136" t="s">
        <v>118</v>
      </c>
      <c r="B46" s="137" t="s">
        <v>340</v>
      </c>
      <c r="C46" s="230">
        <v>135</v>
      </c>
      <c r="D46" s="230">
        <v>246</v>
      </c>
      <c r="E46" s="230">
        <v>38</v>
      </c>
      <c r="F46" s="230">
        <v>9</v>
      </c>
      <c r="G46" s="230">
        <v>8</v>
      </c>
      <c r="H46" s="230">
        <v>10</v>
      </c>
      <c r="I46" s="230">
        <v>0</v>
      </c>
      <c r="J46" s="230">
        <v>60</v>
      </c>
      <c r="K46" s="230">
        <v>0</v>
      </c>
      <c r="L46" s="232">
        <f t="shared" si="10"/>
        <v>506</v>
      </c>
      <c r="M46" s="230">
        <v>50</v>
      </c>
      <c r="N46" s="230">
        <v>49</v>
      </c>
      <c r="O46" s="230">
        <v>21</v>
      </c>
      <c r="P46" s="230">
        <v>2</v>
      </c>
      <c r="Q46" s="230">
        <v>0</v>
      </c>
      <c r="R46" s="230">
        <v>156</v>
      </c>
      <c r="S46" s="230">
        <v>0</v>
      </c>
      <c r="T46" s="230">
        <v>0</v>
      </c>
      <c r="U46" s="230">
        <v>0</v>
      </c>
      <c r="V46" s="229">
        <f t="shared" si="12"/>
        <v>278</v>
      </c>
      <c r="W46" s="204">
        <v>70</v>
      </c>
      <c r="X46" s="204">
        <v>73</v>
      </c>
      <c r="Y46" s="204">
        <v>14</v>
      </c>
      <c r="Z46" s="214">
        <f t="shared" si="13"/>
        <v>941</v>
      </c>
      <c r="AA46" s="215">
        <f t="shared" si="11"/>
        <v>491</v>
      </c>
    </row>
    <row r="47" spans="1:27" x14ac:dyDescent="0.25">
      <c r="A47" s="136" t="s">
        <v>122</v>
      </c>
      <c r="B47" s="137" t="s">
        <v>341</v>
      </c>
      <c r="C47" s="230">
        <v>5510</v>
      </c>
      <c r="D47" s="230">
        <v>2996</v>
      </c>
      <c r="E47" s="230">
        <v>2363</v>
      </c>
      <c r="F47" s="230">
        <v>117</v>
      </c>
      <c r="G47" s="230">
        <v>278</v>
      </c>
      <c r="H47" s="230">
        <v>80</v>
      </c>
      <c r="I47" s="230">
        <v>140</v>
      </c>
      <c r="J47" s="230">
        <v>1044</v>
      </c>
      <c r="K47" s="230">
        <v>0</v>
      </c>
      <c r="L47" s="232">
        <f t="shared" si="10"/>
        <v>12528</v>
      </c>
      <c r="M47" s="230">
        <v>4230</v>
      </c>
      <c r="N47" s="230">
        <v>7361</v>
      </c>
      <c r="O47" s="230">
        <v>4474</v>
      </c>
      <c r="P47" s="230">
        <v>147</v>
      </c>
      <c r="Q47" s="230">
        <v>196</v>
      </c>
      <c r="R47" s="230">
        <v>267</v>
      </c>
      <c r="S47" s="230">
        <v>0</v>
      </c>
      <c r="T47" s="230">
        <v>58</v>
      </c>
      <c r="U47" s="230">
        <v>0</v>
      </c>
      <c r="V47" s="229">
        <f t="shared" si="12"/>
        <v>16733</v>
      </c>
      <c r="W47" s="204">
        <v>752</v>
      </c>
      <c r="X47" s="204"/>
      <c r="Y47" s="204"/>
      <c r="Z47" s="214">
        <f t="shared" si="13"/>
        <v>30013</v>
      </c>
      <c r="AA47" s="215">
        <f t="shared" si="11"/>
        <v>20361</v>
      </c>
    </row>
    <row r="48" spans="1:27" ht="17.25" customHeight="1" x14ac:dyDescent="0.25">
      <c r="A48" s="136" t="s">
        <v>140</v>
      </c>
      <c r="B48" s="137" t="s">
        <v>265</v>
      </c>
      <c r="C48" s="230"/>
      <c r="D48" s="128"/>
      <c r="E48" s="128"/>
      <c r="F48" s="128"/>
      <c r="G48" s="128"/>
      <c r="H48" s="128"/>
      <c r="I48" s="128"/>
      <c r="J48" s="128"/>
      <c r="K48" s="128"/>
      <c r="L48" s="229">
        <f t="shared" si="10"/>
        <v>0</v>
      </c>
      <c r="M48" s="196"/>
      <c r="N48" s="147"/>
      <c r="O48" s="147"/>
      <c r="P48" s="147"/>
      <c r="Q48" s="147"/>
      <c r="R48" s="147"/>
      <c r="S48" s="147"/>
      <c r="T48" s="147"/>
      <c r="U48" s="196"/>
      <c r="V48" s="176"/>
      <c r="W48" s="205"/>
      <c r="X48" s="204"/>
      <c r="Y48" s="204"/>
      <c r="Z48" s="214">
        <f t="shared" si="13"/>
        <v>0</v>
      </c>
      <c r="AA48" s="215">
        <f t="shared" si="11"/>
        <v>0</v>
      </c>
    </row>
    <row r="49" spans="1:28" x14ac:dyDescent="0.25">
      <c r="A49" s="136" t="s">
        <v>141</v>
      </c>
      <c r="B49" s="137" t="s">
        <v>342</v>
      </c>
      <c r="C49" s="230">
        <v>1086</v>
      </c>
      <c r="D49" s="230">
        <v>725</v>
      </c>
      <c r="E49" s="230">
        <v>437</v>
      </c>
      <c r="F49" s="230">
        <v>34</v>
      </c>
      <c r="G49" s="230">
        <v>42</v>
      </c>
      <c r="H49" s="230">
        <v>0</v>
      </c>
      <c r="I49" s="230">
        <v>0</v>
      </c>
      <c r="J49" s="230">
        <v>129</v>
      </c>
      <c r="K49" s="230">
        <v>0</v>
      </c>
      <c r="L49" s="232">
        <f t="shared" si="10"/>
        <v>2453</v>
      </c>
      <c r="M49" s="230">
        <v>390</v>
      </c>
      <c r="N49" s="230">
        <v>984</v>
      </c>
      <c r="O49" s="230">
        <v>346</v>
      </c>
      <c r="P49" s="230">
        <v>9</v>
      </c>
      <c r="Q49" s="230">
        <v>42</v>
      </c>
      <c r="R49" s="230">
        <v>25</v>
      </c>
      <c r="S49" s="230">
        <v>0</v>
      </c>
      <c r="T49" s="230">
        <v>31</v>
      </c>
      <c r="U49" s="391"/>
      <c r="V49" s="229">
        <f t="shared" ref="V49:V54" si="14">SUM(M49:U49)</f>
        <v>1827</v>
      </c>
      <c r="W49" s="204">
        <v>725</v>
      </c>
      <c r="X49" s="204"/>
      <c r="Y49" s="204"/>
      <c r="Z49" s="214">
        <f t="shared" si="13"/>
        <v>5005</v>
      </c>
      <c r="AA49" s="215">
        <f t="shared" ref="AA49:AA54" si="15">C49+D49+F49+K49+M49+N49+P49+U49</f>
        <v>3228</v>
      </c>
    </row>
    <row r="50" spans="1:28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2516</v>
      </c>
      <c r="F50" s="230">
        <v>0</v>
      </c>
      <c r="G50" s="230">
        <v>0</v>
      </c>
      <c r="H50" s="230">
        <v>317</v>
      </c>
      <c r="I50" s="230">
        <v>0</v>
      </c>
      <c r="J50" s="230">
        <v>8683</v>
      </c>
      <c r="K50" s="230">
        <v>0</v>
      </c>
      <c r="L50" s="232">
        <f t="shared" si="10"/>
        <v>11516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391"/>
      <c r="V50" s="229">
        <f t="shared" si="14"/>
        <v>0</v>
      </c>
      <c r="W50" s="204">
        <f>273+278</f>
        <v>551</v>
      </c>
      <c r="X50" s="204"/>
      <c r="Y50" s="204"/>
      <c r="Z50" s="214">
        <f t="shared" si="13"/>
        <v>12067</v>
      </c>
      <c r="AA50" s="215">
        <f t="shared" si="15"/>
        <v>0</v>
      </c>
    </row>
    <row r="51" spans="1:28" x14ac:dyDescent="0.25">
      <c r="A51" s="136" t="s">
        <v>147</v>
      </c>
      <c r="B51" s="137" t="s">
        <v>322</v>
      </c>
      <c r="C51" s="230">
        <v>12390</v>
      </c>
      <c r="D51" s="230">
        <v>2848</v>
      </c>
      <c r="E51" s="230">
        <v>3386</v>
      </c>
      <c r="F51" s="230">
        <v>98</v>
      </c>
      <c r="G51" s="230">
        <v>115</v>
      </c>
      <c r="H51" s="230">
        <v>20</v>
      </c>
      <c r="I51" s="230">
        <v>145</v>
      </c>
      <c r="J51" s="230">
        <v>2948</v>
      </c>
      <c r="K51" s="230">
        <v>0</v>
      </c>
      <c r="L51" s="232">
        <f t="shared" si="10"/>
        <v>21950</v>
      </c>
      <c r="M51" s="230">
        <v>1663</v>
      </c>
      <c r="N51" s="230">
        <v>2797</v>
      </c>
      <c r="O51" s="230">
        <v>1610</v>
      </c>
      <c r="P51" s="230">
        <v>43</v>
      </c>
      <c r="Q51" s="230">
        <v>110</v>
      </c>
      <c r="R51" s="230">
        <v>21</v>
      </c>
      <c r="S51" s="230">
        <v>0</v>
      </c>
      <c r="T51" s="230">
        <v>1</v>
      </c>
      <c r="U51" s="391"/>
      <c r="V51" s="229">
        <f t="shared" si="14"/>
        <v>6245</v>
      </c>
      <c r="W51" s="204">
        <v>2612</v>
      </c>
      <c r="X51" s="204"/>
      <c r="Y51" s="204"/>
      <c r="Z51" s="214">
        <f t="shared" si="13"/>
        <v>30807</v>
      </c>
      <c r="AA51" s="215">
        <f t="shared" si="15"/>
        <v>19839</v>
      </c>
    </row>
    <row r="52" spans="1:28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/>
      <c r="K52" s="128"/>
      <c r="L52" s="229">
        <f t="shared" si="10"/>
        <v>0</v>
      </c>
      <c r="M52" s="196"/>
      <c r="N52" s="147"/>
      <c r="O52" s="147"/>
      <c r="P52" s="147"/>
      <c r="Q52" s="147"/>
      <c r="R52" s="147"/>
      <c r="S52" s="147"/>
      <c r="T52" s="147"/>
      <c r="U52" s="196"/>
      <c r="V52" s="176">
        <f t="shared" si="14"/>
        <v>0</v>
      </c>
      <c r="W52" s="205"/>
      <c r="X52" s="204"/>
      <c r="Y52" s="204"/>
      <c r="Z52" s="214">
        <f t="shared" si="13"/>
        <v>0</v>
      </c>
      <c r="AA52" s="215">
        <f t="shared" si="15"/>
        <v>0</v>
      </c>
    </row>
    <row r="53" spans="1:28" x14ac:dyDescent="0.25">
      <c r="A53" s="136" t="s">
        <v>174</v>
      </c>
      <c r="B53" s="137" t="s">
        <v>344</v>
      </c>
      <c r="C53" s="230">
        <v>6512</v>
      </c>
      <c r="D53" s="230">
        <v>2760</v>
      </c>
      <c r="E53" s="230">
        <v>2204</v>
      </c>
      <c r="F53" s="230">
        <v>97</v>
      </c>
      <c r="G53" s="230">
        <v>108</v>
      </c>
      <c r="H53" s="230">
        <v>20</v>
      </c>
      <c r="I53" s="230">
        <v>23</v>
      </c>
      <c r="J53" s="230">
        <v>649</v>
      </c>
      <c r="K53" s="230">
        <v>0</v>
      </c>
      <c r="L53" s="232">
        <f t="shared" si="10"/>
        <v>12373</v>
      </c>
      <c r="M53" s="230">
        <v>1138</v>
      </c>
      <c r="N53" s="230">
        <v>1305</v>
      </c>
      <c r="O53" s="230">
        <v>1053</v>
      </c>
      <c r="P53" s="230">
        <v>24</v>
      </c>
      <c r="Q53" s="230">
        <v>48</v>
      </c>
      <c r="R53" s="230">
        <v>0</v>
      </c>
      <c r="S53" s="230">
        <v>0</v>
      </c>
      <c r="T53" s="230">
        <v>73</v>
      </c>
      <c r="U53" s="391"/>
      <c r="V53" s="229">
        <f t="shared" si="14"/>
        <v>3641</v>
      </c>
      <c r="W53" s="204">
        <v>1583</v>
      </c>
      <c r="X53" s="204"/>
      <c r="Y53" s="204"/>
      <c r="Z53" s="214">
        <f t="shared" si="13"/>
        <v>17597</v>
      </c>
      <c r="AA53" s="215">
        <f t="shared" si="15"/>
        <v>11836</v>
      </c>
    </row>
    <row r="54" spans="1:28" ht="13.8" thickBot="1" x14ac:dyDescent="0.3">
      <c r="A54" s="136" t="s">
        <v>186</v>
      </c>
      <c r="B54" s="137" t="s">
        <v>345</v>
      </c>
      <c r="C54" s="265">
        <v>1374</v>
      </c>
      <c r="D54" s="265">
        <v>673</v>
      </c>
      <c r="E54" s="265">
        <v>623</v>
      </c>
      <c r="F54" s="265">
        <v>34</v>
      </c>
      <c r="G54" s="265">
        <v>40</v>
      </c>
      <c r="H54" s="265">
        <v>13</v>
      </c>
      <c r="I54" s="265">
        <v>44</v>
      </c>
      <c r="J54" s="265">
        <v>160</v>
      </c>
      <c r="K54" s="265">
        <v>0</v>
      </c>
      <c r="L54" s="239">
        <f t="shared" si="10"/>
        <v>2961</v>
      </c>
      <c r="M54" s="265">
        <v>1029</v>
      </c>
      <c r="N54" s="265">
        <v>2456</v>
      </c>
      <c r="O54" s="265">
        <v>1414</v>
      </c>
      <c r="P54" s="265">
        <v>85</v>
      </c>
      <c r="Q54" s="265">
        <v>56</v>
      </c>
      <c r="R54" s="265">
        <v>0</v>
      </c>
      <c r="S54" s="265">
        <v>0</v>
      </c>
      <c r="T54" s="265">
        <v>103</v>
      </c>
      <c r="U54" s="531"/>
      <c r="V54" s="231">
        <f t="shared" si="14"/>
        <v>5143</v>
      </c>
      <c r="W54" s="209">
        <v>817</v>
      </c>
      <c r="X54" s="209"/>
      <c r="Y54" s="209"/>
      <c r="Z54" s="214">
        <f t="shared" si="13"/>
        <v>8921</v>
      </c>
      <c r="AA54" s="217">
        <f t="shared" si="15"/>
        <v>5651</v>
      </c>
    </row>
    <row r="55" spans="1:28" s="109" customFormat="1" ht="14.4" thickBot="1" x14ac:dyDescent="0.3">
      <c r="A55" s="134"/>
      <c r="B55" s="159" t="s">
        <v>459</v>
      </c>
      <c r="C55" s="258">
        <f t="shared" ref="C55:AA55" si="16">SUM(C38:C54)</f>
        <v>74153</v>
      </c>
      <c r="D55" s="157">
        <f t="shared" si="16"/>
        <v>34974</v>
      </c>
      <c r="E55" s="157">
        <f t="shared" si="16"/>
        <v>33359</v>
      </c>
      <c r="F55" s="157">
        <f t="shared" si="16"/>
        <v>923</v>
      </c>
      <c r="G55" s="157">
        <f t="shared" si="16"/>
        <v>1878</v>
      </c>
      <c r="H55" s="157">
        <f t="shared" si="16"/>
        <v>572</v>
      </c>
      <c r="I55" s="157">
        <f t="shared" si="16"/>
        <v>863</v>
      </c>
      <c r="J55" s="157">
        <f t="shared" si="16"/>
        <v>15609</v>
      </c>
      <c r="K55" s="259">
        <f t="shared" si="16"/>
        <v>162</v>
      </c>
      <c r="L55" s="260">
        <f t="shared" si="16"/>
        <v>162493</v>
      </c>
      <c r="M55" s="262">
        <f t="shared" si="16"/>
        <v>24515</v>
      </c>
      <c r="N55" s="158">
        <f t="shared" si="16"/>
        <v>51704</v>
      </c>
      <c r="O55" s="158">
        <f t="shared" si="16"/>
        <v>28211</v>
      </c>
      <c r="P55" s="158">
        <f t="shared" si="16"/>
        <v>685</v>
      </c>
      <c r="Q55" s="158">
        <f t="shared" si="16"/>
        <v>1106</v>
      </c>
      <c r="R55" s="158">
        <f t="shared" si="16"/>
        <v>632</v>
      </c>
      <c r="S55" s="158">
        <f t="shared" si="16"/>
        <v>85</v>
      </c>
      <c r="T55" s="158">
        <f t="shared" si="16"/>
        <v>435</v>
      </c>
      <c r="U55" s="264">
        <f t="shared" si="16"/>
        <v>7</v>
      </c>
      <c r="V55" s="180">
        <f t="shared" si="16"/>
        <v>107380</v>
      </c>
      <c r="W55" s="210">
        <f t="shared" si="16"/>
        <v>18531</v>
      </c>
      <c r="X55" s="210">
        <f t="shared" si="16"/>
        <v>73</v>
      </c>
      <c r="Y55" s="210">
        <f t="shared" si="16"/>
        <v>14</v>
      </c>
      <c r="Z55" s="210">
        <f t="shared" si="16"/>
        <v>288491</v>
      </c>
      <c r="AA55" s="210">
        <f t="shared" si="16"/>
        <v>187123</v>
      </c>
    </row>
    <row r="56" spans="1:28" x14ac:dyDescent="0.25">
      <c r="A56" s="136" t="s">
        <v>71</v>
      </c>
      <c r="B56" s="137" t="s">
        <v>305</v>
      </c>
      <c r="C56" s="280">
        <v>2</v>
      </c>
      <c r="D56" s="280">
        <v>0</v>
      </c>
      <c r="E56" s="280">
        <v>3</v>
      </c>
      <c r="F56" s="280">
        <v>0</v>
      </c>
      <c r="G56" s="280">
        <v>0</v>
      </c>
      <c r="H56" s="280">
        <v>0</v>
      </c>
      <c r="I56" s="280">
        <v>0</v>
      </c>
      <c r="J56" s="280">
        <v>3177</v>
      </c>
      <c r="K56" s="280">
        <v>0</v>
      </c>
      <c r="L56" s="232">
        <f t="shared" ref="L56:L71" si="17">SUM(C56:K56)</f>
        <v>3182</v>
      </c>
      <c r="M56" s="280">
        <v>0</v>
      </c>
      <c r="N56" s="280">
        <v>0</v>
      </c>
      <c r="O56" s="280">
        <v>0</v>
      </c>
      <c r="P56" s="280">
        <v>0</v>
      </c>
      <c r="Q56" s="280">
        <v>0</v>
      </c>
      <c r="R56" s="280">
        <v>0</v>
      </c>
      <c r="S56" s="280">
        <v>0</v>
      </c>
      <c r="T56" s="280">
        <v>0</v>
      </c>
      <c r="U56" s="280">
        <v>0</v>
      </c>
      <c r="V56" s="229">
        <f t="shared" ref="V56:V65" si="18">SUM(M56:U56)</f>
        <v>0</v>
      </c>
      <c r="W56" s="211">
        <f>14461+11667+5888</f>
        <v>32016</v>
      </c>
      <c r="X56" s="211"/>
      <c r="Y56" s="211"/>
      <c r="Z56" s="214">
        <f t="shared" si="6"/>
        <v>35198</v>
      </c>
      <c r="AA56" s="215">
        <f t="shared" ref="AA56:AA65" si="19">C56+D56+F56+K56+M56+N56+P56+U56</f>
        <v>2</v>
      </c>
      <c r="AB56" s="142">
        <f>L56</f>
        <v>3182</v>
      </c>
    </row>
    <row r="57" spans="1:28" x14ac:dyDescent="0.25">
      <c r="A57" s="136" t="s">
        <v>77</v>
      </c>
      <c r="B57" s="137" t="s">
        <v>306</v>
      </c>
      <c r="C57" s="230">
        <v>5221</v>
      </c>
      <c r="D57" s="230">
        <v>2357</v>
      </c>
      <c r="E57" s="230">
        <v>2381</v>
      </c>
      <c r="F57" s="230">
        <v>266</v>
      </c>
      <c r="G57" s="230">
        <v>92</v>
      </c>
      <c r="H57" s="230">
        <v>14</v>
      </c>
      <c r="I57" s="230">
        <v>35</v>
      </c>
      <c r="J57" s="230">
        <v>205</v>
      </c>
      <c r="K57" s="230">
        <v>2</v>
      </c>
      <c r="L57" s="232">
        <f t="shared" si="17"/>
        <v>10573</v>
      </c>
      <c r="M57" s="230">
        <v>707</v>
      </c>
      <c r="N57" s="230">
        <v>1671</v>
      </c>
      <c r="O57" s="230">
        <v>862</v>
      </c>
      <c r="P57" s="230">
        <v>30</v>
      </c>
      <c r="Q57" s="230">
        <v>86</v>
      </c>
      <c r="R57" s="230">
        <v>147</v>
      </c>
      <c r="S57" s="230">
        <v>0</v>
      </c>
      <c r="T57" s="230">
        <v>85</v>
      </c>
      <c r="U57" s="230">
        <v>0</v>
      </c>
      <c r="V57" s="229">
        <f t="shared" si="18"/>
        <v>3588</v>
      </c>
      <c r="W57" s="204">
        <v>1396</v>
      </c>
      <c r="X57" s="204"/>
      <c r="Y57" s="204"/>
      <c r="Z57" s="214">
        <f t="shared" si="6"/>
        <v>15557</v>
      </c>
      <c r="AA57" s="215">
        <f t="shared" si="19"/>
        <v>10254</v>
      </c>
    </row>
    <row r="58" spans="1:28" x14ac:dyDescent="0.25">
      <c r="A58" s="136" t="s">
        <v>102</v>
      </c>
      <c r="B58" s="137" t="s">
        <v>315</v>
      </c>
      <c r="C58" s="230">
        <v>0</v>
      </c>
      <c r="D58" s="230">
        <v>0</v>
      </c>
      <c r="E58" s="230">
        <v>18</v>
      </c>
      <c r="F58" s="230">
        <v>0</v>
      </c>
      <c r="G58" s="230">
        <v>0</v>
      </c>
      <c r="H58" s="230">
        <v>0</v>
      </c>
      <c r="I58" s="230">
        <v>0</v>
      </c>
      <c r="J58" s="230">
        <v>61</v>
      </c>
      <c r="K58" s="230">
        <v>0</v>
      </c>
      <c r="L58" s="232">
        <f t="shared" si="17"/>
        <v>79</v>
      </c>
      <c r="M58" s="230">
        <v>0</v>
      </c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230">
        <v>0</v>
      </c>
      <c r="V58" s="229">
        <f>SUM(M58:U58)</f>
        <v>0</v>
      </c>
      <c r="W58" s="205"/>
      <c r="X58" s="204"/>
      <c r="Y58" s="204"/>
      <c r="Z58" s="214">
        <f t="shared" si="6"/>
        <v>79</v>
      </c>
      <c r="AA58" s="215">
        <f>C58+D58+F58+K58+M58+N58+P58+U58</f>
        <v>0</v>
      </c>
    </row>
    <row r="59" spans="1:28" x14ac:dyDescent="0.25">
      <c r="A59" s="136" t="s">
        <v>103</v>
      </c>
      <c r="B59" s="137" t="s">
        <v>297</v>
      </c>
      <c r="C59" s="230">
        <v>773</v>
      </c>
      <c r="D59" s="230">
        <v>150</v>
      </c>
      <c r="E59" s="230">
        <v>338</v>
      </c>
      <c r="F59" s="230">
        <v>6</v>
      </c>
      <c r="G59" s="230">
        <v>6</v>
      </c>
      <c r="H59" s="230">
        <v>0</v>
      </c>
      <c r="I59" s="230">
        <v>0</v>
      </c>
      <c r="J59" s="230">
        <v>17</v>
      </c>
      <c r="K59" s="230">
        <v>0</v>
      </c>
      <c r="L59" s="232">
        <f t="shared" si="17"/>
        <v>1290</v>
      </c>
      <c r="M59" s="230">
        <v>117</v>
      </c>
      <c r="N59" s="230">
        <v>72</v>
      </c>
      <c r="O59" s="230">
        <v>87</v>
      </c>
      <c r="P59" s="230">
        <v>3</v>
      </c>
      <c r="Q59" s="230">
        <v>0</v>
      </c>
      <c r="R59" s="230">
        <v>0</v>
      </c>
      <c r="S59" s="230">
        <v>0</v>
      </c>
      <c r="T59" s="230">
        <v>0</v>
      </c>
      <c r="U59" s="230">
        <v>0</v>
      </c>
      <c r="V59" s="229">
        <f>SUM(M59:U59)</f>
        <v>279</v>
      </c>
      <c r="W59" s="204">
        <v>1054</v>
      </c>
      <c r="X59" s="204"/>
      <c r="Y59" s="204"/>
      <c r="Z59" s="214">
        <f t="shared" si="6"/>
        <v>2623</v>
      </c>
      <c r="AA59" s="215">
        <f>C59+D59+F59+K59+M59+N59+P59+U59</f>
        <v>1121</v>
      </c>
    </row>
    <row r="60" spans="1:28" x14ac:dyDescent="0.25">
      <c r="A60" s="136" t="s">
        <v>112</v>
      </c>
      <c r="B60" s="137" t="s">
        <v>307</v>
      </c>
      <c r="C60" s="230">
        <v>8978</v>
      </c>
      <c r="D60" s="230">
        <v>3671</v>
      </c>
      <c r="E60" s="230">
        <v>4897</v>
      </c>
      <c r="F60" s="230">
        <v>65</v>
      </c>
      <c r="G60" s="230">
        <v>175</v>
      </c>
      <c r="H60" s="230">
        <v>0</v>
      </c>
      <c r="I60" s="230">
        <v>541</v>
      </c>
      <c r="J60" s="230">
        <v>602</v>
      </c>
      <c r="K60" s="230">
        <v>0</v>
      </c>
      <c r="L60" s="232">
        <f t="shared" si="17"/>
        <v>18929</v>
      </c>
      <c r="M60" s="230">
        <v>1326</v>
      </c>
      <c r="N60" s="230">
        <v>3034</v>
      </c>
      <c r="O60" s="230">
        <v>1560</v>
      </c>
      <c r="P60" s="230">
        <v>51</v>
      </c>
      <c r="Q60" s="230">
        <v>110</v>
      </c>
      <c r="R60" s="230">
        <v>4</v>
      </c>
      <c r="S60" s="230">
        <v>0</v>
      </c>
      <c r="T60" s="230">
        <v>128</v>
      </c>
      <c r="U60" s="230">
        <v>0</v>
      </c>
      <c r="V60" s="229">
        <f t="shared" si="18"/>
        <v>6213</v>
      </c>
      <c r="W60" s="204">
        <v>0</v>
      </c>
      <c r="X60" s="204"/>
      <c r="Y60" s="204"/>
      <c r="Z60" s="214">
        <f t="shared" si="6"/>
        <v>25142</v>
      </c>
      <c r="AA60" s="215">
        <f t="shared" si="19"/>
        <v>17125</v>
      </c>
    </row>
    <row r="61" spans="1:28" x14ac:dyDescent="0.25">
      <c r="A61" s="136" t="s">
        <v>120</v>
      </c>
      <c r="B61" s="137" t="s">
        <v>318</v>
      </c>
      <c r="C61" s="230">
        <v>9370</v>
      </c>
      <c r="D61" s="230">
        <v>1990</v>
      </c>
      <c r="E61" s="230">
        <v>3646</v>
      </c>
      <c r="F61" s="230">
        <v>81</v>
      </c>
      <c r="G61" s="230">
        <v>116</v>
      </c>
      <c r="H61" s="230">
        <v>0</v>
      </c>
      <c r="I61" s="230">
        <v>39</v>
      </c>
      <c r="J61" s="230">
        <v>600</v>
      </c>
      <c r="K61" s="230">
        <v>428</v>
      </c>
      <c r="L61" s="232">
        <f t="shared" si="17"/>
        <v>16270</v>
      </c>
      <c r="M61" s="230">
        <v>2324</v>
      </c>
      <c r="N61" s="230">
        <v>2392</v>
      </c>
      <c r="O61" s="230">
        <v>1847</v>
      </c>
      <c r="P61" s="230">
        <v>71</v>
      </c>
      <c r="Q61" s="230">
        <v>74</v>
      </c>
      <c r="R61" s="230">
        <v>0</v>
      </c>
      <c r="S61" s="230">
        <v>0</v>
      </c>
      <c r="T61" s="230">
        <v>103</v>
      </c>
      <c r="U61" s="230">
        <v>6</v>
      </c>
      <c r="V61" s="229">
        <f>SUM(M61:U61)</f>
        <v>6817</v>
      </c>
      <c r="W61" s="204">
        <v>1158</v>
      </c>
      <c r="X61" s="204"/>
      <c r="Y61" s="204"/>
      <c r="Z61" s="214">
        <f t="shared" si="6"/>
        <v>24245</v>
      </c>
      <c r="AA61" s="215">
        <f>C61+D61+F61+K61+M61+N61+P61+U61</f>
        <v>16662</v>
      </c>
    </row>
    <row r="62" spans="1:28" x14ac:dyDescent="0.25">
      <c r="A62" s="136" t="s">
        <v>131</v>
      </c>
      <c r="B62" s="137" t="s">
        <v>308</v>
      </c>
      <c r="C62" s="230">
        <v>3670</v>
      </c>
      <c r="D62" s="230">
        <v>1487</v>
      </c>
      <c r="E62" s="230">
        <v>1817</v>
      </c>
      <c r="F62" s="230">
        <v>89</v>
      </c>
      <c r="G62" s="230">
        <v>96</v>
      </c>
      <c r="H62" s="230">
        <v>0</v>
      </c>
      <c r="I62" s="230">
        <v>10</v>
      </c>
      <c r="J62" s="230">
        <v>551</v>
      </c>
      <c r="K62" s="230">
        <v>0</v>
      </c>
      <c r="L62" s="232">
        <f t="shared" si="17"/>
        <v>7720</v>
      </c>
      <c r="M62" s="230">
        <v>1896</v>
      </c>
      <c r="N62" s="230">
        <v>3315</v>
      </c>
      <c r="O62" s="230">
        <v>1656</v>
      </c>
      <c r="P62" s="230">
        <v>99</v>
      </c>
      <c r="Q62" s="230">
        <v>117</v>
      </c>
      <c r="R62" s="230">
        <v>0</v>
      </c>
      <c r="S62" s="230">
        <v>0</v>
      </c>
      <c r="T62" s="230">
        <v>12</v>
      </c>
      <c r="U62" s="230">
        <v>0</v>
      </c>
      <c r="V62" s="229">
        <f t="shared" si="18"/>
        <v>7095</v>
      </c>
      <c r="W62" s="204">
        <v>1887</v>
      </c>
      <c r="X62" s="204"/>
      <c r="Y62" s="204"/>
      <c r="Z62" s="214">
        <f t="shared" si="6"/>
        <v>16702</v>
      </c>
      <c r="AA62" s="215">
        <f t="shared" si="19"/>
        <v>10556</v>
      </c>
    </row>
    <row r="63" spans="1:28" x14ac:dyDescent="0.25">
      <c r="A63" s="136" t="s">
        <v>133</v>
      </c>
      <c r="B63" s="137" t="s">
        <v>319</v>
      </c>
      <c r="C63" s="230">
        <v>1424</v>
      </c>
      <c r="D63" s="230">
        <v>1169</v>
      </c>
      <c r="E63" s="230">
        <v>705</v>
      </c>
      <c r="F63" s="230">
        <v>52</v>
      </c>
      <c r="G63" s="230">
        <v>59</v>
      </c>
      <c r="H63" s="230">
        <v>0</v>
      </c>
      <c r="I63" s="230">
        <v>0</v>
      </c>
      <c r="J63" s="230">
        <v>135</v>
      </c>
      <c r="K63" s="230">
        <v>0</v>
      </c>
      <c r="L63" s="232">
        <f t="shared" si="17"/>
        <v>3544</v>
      </c>
      <c r="M63" s="230">
        <v>531</v>
      </c>
      <c r="N63" s="230">
        <v>671</v>
      </c>
      <c r="O63" s="230">
        <v>451</v>
      </c>
      <c r="P63" s="230">
        <v>28</v>
      </c>
      <c r="Q63" s="230">
        <v>25</v>
      </c>
      <c r="R63" s="230">
        <v>0</v>
      </c>
      <c r="S63" s="230">
        <v>0</v>
      </c>
      <c r="T63" s="230">
        <v>0</v>
      </c>
      <c r="U63" s="230">
        <v>0</v>
      </c>
      <c r="V63" s="229">
        <f>SUM(M63:U63)</f>
        <v>1706</v>
      </c>
      <c r="W63" s="204">
        <v>929</v>
      </c>
      <c r="X63" s="204"/>
      <c r="Y63" s="204"/>
      <c r="Z63" s="214">
        <f t="shared" si="6"/>
        <v>6179</v>
      </c>
      <c r="AA63" s="215">
        <f>C63+D63+F63+K63+M63+N63+P63+U63</f>
        <v>3875</v>
      </c>
    </row>
    <row r="64" spans="1:28" x14ac:dyDescent="0.25">
      <c r="A64" s="136" t="s">
        <v>134</v>
      </c>
      <c r="B64" s="137" t="s">
        <v>320</v>
      </c>
      <c r="C64" s="230">
        <v>516</v>
      </c>
      <c r="D64" s="230">
        <v>193</v>
      </c>
      <c r="E64" s="230">
        <v>160</v>
      </c>
      <c r="F64" s="230">
        <v>24</v>
      </c>
      <c r="G64" s="230">
        <v>12</v>
      </c>
      <c r="H64" s="230">
        <v>0</v>
      </c>
      <c r="I64" s="230">
        <v>0</v>
      </c>
      <c r="J64" s="230">
        <v>31</v>
      </c>
      <c r="K64" s="230">
        <v>0</v>
      </c>
      <c r="L64" s="232">
        <f t="shared" si="17"/>
        <v>936</v>
      </c>
      <c r="M64" s="230">
        <v>144</v>
      </c>
      <c r="N64" s="230">
        <v>132</v>
      </c>
      <c r="O64" s="230">
        <v>96</v>
      </c>
      <c r="P64" s="230">
        <v>4</v>
      </c>
      <c r="Q64" s="230">
        <v>9</v>
      </c>
      <c r="R64" s="230">
        <v>0</v>
      </c>
      <c r="S64" s="230">
        <v>0</v>
      </c>
      <c r="T64" s="230">
        <v>0</v>
      </c>
      <c r="U64" s="230">
        <v>0</v>
      </c>
      <c r="V64" s="229">
        <f>SUM(M64:U64)</f>
        <v>385</v>
      </c>
      <c r="W64" s="204">
        <v>555</v>
      </c>
      <c r="X64" s="204"/>
      <c r="Y64" s="204"/>
      <c r="Z64" s="214">
        <f t="shared" si="6"/>
        <v>1876</v>
      </c>
      <c r="AA64" s="215">
        <f>C64+D64+F64+K64+M64+N64+P64+U64</f>
        <v>1013</v>
      </c>
    </row>
    <row r="65" spans="1:28" x14ac:dyDescent="0.25">
      <c r="A65" s="136" t="s">
        <v>145</v>
      </c>
      <c r="B65" s="137" t="s">
        <v>309</v>
      </c>
      <c r="C65" s="230">
        <v>1411</v>
      </c>
      <c r="D65" s="230">
        <v>415</v>
      </c>
      <c r="E65" s="230">
        <v>501</v>
      </c>
      <c r="F65" s="230">
        <v>83</v>
      </c>
      <c r="G65" s="230">
        <v>37</v>
      </c>
      <c r="H65" s="230">
        <v>0</v>
      </c>
      <c r="I65" s="230">
        <v>0</v>
      </c>
      <c r="J65" s="230">
        <v>220</v>
      </c>
      <c r="K65" s="230">
        <v>0</v>
      </c>
      <c r="L65" s="232">
        <f t="shared" si="17"/>
        <v>2667</v>
      </c>
      <c r="M65" s="230">
        <v>816</v>
      </c>
      <c r="N65" s="230">
        <v>872</v>
      </c>
      <c r="O65" s="230">
        <v>571</v>
      </c>
      <c r="P65" s="230">
        <v>19</v>
      </c>
      <c r="Q65" s="230">
        <v>26</v>
      </c>
      <c r="R65" s="230">
        <v>0</v>
      </c>
      <c r="S65" s="230">
        <v>0</v>
      </c>
      <c r="T65" s="230">
        <v>70</v>
      </c>
      <c r="U65" s="230">
        <v>0</v>
      </c>
      <c r="V65" s="229">
        <f t="shared" si="18"/>
        <v>2374</v>
      </c>
      <c r="W65" s="204">
        <f>117+151</f>
        <v>268</v>
      </c>
      <c r="X65" s="204"/>
      <c r="Y65" s="204"/>
      <c r="Z65" s="214">
        <f t="shared" si="6"/>
        <v>5309</v>
      </c>
      <c r="AA65" s="215">
        <f t="shared" si="19"/>
        <v>3616</v>
      </c>
    </row>
    <row r="66" spans="1:28" x14ac:dyDescent="0.25">
      <c r="A66" s="136" t="s">
        <v>149</v>
      </c>
      <c r="B66" s="137" t="s">
        <v>353</v>
      </c>
      <c r="C66" s="230">
        <v>152</v>
      </c>
      <c r="D66" s="230">
        <v>81</v>
      </c>
      <c r="E66" s="230">
        <v>71</v>
      </c>
      <c r="F66" s="230">
        <v>7</v>
      </c>
      <c r="G66" s="230">
        <v>5</v>
      </c>
      <c r="H66" s="230">
        <v>25</v>
      </c>
      <c r="I66" s="230">
        <v>6</v>
      </c>
      <c r="J66" s="230">
        <v>34</v>
      </c>
      <c r="K66" s="230">
        <v>0</v>
      </c>
      <c r="L66" s="232">
        <f t="shared" si="17"/>
        <v>381</v>
      </c>
      <c r="M66" s="230">
        <v>74</v>
      </c>
      <c r="N66" s="230">
        <v>138</v>
      </c>
      <c r="O66" s="230">
        <v>38</v>
      </c>
      <c r="P66" s="230">
        <v>0</v>
      </c>
      <c r="Q66" s="230">
        <v>5</v>
      </c>
      <c r="R66" s="230">
        <v>0</v>
      </c>
      <c r="S66" s="230">
        <v>0</v>
      </c>
      <c r="T66" s="230">
        <v>0</v>
      </c>
      <c r="U66" s="230">
        <v>0</v>
      </c>
      <c r="V66" s="229">
        <f t="shared" ref="V66:V71" si="20">SUM(M66:U66)</f>
        <v>255</v>
      </c>
      <c r="W66" s="204">
        <v>271</v>
      </c>
      <c r="X66" s="204"/>
      <c r="Y66" s="204"/>
      <c r="Z66" s="214">
        <f t="shared" si="6"/>
        <v>907</v>
      </c>
      <c r="AA66" s="215">
        <f t="shared" ref="AA66:AA71" si="21">C66+D66+F66+K66+M66+N66+P66+U66</f>
        <v>452</v>
      </c>
    </row>
    <row r="67" spans="1:28" x14ac:dyDescent="0.25">
      <c r="A67" s="136" t="s">
        <v>182</v>
      </c>
      <c r="B67" s="137" t="s">
        <v>357</v>
      </c>
      <c r="C67" s="230">
        <v>4018</v>
      </c>
      <c r="D67" s="230">
        <v>502</v>
      </c>
      <c r="E67" s="230">
        <v>1983</v>
      </c>
      <c r="F67" s="230">
        <v>56</v>
      </c>
      <c r="G67" s="230">
        <v>35</v>
      </c>
      <c r="H67" s="230">
        <v>0</v>
      </c>
      <c r="I67" s="230">
        <v>0</v>
      </c>
      <c r="J67" s="230">
        <v>95</v>
      </c>
      <c r="K67" s="230">
        <v>0</v>
      </c>
      <c r="L67" s="232">
        <f t="shared" si="17"/>
        <v>6689</v>
      </c>
      <c r="M67" s="230">
        <v>586</v>
      </c>
      <c r="N67" s="230">
        <v>589</v>
      </c>
      <c r="O67" s="230">
        <v>472</v>
      </c>
      <c r="P67" s="230">
        <v>12</v>
      </c>
      <c r="Q67" s="230">
        <v>26</v>
      </c>
      <c r="R67" s="230">
        <v>87</v>
      </c>
      <c r="S67" s="230">
        <v>0</v>
      </c>
      <c r="T67" s="230">
        <v>19</v>
      </c>
      <c r="U67" s="230">
        <v>0</v>
      </c>
      <c r="V67" s="229">
        <f t="shared" si="20"/>
        <v>1791</v>
      </c>
      <c r="W67" s="204">
        <v>1510</v>
      </c>
      <c r="X67" s="204"/>
      <c r="Y67" s="204"/>
      <c r="Z67" s="214">
        <f t="shared" si="6"/>
        <v>9990</v>
      </c>
      <c r="AA67" s="215">
        <f t="shared" si="21"/>
        <v>5763</v>
      </c>
      <c r="AB67" s="142">
        <f>L67+V67</f>
        <v>8480</v>
      </c>
    </row>
    <row r="68" spans="1:28" x14ac:dyDescent="0.25">
      <c r="A68" s="136" t="s">
        <v>185</v>
      </c>
      <c r="B68" s="137" t="s">
        <v>310</v>
      </c>
      <c r="C68" s="391"/>
      <c r="D68" s="391"/>
      <c r="E68" s="391"/>
      <c r="F68" s="391"/>
      <c r="G68" s="391"/>
      <c r="H68" s="391"/>
      <c r="I68" s="391"/>
      <c r="J68" s="391"/>
      <c r="K68" s="391"/>
      <c r="L68" s="232">
        <f t="shared" si="17"/>
        <v>0</v>
      </c>
      <c r="M68" s="391"/>
      <c r="N68" s="391"/>
      <c r="O68" s="391"/>
      <c r="P68" s="391"/>
      <c r="Q68" s="391"/>
      <c r="R68" s="391"/>
      <c r="S68" s="391"/>
      <c r="T68" s="391"/>
      <c r="U68" s="391"/>
      <c r="V68" s="229">
        <f t="shared" si="20"/>
        <v>0</v>
      </c>
      <c r="W68" s="204">
        <v>1442</v>
      </c>
      <c r="X68" s="204"/>
      <c r="Y68" s="204"/>
      <c r="Z68" s="214">
        <f t="shared" si="6"/>
        <v>1442</v>
      </c>
      <c r="AA68" s="215">
        <f t="shared" si="21"/>
        <v>0</v>
      </c>
    </row>
    <row r="69" spans="1:28" x14ac:dyDescent="0.25">
      <c r="A69" s="136" t="s">
        <v>188</v>
      </c>
      <c r="B69" s="137" t="s">
        <v>311</v>
      </c>
      <c r="C69" s="230">
        <v>356</v>
      </c>
      <c r="D69" s="230">
        <v>395</v>
      </c>
      <c r="E69" s="230">
        <v>171</v>
      </c>
      <c r="F69" s="230">
        <v>20</v>
      </c>
      <c r="G69" s="230">
        <v>19</v>
      </c>
      <c r="H69" s="230">
        <v>0</v>
      </c>
      <c r="I69" s="230">
        <v>0</v>
      </c>
      <c r="J69" s="230">
        <v>196</v>
      </c>
      <c r="K69" s="230">
        <v>0</v>
      </c>
      <c r="L69" s="232">
        <f t="shared" si="17"/>
        <v>1157</v>
      </c>
      <c r="M69" s="230">
        <v>294</v>
      </c>
      <c r="N69" s="230">
        <v>671</v>
      </c>
      <c r="O69" s="230">
        <v>215</v>
      </c>
      <c r="P69" s="230">
        <v>44</v>
      </c>
      <c r="Q69" s="230">
        <v>34</v>
      </c>
      <c r="R69" s="230">
        <v>0</v>
      </c>
      <c r="S69" s="230">
        <v>0</v>
      </c>
      <c r="T69" s="230">
        <v>4</v>
      </c>
      <c r="U69" s="230">
        <v>0</v>
      </c>
      <c r="V69" s="229">
        <f t="shared" si="20"/>
        <v>1262</v>
      </c>
      <c r="W69" s="209">
        <v>437</v>
      </c>
      <c r="X69" s="209"/>
      <c r="Y69" s="209"/>
      <c r="Z69" s="214">
        <f t="shared" si="6"/>
        <v>2856</v>
      </c>
      <c r="AA69" s="215">
        <f t="shared" si="21"/>
        <v>1780</v>
      </c>
    </row>
    <row r="70" spans="1:28" x14ac:dyDescent="0.25">
      <c r="A70" s="136" t="s">
        <v>192</v>
      </c>
      <c r="B70" s="137" t="s">
        <v>312</v>
      </c>
      <c r="C70" s="230">
        <v>4</v>
      </c>
      <c r="D70" s="230">
        <v>18</v>
      </c>
      <c r="E70" s="230">
        <v>0</v>
      </c>
      <c r="F70" s="230">
        <v>0</v>
      </c>
      <c r="G70" s="230">
        <v>1</v>
      </c>
      <c r="H70" s="230">
        <v>0</v>
      </c>
      <c r="I70" s="230">
        <v>0</v>
      </c>
      <c r="J70" s="230">
        <v>5</v>
      </c>
      <c r="K70" s="230">
        <v>0</v>
      </c>
      <c r="L70" s="232">
        <f t="shared" si="17"/>
        <v>28</v>
      </c>
      <c r="M70" s="230">
        <v>110</v>
      </c>
      <c r="N70" s="230">
        <v>139</v>
      </c>
      <c r="O70" s="230">
        <v>81</v>
      </c>
      <c r="P70" s="230">
        <v>0</v>
      </c>
      <c r="Q70" s="230">
        <v>2</v>
      </c>
      <c r="R70" s="230">
        <v>0</v>
      </c>
      <c r="S70" s="230">
        <v>0</v>
      </c>
      <c r="T70" s="230">
        <v>2</v>
      </c>
      <c r="U70" s="230">
        <v>0</v>
      </c>
      <c r="V70" s="229">
        <f t="shared" si="20"/>
        <v>334</v>
      </c>
      <c r="W70" s="209">
        <v>303</v>
      </c>
      <c r="X70" s="209"/>
      <c r="Y70" s="209"/>
      <c r="Z70" s="214">
        <f t="shared" si="6"/>
        <v>665</v>
      </c>
      <c r="AA70" s="217">
        <f t="shared" si="21"/>
        <v>271</v>
      </c>
    </row>
    <row r="71" spans="1:28" ht="13.8" thickBot="1" x14ac:dyDescent="0.3">
      <c r="A71" s="136" t="s">
        <v>193</v>
      </c>
      <c r="B71" s="137" t="s">
        <v>325</v>
      </c>
      <c r="C71" s="265">
        <v>0</v>
      </c>
      <c r="D71" s="265">
        <v>0</v>
      </c>
      <c r="E71" s="265">
        <v>0</v>
      </c>
      <c r="F71" s="265">
        <v>0</v>
      </c>
      <c r="G71" s="265">
        <v>0</v>
      </c>
      <c r="H71" s="265">
        <v>0</v>
      </c>
      <c r="I71" s="265">
        <v>35</v>
      </c>
      <c r="J71" s="265">
        <v>46</v>
      </c>
      <c r="K71" s="265">
        <v>0</v>
      </c>
      <c r="L71" s="239">
        <f t="shared" si="17"/>
        <v>81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231">
        <f t="shared" si="20"/>
        <v>0</v>
      </c>
      <c r="W71" s="209">
        <v>6033</v>
      </c>
      <c r="X71" s="209"/>
      <c r="Y71" s="209"/>
      <c r="Z71" s="214">
        <f t="shared" si="6"/>
        <v>6114</v>
      </c>
      <c r="AA71" s="217">
        <f t="shared" si="21"/>
        <v>0</v>
      </c>
      <c r="AB71" s="142">
        <f>L71+V71</f>
        <v>81</v>
      </c>
    </row>
    <row r="72" spans="1:28" s="109" customFormat="1" ht="14.4" thickBot="1" x14ac:dyDescent="0.3">
      <c r="A72" s="134"/>
      <c r="B72" s="159" t="s">
        <v>460</v>
      </c>
      <c r="C72" s="258">
        <f t="shared" ref="C72:AA72" si="22">SUM(C56:C71)</f>
        <v>35895</v>
      </c>
      <c r="D72" s="157">
        <f t="shared" si="22"/>
        <v>12428</v>
      </c>
      <c r="E72" s="157">
        <f t="shared" si="22"/>
        <v>16691</v>
      </c>
      <c r="F72" s="157">
        <f t="shared" si="22"/>
        <v>749</v>
      </c>
      <c r="G72" s="157">
        <f t="shared" si="22"/>
        <v>653</v>
      </c>
      <c r="H72" s="157">
        <f t="shared" si="22"/>
        <v>39</v>
      </c>
      <c r="I72" s="157">
        <f t="shared" si="22"/>
        <v>666</v>
      </c>
      <c r="J72" s="157">
        <f t="shared" si="22"/>
        <v>5975</v>
      </c>
      <c r="K72" s="259">
        <f t="shared" si="22"/>
        <v>430</v>
      </c>
      <c r="L72" s="260">
        <f t="shared" si="22"/>
        <v>73526</v>
      </c>
      <c r="M72" s="262">
        <f t="shared" si="22"/>
        <v>8925</v>
      </c>
      <c r="N72" s="158">
        <f t="shared" si="22"/>
        <v>13696</v>
      </c>
      <c r="O72" s="158">
        <f t="shared" si="22"/>
        <v>7936</v>
      </c>
      <c r="P72" s="158">
        <f t="shared" si="22"/>
        <v>361</v>
      </c>
      <c r="Q72" s="158">
        <f t="shared" si="22"/>
        <v>514</v>
      </c>
      <c r="R72" s="158">
        <f t="shared" si="22"/>
        <v>238</v>
      </c>
      <c r="S72" s="158">
        <f t="shared" si="22"/>
        <v>0</v>
      </c>
      <c r="T72" s="158">
        <f t="shared" si="22"/>
        <v>423</v>
      </c>
      <c r="U72" s="191">
        <f t="shared" si="22"/>
        <v>6</v>
      </c>
      <c r="V72" s="263">
        <f t="shared" si="22"/>
        <v>32099</v>
      </c>
      <c r="W72" s="261">
        <f t="shared" si="22"/>
        <v>49259</v>
      </c>
      <c r="X72" s="210">
        <f t="shared" si="22"/>
        <v>0</v>
      </c>
      <c r="Y72" s="210">
        <f t="shared" si="22"/>
        <v>0</v>
      </c>
      <c r="Z72" s="210">
        <f t="shared" si="22"/>
        <v>154884</v>
      </c>
      <c r="AA72" s="210">
        <f t="shared" si="22"/>
        <v>72490</v>
      </c>
    </row>
    <row r="73" spans="1:28" x14ac:dyDescent="0.25">
      <c r="A73" s="136" t="s">
        <v>65</v>
      </c>
      <c r="B73" s="137" t="s">
        <v>326</v>
      </c>
      <c r="C73" s="280">
        <v>1836</v>
      </c>
      <c r="D73" s="280">
        <v>814</v>
      </c>
      <c r="E73" s="280">
        <v>1348</v>
      </c>
      <c r="F73" s="280">
        <v>26</v>
      </c>
      <c r="G73" s="280">
        <v>86</v>
      </c>
      <c r="H73" s="280">
        <v>19</v>
      </c>
      <c r="I73" s="280">
        <v>0</v>
      </c>
      <c r="J73" s="280">
        <v>186</v>
      </c>
      <c r="K73" s="280">
        <v>278</v>
      </c>
      <c r="L73" s="234">
        <f>SUM(C73:K73)</f>
        <v>4593</v>
      </c>
      <c r="M73" s="280">
        <v>1154</v>
      </c>
      <c r="N73" s="280">
        <v>1487</v>
      </c>
      <c r="O73" s="280">
        <v>1067</v>
      </c>
      <c r="P73" s="280">
        <v>49</v>
      </c>
      <c r="Q73" s="280">
        <v>46</v>
      </c>
      <c r="R73" s="280">
        <v>0</v>
      </c>
      <c r="S73" s="280">
        <v>0</v>
      </c>
      <c r="T73" s="280">
        <v>0</v>
      </c>
      <c r="U73" s="280"/>
      <c r="V73" s="256">
        <f>SUM(M73:U73)</f>
        <v>3803</v>
      </c>
      <c r="W73" s="211">
        <v>1176</v>
      </c>
      <c r="X73" s="211"/>
      <c r="Y73" s="211"/>
      <c r="Z73" s="214">
        <f t="shared" si="6"/>
        <v>9572</v>
      </c>
      <c r="AA73" s="218">
        <f>C73+D73+F73+K73+M73+N73+P73+U73</f>
        <v>5644</v>
      </c>
    </row>
    <row r="74" spans="1:28" x14ac:dyDescent="0.25">
      <c r="A74" s="136" t="s">
        <v>81</v>
      </c>
      <c r="B74" s="137" t="s">
        <v>327</v>
      </c>
      <c r="C74" s="230">
        <v>1543</v>
      </c>
      <c r="D74" s="230">
        <v>519</v>
      </c>
      <c r="E74" s="230">
        <v>453</v>
      </c>
      <c r="F74" s="230">
        <v>78</v>
      </c>
      <c r="G74" s="230">
        <v>41</v>
      </c>
      <c r="H74" s="230">
        <v>0</v>
      </c>
      <c r="I74" s="230">
        <v>0</v>
      </c>
      <c r="J74" s="230">
        <v>83</v>
      </c>
      <c r="K74" s="230">
        <v>0</v>
      </c>
      <c r="L74" s="232">
        <f>SUM(C74:K74)</f>
        <v>2717</v>
      </c>
      <c r="M74" s="230">
        <v>795</v>
      </c>
      <c r="N74" s="230">
        <v>838</v>
      </c>
      <c r="O74" s="230">
        <v>451</v>
      </c>
      <c r="P74" s="230">
        <v>31</v>
      </c>
      <c r="Q74" s="230">
        <v>44</v>
      </c>
      <c r="R74" s="230">
        <v>0</v>
      </c>
      <c r="S74" s="230">
        <v>0</v>
      </c>
      <c r="T74" s="230">
        <v>13</v>
      </c>
      <c r="U74" s="230"/>
      <c r="V74" s="229">
        <f>SUM(M74:U74)</f>
        <v>2172</v>
      </c>
      <c r="W74" s="204">
        <v>4365</v>
      </c>
      <c r="X74" s="204"/>
      <c r="Y74" s="204"/>
      <c r="Z74" s="214">
        <f t="shared" si="6"/>
        <v>9254</v>
      </c>
      <c r="AA74" s="215">
        <f>C74+D74+F74+K74+M74+N74+P74+U74</f>
        <v>3804</v>
      </c>
    </row>
    <row r="75" spans="1:28" x14ac:dyDescent="0.25">
      <c r="A75" s="136" t="s">
        <v>87</v>
      </c>
      <c r="B75" s="137" t="s">
        <v>292</v>
      </c>
      <c r="C75" s="230">
        <v>2247</v>
      </c>
      <c r="D75" s="230">
        <v>1260</v>
      </c>
      <c r="E75" s="230">
        <v>1300</v>
      </c>
      <c r="F75" s="230">
        <v>60</v>
      </c>
      <c r="G75" s="230">
        <v>39</v>
      </c>
      <c r="H75" s="230">
        <v>0</v>
      </c>
      <c r="I75" s="230">
        <v>0</v>
      </c>
      <c r="J75" s="230">
        <v>148</v>
      </c>
      <c r="K75" s="230">
        <v>0</v>
      </c>
      <c r="L75" s="232">
        <f t="shared" ref="L75:L88" si="23">SUM(C75:K75)</f>
        <v>5054</v>
      </c>
      <c r="M75" s="230">
        <v>800</v>
      </c>
      <c r="N75" s="230">
        <v>1130</v>
      </c>
      <c r="O75" s="230">
        <v>1094</v>
      </c>
      <c r="P75" s="230">
        <v>44</v>
      </c>
      <c r="Q75" s="230">
        <v>85</v>
      </c>
      <c r="R75" s="230">
        <v>0</v>
      </c>
      <c r="S75" s="230">
        <v>0</v>
      </c>
      <c r="T75" s="230">
        <v>321</v>
      </c>
      <c r="U75" s="230"/>
      <c r="V75" s="229">
        <f t="shared" ref="V75:V88" si="24">SUM(M75:U75)</f>
        <v>3474</v>
      </c>
      <c r="W75" s="204">
        <v>375</v>
      </c>
      <c r="X75" s="204"/>
      <c r="Y75" s="204"/>
      <c r="Z75" s="214">
        <f t="shared" si="6"/>
        <v>8903</v>
      </c>
      <c r="AA75" s="215">
        <f t="shared" ref="AA75:AA88" si="25">C75+D75+F75+K75+M75+N75+P75+U75</f>
        <v>5541</v>
      </c>
    </row>
    <row r="76" spans="1:28" x14ac:dyDescent="0.25">
      <c r="A76" s="136" t="s">
        <v>92</v>
      </c>
      <c r="B76" s="137" t="s">
        <v>328</v>
      </c>
      <c r="C76" s="230">
        <v>434</v>
      </c>
      <c r="D76" s="230">
        <v>76</v>
      </c>
      <c r="E76" s="230">
        <v>134</v>
      </c>
      <c r="F76" s="230">
        <v>19</v>
      </c>
      <c r="G76" s="230">
        <v>8</v>
      </c>
      <c r="H76" s="230">
        <v>0</v>
      </c>
      <c r="I76" s="230">
        <v>0</v>
      </c>
      <c r="J76" s="230">
        <v>48</v>
      </c>
      <c r="K76" s="230">
        <v>0</v>
      </c>
      <c r="L76" s="232">
        <f t="shared" si="23"/>
        <v>719</v>
      </c>
      <c r="M76" s="230">
        <v>358</v>
      </c>
      <c r="N76" s="230">
        <v>290</v>
      </c>
      <c r="O76" s="230">
        <v>144</v>
      </c>
      <c r="P76" s="230">
        <v>23</v>
      </c>
      <c r="Q76" s="230">
        <v>0</v>
      </c>
      <c r="R76" s="230">
        <v>0</v>
      </c>
      <c r="S76" s="230">
        <v>0</v>
      </c>
      <c r="T76" s="230">
        <v>0</v>
      </c>
      <c r="U76" s="230"/>
      <c r="V76" s="229">
        <f t="shared" si="24"/>
        <v>815</v>
      </c>
      <c r="W76" s="204">
        <v>425</v>
      </c>
      <c r="X76" s="204"/>
      <c r="Y76" s="204"/>
      <c r="Z76" s="214">
        <f t="shared" si="6"/>
        <v>1959</v>
      </c>
      <c r="AA76" s="215">
        <f t="shared" si="25"/>
        <v>1200</v>
      </c>
    </row>
    <row r="77" spans="1:28" x14ac:dyDescent="0.25">
      <c r="A77" s="136" t="s">
        <v>96</v>
      </c>
      <c r="B77" s="137" t="s">
        <v>293</v>
      </c>
      <c r="C77" s="230">
        <v>11060</v>
      </c>
      <c r="D77" s="230">
        <v>2046</v>
      </c>
      <c r="E77" s="230">
        <v>6833</v>
      </c>
      <c r="F77" s="230">
        <v>217</v>
      </c>
      <c r="G77" s="230">
        <v>197</v>
      </c>
      <c r="H77" s="230">
        <v>49</v>
      </c>
      <c r="I77" s="230">
        <v>11</v>
      </c>
      <c r="J77" s="230">
        <v>489</v>
      </c>
      <c r="K77" s="230">
        <v>0</v>
      </c>
      <c r="L77" s="232">
        <f t="shared" si="23"/>
        <v>20902</v>
      </c>
      <c r="M77" s="230">
        <v>972</v>
      </c>
      <c r="N77" s="230">
        <v>1186</v>
      </c>
      <c r="O77" s="230">
        <v>1643</v>
      </c>
      <c r="P77" s="230">
        <v>14</v>
      </c>
      <c r="Q77" s="230">
        <v>79</v>
      </c>
      <c r="R77" s="230">
        <v>24</v>
      </c>
      <c r="S77" s="230">
        <v>0</v>
      </c>
      <c r="T77" s="230">
        <v>21</v>
      </c>
      <c r="U77" s="230"/>
      <c r="V77" s="229">
        <f t="shared" si="24"/>
        <v>3939</v>
      </c>
      <c r="W77" s="204">
        <v>1802</v>
      </c>
      <c r="X77" s="204"/>
      <c r="Y77" s="204"/>
      <c r="Z77" s="214">
        <f t="shared" si="6"/>
        <v>26643</v>
      </c>
      <c r="AA77" s="215">
        <f t="shared" si="25"/>
        <v>15495</v>
      </c>
    </row>
    <row r="78" spans="1:28" x14ac:dyDescent="0.25">
      <c r="A78" s="136" t="s">
        <v>100</v>
      </c>
      <c r="B78" s="137" t="s">
        <v>295</v>
      </c>
      <c r="C78" s="230">
        <v>2987</v>
      </c>
      <c r="D78" s="230">
        <v>494</v>
      </c>
      <c r="E78" s="230">
        <v>920</v>
      </c>
      <c r="F78" s="230">
        <v>67</v>
      </c>
      <c r="G78" s="230">
        <v>43</v>
      </c>
      <c r="H78" s="230">
        <v>0</v>
      </c>
      <c r="I78" s="230">
        <v>0</v>
      </c>
      <c r="J78" s="230">
        <v>68</v>
      </c>
      <c r="K78" s="230">
        <v>0</v>
      </c>
      <c r="L78" s="232">
        <f t="shared" si="23"/>
        <v>4579</v>
      </c>
      <c r="M78" s="230">
        <v>648</v>
      </c>
      <c r="N78" s="230">
        <v>785</v>
      </c>
      <c r="O78" s="230">
        <v>519</v>
      </c>
      <c r="P78" s="230">
        <v>14</v>
      </c>
      <c r="Q78" s="230">
        <v>6</v>
      </c>
      <c r="R78" s="230">
        <v>0</v>
      </c>
      <c r="S78" s="230">
        <v>0</v>
      </c>
      <c r="T78" s="230">
        <v>14</v>
      </c>
      <c r="U78" s="230"/>
      <c r="V78" s="229">
        <f t="shared" si="24"/>
        <v>1986</v>
      </c>
      <c r="W78" s="204">
        <v>434</v>
      </c>
      <c r="X78" s="204"/>
      <c r="Y78" s="204"/>
      <c r="Z78" s="214">
        <f t="shared" si="6"/>
        <v>6999</v>
      </c>
      <c r="AA78" s="215">
        <f t="shared" si="25"/>
        <v>4995</v>
      </c>
    </row>
    <row r="79" spans="1:28" x14ac:dyDescent="0.25">
      <c r="A79" s="136" t="s">
        <v>108</v>
      </c>
      <c r="B79" s="137" t="s">
        <v>296</v>
      </c>
      <c r="C79" s="230">
        <v>790</v>
      </c>
      <c r="D79" s="230">
        <v>338</v>
      </c>
      <c r="E79" s="230">
        <v>390</v>
      </c>
      <c r="F79" s="230">
        <v>74</v>
      </c>
      <c r="G79" s="230">
        <v>59</v>
      </c>
      <c r="H79" s="230">
        <v>0</v>
      </c>
      <c r="I79" s="230">
        <v>0</v>
      </c>
      <c r="J79" s="230">
        <v>128</v>
      </c>
      <c r="K79" s="230">
        <v>0</v>
      </c>
      <c r="L79" s="232">
        <f t="shared" si="23"/>
        <v>1779</v>
      </c>
      <c r="M79" s="230">
        <v>383</v>
      </c>
      <c r="N79" s="230">
        <v>395</v>
      </c>
      <c r="O79" s="230">
        <v>389</v>
      </c>
      <c r="P79" s="230">
        <v>42</v>
      </c>
      <c r="Q79" s="230">
        <v>28</v>
      </c>
      <c r="R79" s="230">
        <v>160</v>
      </c>
      <c r="S79" s="230">
        <v>0</v>
      </c>
      <c r="T79" s="230">
        <v>445</v>
      </c>
      <c r="U79" s="230"/>
      <c r="V79" s="229">
        <f t="shared" si="24"/>
        <v>1842</v>
      </c>
      <c r="W79" s="204">
        <v>702</v>
      </c>
      <c r="X79" s="204"/>
      <c r="Y79" s="204"/>
      <c r="Z79" s="214">
        <f t="shared" si="6"/>
        <v>4323</v>
      </c>
      <c r="AA79" s="215">
        <f t="shared" si="25"/>
        <v>2022</v>
      </c>
    </row>
    <row r="80" spans="1:28" x14ac:dyDescent="0.25">
      <c r="A80" s="136" t="s">
        <v>109</v>
      </c>
      <c r="B80" s="137" t="s">
        <v>329</v>
      </c>
      <c r="C80" s="230">
        <v>482</v>
      </c>
      <c r="D80" s="230">
        <v>292</v>
      </c>
      <c r="E80" s="230">
        <v>231</v>
      </c>
      <c r="F80" s="230">
        <v>25</v>
      </c>
      <c r="G80" s="230">
        <v>16</v>
      </c>
      <c r="H80" s="230">
        <v>0</v>
      </c>
      <c r="I80" s="230">
        <v>0</v>
      </c>
      <c r="J80" s="230">
        <v>95</v>
      </c>
      <c r="K80" s="230">
        <v>0</v>
      </c>
      <c r="L80" s="232">
        <f t="shared" si="23"/>
        <v>1141</v>
      </c>
      <c r="M80" s="230">
        <v>329</v>
      </c>
      <c r="N80" s="230">
        <v>488</v>
      </c>
      <c r="O80" s="230">
        <v>302</v>
      </c>
      <c r="P80" s="230">
        <v>24</v>
      </c>
      <c r="Q80" s="230">
        <v>7</v>
      </c>
      <c r="R80" s="230">
        <v>0</v>
      </c>
      <c r="S80" s="230">
        <v>0</v>
      </c>
      <c r="T80" s="230">
        <v>0</v>
      </c>
      <c r="U80" s="230"/>
      <c r="V80" s="229">
        <f t="shared" si="24"/>
        <v>1150</v>
      </c>
      <c r="W80" s="204">
        <v>266</v>
      </c>
      <c r="X80" s="204"/>
      <c r="Y80" s="204"/>
      <c r="Z80" s="214">
        <f t="shared" si="6"/>
        <v>2557</v>
      </c>
      <c r="AA80" s="215">
        <f t="shared" si="25"/>
        <v>1640</v>
      </c>
    </row>
    <row r="81" spans="1:28" x14ac:dyDescent="0.25">
      <c r="A81" s="136" t="s">
        <v>124</v>
      </c>
      <c r="B81" s="137" t="s">
        <v>330</v>
      </c>
      <c r="C81" s="230">
        <v>3416</v>
      </c>
      <c r="D81" s="230">
        <v>1834</v>
      </c>
      <c r="E81" s="230">
        <v>1234</v>
      </c>
      <c r="F81" s="230">
        <v>84</v>
      </c>
      <c r="G81" s="230">
        <v>185</v>
      </c>
      <c r="H81" s="230">
        <v>0</v>
      </c>
      <c r="I81" s="230">
        <v>21</v>
      </c>
      <c r="J81" s="230">
        <v>66</v>
      </c>
      <c r="K81" s="230">
        <v>0</v>
      </c>
      <c r="L81" s="232">
        <f t="shared" si="23"/>
        <v>6840</v>
      </c>
      <c r="M81" s="230">
        <v>540</v>
      </c>
      <c r="N81" s="230">
        <v>769</v>
      </c>
      <c r="O81" s="230">
        <v>341</v>
      </c>
      <c r="P81" s="230">
        <v>19</v>
      </c>
      <c r="Q81" s="230">
        <v>59</v>
      </c>
      <c r="R81" s="230">
        <v>0</v>
      </c>
      <c r="S81" s="230">
        <v>0</v>
      </c>
      <c r="T81" s="230">
        <v>0</v>
      </c>
      <c r="U81" s="230"/>
      <c r="V81" s="229">
        <f t="shared" si="24"/>
        <v>1728</v>
      </c>
      <c r="W81" s="204">
        <v>0</v>
      </c>
      <c r="X81" s="204"/>
      <c r="Y81" s="204"/>
      <c r="Z81" s="214">
        <f t="shared" si="6"/>
        <v>8568</v>
      </c>
      <c r="AA81" s="215">
        <f t="shared" si="25"/>
        <v>6662</v>
      </c>
    </row>
    <row r="82" spans="1:28" x14ac:dyDescent="0.25">
      <c r="A82" s="136" t="s">
        <v>126</v>
      </c>
      <c r="B82" s="137" t="s">
        <v>331</v>
      </c>
      <c r="C82" s="230">
        <v>2942</v>
      </c>
      <c r="D82" s="230">
        <v>837</v>
      </c>
      <c r="E82" s="230">
        <v>1194</v>
      </c>
      <c r="F82" s="230">
        <v>78</v>
      </c>
      <c r="G82" s="230">
        <v>62</v>
      </c>
      <c r="H82" s="230">
        <v>0</v>
      </c>
      <c r="I82" s="230">
        <v>0</v>
      </c>
      <c r="J82" s="230">
        <v>287</v>
      </c>
      <c r="K82" s="230">
        <v>0</v>
      </c>
      <c r="L82" s="232">
        <f t="shared" si="23"/>
        <v>5400</v>
      </c>
      <c r="M82" s="230">
        <v>2888</v>
      </c>
      <c r="N82" s="230">
        <v>2024</v>
      </c>
      <c r="O82" s="230">
        <v>1854</v>
      </c>
      <c r="P82" s="230">
        <v>207</v>
      </c>
      <c r="Q82" s="230">
        <v>80</v>
      </c>
      <c r="R82" s="230">
        <v>40</v>
      </c>
      <c r="S82" s="230">
        <v>0</v>
      </c>
      <c r="T82" s="230">
        <v>12</v>
      </c>
      <c r="U82" s="230"/>
      <c r="V82" s="229">
        <f t="shared" si="24"/>
        <v>7105</v>
      </c>
      <c r="W82" s="204">
        <v>1743</v>
      </c>
      <c r="X82" s="204"/>
      <c r="Y82" s="204"/>
      <c r="Z82" s="214">
        <f t="shared" si="6"/>
        <v>14248</v>
      </c>
      <c r="AA82" s="215">
        <f t="shared" si="25"/>
        <v>8976</v>
      </c>
    </row>
    <row r="83" spans="1:28" x14ac:dyDescent="0.25">
      <c r="A83" s="136" t="s">
        <v>132</v>
      </c>
      <c r="B83" s="137" t="s">
        <v>298</v>
      </c>
      <c r="C83" s="230">
        <v>2681</v>
      </c>
      <c r="D83" s="230">
        <v>3026</v>
      </c>
      <c r="E83" s="230">
        <v>1751</v>
      </c>
      <c r="F83" s="230">
        <v>102</v>
      </c>
      <c r="G83" s="230">
        <v>141</v>
      </c>
      <c r="H83" s="230">
        <v>0</v>
      </c>
      <c r="I83" s="230">
        <v>0</v>
      </c>
      <c r="J83" s="230">
        <v>405</v>
      </c>
      <c r="K83" s="230">
        <v>0</v>
      </c>
      <c r="L83" s="232">
        <f t="shared" si="23"/>
        <v>8106</v>
      </c>
      <c r="M83" s="230">
        <v>938</v>
      </c>
      <c r="N83" s="230">
        <v>2374</v>
      </c>
      <c r="O83" s="230">
        <v>1098</v>
      </c>
      <c r="P83" s="230">
        <v>50</v>
      </c>
      <c r="Q83" s="230">
        <v>41</v>
      </c>
      <c r="R83" s="230">
        <v>60</v>
      </c>
      <c r="S83" s="230">
        <v>0</v>
      </c>
      <c r="T83" s="230">
        <v>34</v>
      </c>
      <c r="U83" s="230"/>
      <c r="V83" s="229">
        <f t="shared" si="24"/>
        <v>4595</v>
      </c>
      <c r="W83" s="204">
        <v>968</v>
      </c>
      <c r="X83" s="204"/>
      <c r="Y83" s="204"/>
      <c r="Z83" s="214">
        <f t="shared" si="6"/>
        <v>13669</v>
      </c>
      <c r="AA83" s="215">
        <f t="shared" si="25"/>
        <v>9171</v>
      </c>
    </row>
    <row r="84" spans="1:28" x14ac:dyDescent="0.25">
      <c r="A84" s="136" t="s">
        <v>137</v>
      </c>
      <c r="B84" s="137" t="s">
        <v>299</v>
      </c>
      <c r="C84" s="230">
        <v>2110</v>
      </c>
      <c r="D84" s="230">
        <v>1000</v>
      </c>
      <c r="E84" s="230">
        <v>881</v>
      </c>
      <c r="F84" s="230">
        <v>55</v>
      </c>
      <c r="G84" s="230">
        <v>84</v>
      </c>
      <c r="H84" s="230">
        <v>0</v>
      </c>
      <c r="I84" s="230">
        <v>0</v>
      </c>
      <c r="J84" s="230">
        <v>345</v>
      </c>
      <c r="K84" s="230">
        <v>4</v>
      </c>
      <c r="L84" s="232">
        <f t="shared" si="23"/>
        <v>4479</v>
      </c>
      <c r="M84" s="230">
        <v>1886</v>
      </c>
      <c r="N84" s="230">
        <v>2195</v>
      </c>
      <c r="O84" s="230">
        <v>1489</v>
      </c>
      <c r="P84" s="230">
        <v>37</v>
      </c>
      <c r="Q84" s="230">
        <v>92</v>
      </c>
      <c r="R84" s="230">
        <v>0</v>
      </c>
      <c r="S84" s="230">
        <v>0</v>
      </c>
      <c r="T84" s="230">
        <v>10</v>
      </c>
      <c r="U84" s="189"/>
      <c r="V84" s="229">
        <f t="shared" si="24"/>
        <v>5709</v>
      </c>
      <c r="W84" s="204">
        <v>547</v>
      </c>
      <c r="X84" s="204"/>
      <c r="Y84" s="204"/>
      <c r="Z84" s="214">
        <f t="shared" si="6"/>
        <v>10735</v>
      </c>
      <c r="AA84" s="215">
        <f t="shared" si="25"/>
        <v>7287</v>
      </c>
    </row>
    <row r="85" spans="1:28" x14ac:dyDescent="0.25">
      <c r="A85" s="136" t="s">
        <v>148</v>
      </c>
      <c r="B85" s="137" t="s">
        <v>300</v>
      </c>
      <c r="C85" s="230">
        <v>756</v>
      </c>
      <c r="D85" s="230">
        <v>555</v>
      </c>
      <c r="E85" s="230">
        <v>485</v>
      </c>
      <c r="F85" s="230">
        <v>60</v>
      </c>
      <c r="G85" s="230">
        <v>32</v>
      </c>
      <c r="H85" s="230">
        <v>0</v>
      </c>
      <c r="I85" s="230">
        <v>0</v>
      </c>
      <c r="J85" s="230">
        <v>103</v>
      </c>
      <c r="K85" s="230">
        <v>0</v>
      </c>
      <c r="L85" s="232">
        <f t="shared" si="23"/>
        <v>1991</v>
      </c>
      <c r="M85" s="230">
        <v>422</v>
      </c>
      <c r="N85" s="230">
        <v>472</v>
      </c>
      <c r="O85" s="230">
        <v>267</v>
      </c>
      <c r="P85" s="230">
        <v>26</v>
      </c>
      <c r="Q85" s="230">
        <v>34</v>
      </c>
      <c r="R85" s="230">
        <v>6</v>
      </c>
      <c r="S85" s="230">
        <v>0</v>
      </c>
      <c r="T85" s="230">
        <v>0</v>
      </c>
      <c r="U85" s="391"/>
      <c r="V85" s="229">
        <f t="shared" si="24"/>
        <v>1227</v>
      </c>
      <c r="W85" s="204">
        <v>222</v>
      </c>
      <c r="X85" s="204"/>
      <c r="Y85" s="204"/>
      <c r="Z85" s="214">
        <f t="shared" si="6"/>
        <v>3440</v>
      </c>
      <c r="AA85" s="215">
        <f t="shared" si="25"/>
        <v>2291</v>
      </c>
    </row>
    <row r="86" spans="1:28" x14ac:dyDescent="0.25">
      <c r="A86" s="136" t="s">
        <v>169</v>
      </c>
      <c r="B86" s="137" t="s">
        <v>301</v>
      </c>
      <c r="C86" s="230">
        <v>327</v>
      </c>
      <c r="D86" s="230">
        <v>199</v>
      </c>
      <c r="E86" s="230">
        <v>174</v>
      </c>
      <c r="F86" s="230">
        <v>11</v>
      </c>
      <c r="G86" s="230">
        <v>63</v>
      </c>
      <c r="H86" s="230">
        <v>46</v>
      </c>
      <c r="I86" s="230">
        <v>0</v>
      </c>
      <c r="J86" s="230">
        <v>70</v>
      </c>
      <c r="K86" s="230">
        <v>0</v>
      </c>
      <c r="L86" s="232">
        <f t="shared" si="23"/>
        <v>890</v>
      </c>
      <c r="M86" s="230">
        <v>222</v>
      </c>
      <c r="N86" s="230">
        <v>453</v>
      </c>
      <c r="O86" s="230">
        <v>99</v>
      </c>
      <c r="P86" s="230">
        <v>21</v>
      </c>
      <c r="Q86" s="230">
        <v>42</v>
      </c>
      <c r="R86" s="230">
        <v>0</v>
      </c>
      <c r="S86" s="230">
        <v>0</v>
      </c>
      <c r="T86" s="230">
        <v>0</v>
      </c>
      <c r="U86" s="391"/>
      <c r="V86" s="229">
        <f t="shared" si="24"/>
        <v>837</v>
      </c>
      <c r="W86" s="205"/>
      <c r="X86" s="204"/>
      <c r="Y86" s="204"/>
      <c r="Z86" s="214">
        <f t="shared" si="6"/>
        <v>1727</v>
      </c>
      <c r="AA86" s="215">
        <f t="shared" si="25"/>
        <v>1233</v>
      </c>
    </row>
    <row r="87" spans="1:28" x14ac:dyDescent="0.25">
      <c r="A87" s="136" t="s">
        <v>172</v>
      </c>
      <c r="B87" s="137" t="s">
        <v>333</v>
      </c>
      <c r="C87" s="230">
        <v>19628</v>
      </c>
      <c r="D87" s="230">
        <v>3527</v>
      </c>
      <c r="E87" s="230">
        <v>4373</v>
      </c>
      <c r="F87" s="230">
        <v>453</v>
      </c>
      <c r="G87" s="230">
        <v>212</v>
      </c>
      <c r="H87" s="230">
        <v>76</v>
      </c>
      <c r="I87" s="230">
        <v>5</v>
      </c>
      <c r="J87" s="230">
        <v>19883</v>
      </c>
      <c r="K87" s="230">
        <v>0</v>
      </c>
      <c r="L87" s="232">
        <f t="shared" si="23"/>
        <v>48157</v>
      </c>
      <c r="M87" s="230">
        <v>3615</v>
      </c>
      <c r="N87" s="230">
        <v>2957</v>
      </c>
      <c r="O87" s="230">
        <v>1706</v>
      </c>
      <c r="P87" s="230">
        <v>159</v>
      </c>
      <c r="Q87" s="230">
        <v>110</v>
      </c>
      <c r="R87" s="230">
        <v>61</v>
      </c>
      <c r="S87" s="230">
        <v>0</v>
      </c>
      <c r="T87" s="230">
        <v>46</v>
      </c>
      <c r="U87" s="391"/>
      <c r="V87" s="229">
        <f t="shared" si="24"/>
        <v>8654</v>
      </c>
      <c r="W87" s="209">
        <v>0</v>
      </c>
      <c r="X87" s="209"/>
      <c r="Y87" s="209"/>
      <c r="Z87" s="214">
        <f t="shared" si="6"/>
        <v>56811</v>
      </c>
      <c r="AA87" s="215">
        <f t="shared" si="25"/>
        <v>30339</v>
      </c>
    </row>
    <row r="88" spans="1:28" ht="13.8" thickBot="1" x14ac:dyDescent="0.3">
      <c r="A88" s="136" t="s">
        <v>175</v>
      </c>
      <c r="B88" s="137" t="s">
        <v>334</v>
      </c>
      <c r="C88" s="265">
        <v>1019</v>
      </c>
      <c r="D88" s="265">
        <v>277</v>
      </c>
      <c r="E88" s="265">
        <v>365</v>
      </c>
      <c r="F88" s="265">
        <v>8</v>
      </c>
      <c r="G88" s="265">
        <v>18</v>
      </c>
      <c r="H88" s="265">
        <v>0</v>
      </c>
      <c r="I88" s="265">
        <v>0</v>
      </c>
      <c r="J88" s="265">
        <v>59</v>
      </c>
      <c r="K88" s="265">
        <v>0</v>
      </c>
      <c r="L88" s="239">
        <f t="shared" si="23"/>
        <v>1746</v>
      </c>
      <c r="M88" s="265">
        <v>2863</v>
      </c>
      <c r="N88" s="265">
        <v>1227</v>
      </c>
      <c r="O88" s="265">
        <v>1517</v>
      </c>
      <c r="P88" s="265">
        <v>74</v>
      </c>
      <c r="Q88" s="265">
        <v>138</v>
      </c>
      <c r="R88" s="265">
        <v>0</v>
      </c>
      <c r="S88" s="265">
        <v>0</v>
      </c>
      <c r="T88" s="265">
        <v>4</v>
      </c>
      <c r="U88" s="531"/>
      <c r="V88" s="231">
        <f t="shared" si="24"/>
        <v>5823</v>
      </c>
      <c r="W88" s="209">
        <v>1147</v>
      </c>
      <c r="X88" s="209"/>
      <c r="Y88" s="209"/>
      <c r="Z88" s="214">
        <f t="shared" si="6"/>
        <v>8716</v>
      </c>
      <c r="AA88" s="215">
        <f t="shared" si="25"/>
        <v>5468</v>
      </c>
    </row>
    <row r="89" spans="1:28" s="109" customFormat="1" ht="14.4" thickBot="1" x14ac:dyDescent="0.3">
      <c r="A89" s="134"/>
      <c r="B89" s="159" t="s">
        <v>461</v>
      </c>
      <c r="C89" s="258">
        <f t="shared" ref="C89:AA89" si="26">SUM(C73:C88)</f>
        <v>54258</v>
      </c>
      <c r="D89" s="157">
        <f t="shared" si="26"/>
        <v>17094</v>
      </c>
      <c r="E89" s="157">
        <f t="shared" si="26"/>
        <v>22066</v>
      </c>
      <c r="F89" s="157">
        <f t="shared" si="26"/>
        <v>1417</v>
      </c>
      <c r="G89" s="157">
        <f t="shared" si="26"/>
        <v>1286</v>
      </c>
      <c r="H89" s="157">
        <f t="shared" si="26"/>
        <v>190</v>
      </c>
      <c r="I89" s="157">
        <f t="shared" si="26"/>
        <v>37</v>
      </c>
      <c r="J89" s="157">
        <f t="shared" si="26"/>
        <v>22463</v>
      </c>
      <c r="K89" s="259">
        <f t="shared" si="26"/>
        <v>282</v>
      </c>
      <c r="L89" s="263">
        <f t="shared" si="26"/>
        <v>119093</v>
      </c>
      <c r="M89" s="262">
        <f t="shared" si="26"/>
        <v>18813</v>
      </c>
      <c r="N89" s="158">
        <f t="shared" si="26"/>
        <v>19070</v>
      </c>
      <c r="O89" s="158">
        <f t="shared" si="26"/>
        <v>13980</v>
      </c>
      <c r="P89" s="158">
        <f t="shared" si="26"/>
        <v>834</v>
      </c>
      <c r="Q89" s="158">
        <f t="shared" si="26"/>
        <v>891</v>
      </c>
      <c r="R89" s="158">
        <f t="shared" si="26"/>
        <v>351</v>
      </c>
      <c r="S89" s="158">
        <f t="shared" si="26"/>
        <v>0</v>
      </c>
      <c r="T89" s="158">
        <f t="shared" si="26"/>
        <v>920</v>
      </c>
      <c r="U89" s="191">
        <f t="shared" si="26"/>
        <v>0</v>
      </c>
      <c r="V89" s="263">
        <f t="shared" si="26"/>
        <v>54859</v>
      </c>
      <c r="W89" s="261">
        <f t="shared" si="26"/>
        <v>14172</v>
      </c>
      <c r="X89" s="210">
        <f t="shared" si="26"/>
        <v>0</v>
      </c>
      <c r="Y89" s="210">
        <f t="shared" si="26"/>
        <v>0</v>
      </c>
      <c r="Z89" s="210">
        <f t="shared" si="26"/>
        <v>188124</v>
      </c>
      <c r="AA89" s="219">
        <f t="shared" si="26"/>
        <v>111768</v>
      </c>
    </row>
    <row r="90" spans="1:28" x14ac:dyDescent="0.25">
      <c r="A90" s="136" t="s">
        <v>67</v>
      </c>
      <c r="B90" s="137" t="s">
        <v>346</v>
      </c>
      <c r="C90" s="280">
        <v>392</v>
      </c>
      <c r="D90" s="280">
        <v>144</v>
      </c>
      <c r="E90" s="280">
        <v>109</v>
      </c>
      <c r="F90" s="280">
        <v>16</v>
      </c>
      <c r="G90" s="280">
        <v>29</v>
      </c>
      <c r="H90" s="280">
        <v>0</v>
      </c>
      <c r="I90" s="280">
        <v>0</v>
      </c>
      <c r="J90" s="280">
        <v>56</v>
      </c>
      <c r="K90" s="280">
        <v>0</v>
      </c>
      <c r="L90" s="234">
        <f t="shared" ref="L90:L105" si="27">SUM(C90:K90)</f>
        <v>746</v>
      </c>
      <c r="M90" s="280">
        <v>127</v>
      </c>
      <c r="N90" s="280">
        <v>255</v>
      </c>
      <c r="O90" s="280">
        <v>111</v>
      </c>
      <c r="P90" s="280">
        <v>2</v>
      </c>
      <c r="Q90" s="280">
        <v>17</v>
      </c>
      <c r="R90" s="280">
        <v>0</v>
      </c>
      <c r="S90" s="280">
        <v>0</v>
      </c>
      <c r="T90" s="280">
        <v>0</v>
      </c>
      <c r="U90" s="280">
        <v>0</v>
      </c>
      <c r="V90" s="374">
        <f>SUM(M90:U90)</f>
        <v>512</v>
      </c>
      <c r="W90" s="237">
        <v>59</v>
      </c>
      <c r="X90" s="211"/>
      <c r="Y90" s="211"/>
      <c r="Z90" s="214">
        <f t="shared" ref="Z90:Z105" si="28">L90+V90+W90+X90</f>
        <v>1317</v>
      </c>
      <c r="AA90" s="215">
        <f t="shared" ref="AA90:AA103" si="29">C90+D90+F90+K90+M90+N90+P90+U90</f>
        <v>936</v>
      </c>
    </row>
    <row r="91" spans="1:28" x14ac:dyDescent="0.25">
      <c r="A91" s="136" t="s">
        <v>76</v>
      </c>
      <c r="B91" s="137" t="s">
        <v>290</v>
      </c>
      <c r="C91" s="230">
        <v>1256</v>
      </c>
      <c r="D91" s="230">
        <v>395</v>
      </c>
      <c r="E91" s="230">
        <v>816</v>
      </c>
      <c r="F91" s="230">
        <v>30</v>
      </c>
      <c r="G91" s="230">
        <v>53</v>
      </c>
      <c r="H91" s="230">
        <v>0</v>
      </c>
      <c r="I91" s="230">
        <v>0</v>
      </c>
      <c r="J91" s="230">
        <v>177</v>
      </c>
      <c r="K91" s="230">
        <v>0</v>
      </c>
      <c r="L91" s="232">
        <f t="shared" si="27"/>
        <v>2727</v>
      </c>
      <c r="M91" s="230">
        <v>254</v>
      </c>
      <c r="N91" s="230">
        <v>378</v>
      </c>
      <c r="O91" s="230">
        <v>522</v>
      </c>
      <c r="P91" s="230">
        <v>45</v>
      </c>
      <c r="Q91" s="230">
        <v>50</v>
      </c>
      <c r="R91" s="230">
        <v>0</v>
      </c>
      <c r="S91" s="230">
        <v>0</v>
      </c>
      <c r="T91" s="230">
        <v>561</v>
      </c>
      <c r="U91" s="230">
        <v>0</v>
      </c>
      <c r="V91" s="374">
        <f t="shared" ref="V91:V102" si="30">SUM(M91:U91)</f>
        <v>1810</v>
      </c>
      <c r="W91" s="233">
        <v>4090</v>
      </c>
      <c r="X91" s="204"/>
      <c r="Y91" s="204"/>
      <c r="Z91" s="214">
        <f t="shared" si="28"/>
        <v>8627</v>
      </c>
      <c r="AA91" s="215">
        <f t="shared" si="29"/>
        <v>2358</v>
      </c>
      <c r="AB91" s="142">
        <f>L91+V91</f>
        <v>4537</v>
      </c>
    </row>
    <row r="92" spans="1:28" x14ac:dyDescent="0.25">
      <c r="A92" s="136" t="s">
        <v>79</v>
      </c>
      <c r="B92" s="137" t="s">
        <v>347</v>
      </c>
      <c r="C92" s="230">
        <v>1302</v>
      </c>
      <c r="D92" s="230">
        <v>360</v>
      </c>
      <c r="E92" s="230">
        <v>336</v>
      </c>
      <c r="F92" s="230">
        <v>42</v>
      </c>
      <c r="G92" s="230">
        <v>49</v>
      </c>
      <c r="H92" s="230">
        <v>0</v>
      </c>
      <c r="I92" s="230">
        <v>0</v>
      </c>
      <c r="J92" s="230">
        <v>463</v>
      </c>
      <c r="K92" s="230">
        <v>0</v>
      </c>
      <c r="L92" s="232">
        <f t="shared" si="27"/>
        <v>2552</v>
      </c>
      <c r="M92" s="230">
        <v>414</v>
      </c>
      <c r="N92" s="230">
        <v>257</v>
      </c>
      <c r="O92" s="230">
        <v>144</v>
      </c>
      <c r="P92" s="230">
        <v>32</v>
      </c>
      <c r="Q92" s="230">
        <v>6</v>
      </c>
      <c r="R92" s="230">
        <v>54</v>
      </c>
      <c r="S92" s="230">
        <v>0</v>
      </c>
      <c r="T92" s="230">
        <v>0</v>
      </c>
      <c r="U92" s="230">
        <v>0</v>
      </c>
      <c r="V92" s="374">
        <f t="shared" si="30"/>
        <v>907</v>
      </c>
      <c r="W92" s="233">
        <v>439</v>
      </c>
      <c r="X92" s="204"/>
      <c r="Y92" s="204"/>
      <c r="Z92" s="214">
        <f t="shared" si="28"/>
        <v>3898</v>
      </c>
      <c r="AA92" s="215">
        <f t="shared" si="29"/>
        <v>2407</v>
      </c>
    </row>
    <row r="93" spans="1:28" x14ac:dyDescent="0.25">
      <c r="A93" s="136" t="s">
        <v>83</v>
      </c>
      <c r="B93" s="137" t="s">
        <v>291</v>
      </c>
      <c r="C93" s="230">
        <v>9390</v>
      </c>
      <c r="D93" s="230">
        <v>7110</v>
      </c>
      <c r="E93" s="230">
        <v>4148</v>
      </c>
      <c r="F93" s="230">
        <v>99</v>
      </c>
      <c r="G93" s="230">
        <v>338</v>
      </c>
      <c r="H93" s="230">
        <v>12</v>
      </c>
      <c r="I93" s="230">
        <v>117</v>
      </c>
      <c r="J93" s="230">
        <v>627</v>
      </c>
      <c r="K93" s="230">
        <v>4</v>
      </c>
      <c r="L93" s="232">
        <f t="shared" si="27"/>
        <v>21845</v>
      </c>
      <c r="M93" s="230">
        <v>1341</v>
      </c>
      <c r="N93" s="230">
        <v>3604</v>
      </c>
      <c r="O93" s="230">
        <v>1555</v>
      </c>
      <c r="P93" s="230">
        <v>34</v>
      </c>
      <c r="Q93" s="230">
        <v>190</v>
      </c>
      <c r="R93" s="230">
        <v>46</v>
      </c>
      <c r="S93" s="230">
        <v>0</v>
      </c>
      <c r="T93" s="230">
        <v>32</v>
      </c>
      <c r="U93" s="230">
        <v>0</v>
      </c>
      <c r="V93" s="374">
        <f t="shared" si="30"/>
        <v>6802</v>
      </c>
      <c r="W93" s="358"/>
      <c r="X93" s="204"/>
      <c r="Y93" s="204"/>
      <c r="Z93" s="214">
        <f t="shared" si="28"/>
        <v>28647</v>
      </c>
      <c r="AA93" s="215">
        <f t="shared" si="29"/>
        <v>21582</v>
      </c>
    </row>
    <row r="94" spans="1:28" x14ac:dyDescent="0.25">
      <c r="A94" s="136" t="s">
        <v>89</v>
      </c>
      <c r="B94" s="137" t="s">
        <v>348</v>
      </c>
      <c r="C94" s="230">
        <v>616</v>
      </c>
      <c r="D94" s="230">
        <v>444</v>
      </c>
      <c r="E94" s="230">
        <v>333</v>
      </c>
      <c r="F94" s="230">
        <v>12</v>
      </c>
      <c r="G94" s="230">
        <v>15</v>
      </c>
      <c r="H94" s="230">
        <v>0</v>
      </c>
      <c r="I94" s="230">
        <v>0</v>
      </c>
      <c r="J94" s="230">
        <v>113</v>
      </c>
      <c r="K94" s="230">
        <v>0</v>
      </c>
      <c r="L94" s="232">
        <f t="shared" si="27"/>
        <v>1533</v>
      </c>
      <c r="M94" s="230">
        <v>187</v>
      </c>
      <c r="N94" s="230">
        <v>420</v>
      </c>
      <c r="O94" s="230">
        <v>266</v>
      </c>
      <c r="P94" s="230">
        <v>3</v>
      </c>
      <c r="Q94" s="230">
        <v>11</v>
      </c>
      <c r="R94" s="230">
        <v>0</v>
      </c>
      <c r="S94" s="230">
        <v>0</v>
      </c>
      <c r="T94" s="230">
        <v>0</v>
      </c>
      <c r="U94" s="230">
        <v>0</v>
      </c>
      <c r="V94" s="374">
        <f t="shared" si="30"/>
        <v>887</v>
      </c>
      <c r="W94" s="233">
        <v>101</v>
      </c>
      <c r="X94" s="204"/>
      <c r="Y94" s="204"/>
      <c r="Z94" s="214">
        <f t="shared" si="28"/>
        <v>2521</v>
      </c>
      <c r="AA94" s="215">
        <f t="shared" si="29"/>
        <v>1682</v>
      </c>
    </row>
    <row r="95" spans="1:28" x14ac:dyDescent="0.25">
      <c r="A95" s="136" t="s">
        <v>90</v>
      </c>
      <c r="B95" s="137" t="s">
        <v>349</v>
      </c>
      <c r="C95" s="230">
        <v>1525</v>
      </c>
      <c r="D95" s="230">
        <v>920</v>
      </c>
      <c r="E95" s="230">
        <v>807</v>
      </c>
      <c r="F95" s="230">
        <v>45</v>
      </c>
      <c r="G95" s="230">
        <v>18</v>
      </c>
      <c r="H95" s="230">
        <v>0</v>
      </c>
      <c r="I95" s="230">
        <v>0</v>
      </c>
      <c r="J95" s="230">
        <v>170</v>
      </c>
      <c r="K95" s="230">
        <v>0</v>
      </c>
      <c r="L95" s="232">
        <f t="shared" si="27"/>
        <v>3485</v>
      </c>
      <c r="M95" s="230">
        <v>943</v>
      </c>
      <c r="N95" s="230">
        <v>1048</v>
      </c>
      <c r="O95" s="230">
        <v>598</v>
      </c>
      <c r="P95" s="230">
        <v>29</v>
      </c>
      <c r="Q95" s="230">
        <v>30</v>
      </c>
      <c r="R95" s="230">
        <v>0</v>
      </c>
      <c r="S95" s="230">
        <v>0</v>
      </c>
      <c r="T95" s="230">
        <v>14</v>
      </c>
      <c r="U95" s="230">
        <v>0</v>
      </c>
      <c r="V95" s="374">
        <f t="shared" si="30"/>
        <v>2662</v>
      </c>
      <c r="W95" s="233">
        <v>822</v>
      </c>
      <c r="X95" s="204"/>
      <c r="Y95" s="204"/>
      <c r="Z95" s="214">
        <f t="shared" si="28"/>
        <v>6969</v>
      </c>
      <c r="AA95" s="215">
        <f t="shared" si="29"/>
        <v>4510</v>
      </c>
    </row>
    <row r="96" spans="1:28" x14ac:dyDescent="0.25">
      <c r="A96" s="136" t="s">
        <v>93</v>
      </c>
      <c r="B96" s="137" t="s">
        <v>359</v>
      </c>
      <c r="C96" s="230">
        <v>2942</v>
      </c>
      <c r="D96" s="230">
        <v>1049</v>
      </c>
      <c r="E96" s="230">
        <v>1808</v>
      </c>
      <c r="F96" s="230">
        <v>153</v>
      </c>
      <c r="G96" s="230">
        <v>87</v>
      </c>
      <c r="H96" s="230">
        <v>0</v>
      </c>
      <c r="I96" s="230">
        <v>2</v>
      </c>
      <c r="J96" s="230">
        <v>381</v>
      </c>
      <c r="K96" s="230">
        <v>0</v>
      </c>
      <c r="L96" s="232">
        <f t="shared" si="27"/>
        <v>6422</v>
      </c>
      <c r="M96" s="230">
        <v>824</v>
      </c>
      <c r="N96" s="230">
        <v>1117</v>
      </c>
      <c r="O96" s="230">
        <v>686</v>
      </c>
      <c r="P96" s="230">
        <v>91</v>
      </c>
      <c r="Q96" s="230">
        <v>22</v>
      </c>
      <c r="R96" s="230">
        <v>0</v>
      </c>
      <c r="S96" s="230">
        <v>14</v>
      </c>
      <c r="T96" s="230">
        <v>2</v>
      </c>
      <c r="U96" s="230">
        <v>0</v>
      </c>
      <c r="V96" s="374">
        <f t="shared" si="30"/>
        <v>2756</v>
      </c>
      <c r="W96" s="233">
        <v>907</v>
      </c>
      <c r="X96" s="204"/>
      <c r="Y96" s="204"/>
      <c r="Z96" s="214">
        <f t="shared" si="28"/>
        <v>10085</v>
      </c>
      <c r="AA96" s="215">
        <f t="shared" si="29"/>
        <v>6176</v>
      </c>
    </row>
    <row r="97" spans="1:27" x14ac:dyDescent="0.25">
      <c r="A97" s="136" t="s">
        <v>97</v>
      </c>
      <c r="B97" s="137" t="s">
        <v>294</v>
      </c>
      <c r="C97" s="230">
        <v>4673</v>
      </c>
      <c r="D97" s="230">
        <v>1676</v>
      </c>
      <c r="E97" s="230">
        <v>1896</v>
      </c>
      <c r="F97" s="230">
        <v>32</v>
      </c>
      <c r="G97" s="230">
        <v>110</v>
      </c>
      <c r="H97" s="230">
        <v>232</v>
      </c>
      <c r="I97" s="230">
        <v>0</v>
      </c>
      <c r="J97" s="230">
        <v>255</v>
      </c>
      <c r="K97" s="230">
        <v>0</v>
      </c>
      <c r="L97" s="232">
        <f t="shared" si="27"/>
        <v>8874</v>
      </c>
      <c r="M97" s="230">
        <v>1573</v>
      </c>
      <c r="N97" s="230">
        <v>2319</v>
      </c>
      <c r="O97" s="230">
        <v>1228</v>
      </c>
      <c r="P97" s="230">
        <v>29</v>
      </c>
      <c r="Q97" s="230">
        <v>77</v>
      </c>
      <c r="R97" s="230">
        <v>0</v>
      </c>
      <c r="S97" s="230">
        <v>0</v>
      </c>
      <c r="T97" s="230">
        <v>17</v>
      </c>
      <c r="U97" s="230">
        <v>0</v>
      </c>
      <c r="V97" s="374">
        <f t="shared" si="30"/>
        <v>5243</v>
      </c>
      <c r="W97" s="233">
        <v>1258</v>
      </c>
      <c r="X97" s="204"/>
      <c r="Y97" s="204"/>
      <c r="Z97" s="214">
        <f t="shared" si="28"/>
        <v>15375</v>
      </c>
      <c r="AA97" s="215">
        <f t="shared" si="29"/>
        <v>10302</v>
      </c>
    </row>
    <row r="98" spans="1:27" x14ac:dyDescent="0.25">
      <c r="A98" s="136" t="s">
        <v>125</v>
      </c>
      <c r="B98" s="137" t="s">
        <v>350</v>
      </c>
      <c r="C98" s="230">
        <v>1486</v>
      </c>
      <c r="D98" s="230">
        <v>505</v>
      </c>
      <c r="E98" s="230">
        <v>704</v>
      </c>
      <c r="F98" s="230">
        <v>45</v>
      </c>
      <c r="G98" s="230">
        <v>41</v>
      </c>
      <c r="H98" s="230">
        <v>0</v>
      </c>
      <c r="I98" s="230">
        <v>0</v>
      </c>
      <c r="J98" s="230">
        <v>135</v>
      </c>
      <c r="K98" s="230">
        <v>0</v>
      </c>
      <c r="L98" s="232">
        <f t="shared" si="27"/>
        <v>2916</v>
      </c>
      <c r="M98" s="230">
        <v>218</v>
      </c>
      <c r="N98" s="230">
        <v>354</v>
      </c>
      <c r="O98" s="230">
        <v>165</v>
      </c>
      <c r="P98" s="230">
        <v>16</v>
      </c>
      <c r="Q98" s="230">
        <v>18</v>
      </c>
      <c r="R98" s="230">
        <v>0</v>
      </c>
      <c r="S98" s="230">
        <v>0</v>
      </c>
      <c r="T98" s="230">
        <v>8</v>
      </c>
      <c r="U98" s="230">
        <v>0</v>
      </c>
      <c r="V98" s="374">
        <f t="shared" si="30"/>
        <v>779</v>
      </c>
      <c r="W98" s="233">
        <v>342</v>
      </c>
      <c r="X98" s="204"/>
      <c r="Y98" s="204"/>
      <c r="Z98" s="214">
        <f t="shared" si="28"/>
        <v>4037</v>
      </c>
      <c r="AA98" s="215">
        <f t="shared" si="29"/>
        <v>2624</v>
      </c>
    </row>
    <row r="99" spans="1:27" x14ac:dyDescent="0.25">
      <c r="A99" s="136" t="s">
        <v>135</v>
      </c>
      <c r="B99" s="137" t="s">
        <v>351</v>
      </c>
      <c r="C99" s="230">
        <v>3127</v>
      </c>
      <c r="D99" s="230">
        <v>1495</v>
      </c>
      <c r="E99" s="230">
        <v>1597</v>
      </c>
      <c r="F99" s="230">
        <v>77</v>
      </c>
      <c r="G99" s="230">
        <v>74</v>
      </c>
      <c r="H99" s="230">
        <v>0</v>
      </c>
      <c r="I99" s="230">
        <v>0</v>
      </c>
      <c r="J99" s="230">
        <v>177</v>
      </c>
      <c r="K99" s="230">
        <v>0</v>
      </c>
      <c r="L99" s="232">
        <f t="shared" si="27"/>
        <v>6547</v>
      </c>
      <c r="M99" s="230">
        <v>907</v>
      </c>
      <c r="N99" s="230">
        <v>1582</v>
      </c>
      <c r="O99" s="230">
        <v>1002</v>
      </c>
      <c r="P99" s="230">
        <v>25</v>
      </c>
      <c r="Q99" s="230">
        <v>29</v>
      </c>
      <c r="R99" s="230">
        <v>0</v>
      </c>
      <c r="S99" s="230">
        <v>0</v>
      </c>
      <c r="T99" s="230">
        <v>6</v>
      </c>
      <c r="U99" s="230">
        <v>0</v>
      </c>
      <c r="V99" s="374">
        <f t="shared" si="30"/>
        <v>3551</v>
      </c>
      <c r="W99" s="233">
        <v>671</v>
      </c>
      <c r="X99" s="204"/>
      <c r="Y99" s="204"/>
      <c r="Z99" s="214">
        <f t="shared" si="28"/>
        <v>10769</v>
      </c>
      <c r="AA99" s="215">
        <f t="shared" si="29"/>
        <v>7213</v>
      </c>
    </row>
    <row r="100" spans="1:27" x14ac:dyDescent="0.25">
      <c r="A100" s="136" t="s">
        <v>144</v>
      </c>
      <c r="B100" s="137" t="s">
        <v>352</v>
      </c>
      <c r="C100" s="230">
        <v>2073</v>
      </c>
      <c r="D100" s="230">
        <v>492</v>
      </c>
      <c r="E100" s="230">
        <v>830</v>
      </c>
      <c r="F100" s="230">
        <v>66</v>
      </c>
      <c r="G100" s="230">
        <v>41</v>
      </c>
      <c r="H100" s="230">
        <v>0</v>
      </c>
      <c r="I100" s="230">
        <v>0</v>
      </c>
      <c r="J100" s="230">
        <v>222</v>
      </c>
      <c r="K100" s="230">
        <v>0</v>
      </c>
      <c r="L100" s="232">
        <f t="shared" si="27"/>
        <v>3724</v>
      </c>
      <c r="M100" s="230">
        <v>877</v>
      </c>
      <c r="N100" s="230">
        <v>545</v>
      </c>
      <c r="O100" s="230">
        <v>475</v>
      </c>
      <c r="P100" s="230">
        <v>70</v>
      </c>
      <c r="Q100" s="230">
        <v>18</v>
      </c>
      <c r="R100" s="230">
        <v>0</v>
      </c>
      <c r="S100" s="230">
        <v>0</v>
      </c>
      <c r="T100" s="230">
        <v>0</v>
      </c>
      <c r="U100" s="230">
        <v>0</v>
      </c>
      <c r="V100" s="374">
        <f t="shared" si="30"/>
        <v>1985</v>
      </c>
      <c r="W100" s="233">
        <v>91</v>
      </c>
      <c r="X100" s="204"/>
      <c r="Y100" s="204"/>
      <c r="Z100" s="214">
        <f t="shared" si="28"/>
        <v>5800</v>
      </c>
      <c r="AA100" s="215">
        <f t="shared" si="29"/>
        <v>4123</v>
      </c>
    </row>
    <row r="101" spans="1:27" x14ac:dyDescent="0.25">
      <c r="A101" s="136" t="s">
        <v>176</v>
      </c>
      <c r="B101" s="137" t="s">
        <v>354</v>
      </c>
      <c r="C101" s="230">
        <v>1818</v>
      </c>
      <c r="D101" s="230">
        <v>1065</v>
      </c>
      <c r="E101" s="230">
        <v>895</v>
      </c>
      <c r="F101" s="230">
        <v>47</v>
      </c>
      <c r="G101" s="230">
        <v>49</v>
      </c>
      <c r="H101" s="230">
        <v>0</v>
      </c>
      <c r="I101" s="230">
        <v>0</v>
      </c>
      <c r="J101" s="230">
        <v>297</v>
      </c>
      <c r="K101" s="230">
        <v>1</v>
      </c>
      <c r="L101" s="232">
        <f t="shared" si="27"/>
        <v>4172</v>
      </c>
      <c r="M101" s="230">
        <v>630</v>
      </c>
      <c r="N101" s="230">
        <v>1051</v>
      </c>
      <c r="O101" s="230">
        <v>458</v>
      </c>
      <c r="P101" s="230">
        <v>33</v>
      </c>
      <c r="Q101" s="230">
        <v>26</v>
      </c>
      <c r="R101" s="230">
        <v>0</v>
      </c>
      <c r="S101" s="230">
        <v>0</v>
      </c>
      <c r="T101" s="230">
        <v>0</v>
      </c>
      <c r="U101" s="230">
        <v>0</v>
      </c>
      <c r="V101" s="374">
        <f t="shared" si="30"/>
        <v>2198</v>
      </c>
      <c r="W101" s="233">
        <v>152</v>
      </c>
      <c r="X101" s="204"/>
      <c r="Y101" s="204"/>
      <c r="Z101" s="214">
        <f t="shared" si="28"/>
        <v>6522</v>
      </c>
      <c r="AA101" s="215">
        <f t="shared" si="29"/>
        <v>4645</v>
      </c>
    </row>
    <row r="102" spans="1:27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27"/>
        <v>0</v>
      </c>
      <c r="M102" s="147"/>
      <c r="N102" s="147"/>
      <c r="O102" s="147"/>
      <c r="P102" s="147"/>
      <c r="Q102" s="147"/>
      <c r="R102" s="147"/>
      <c r="S102" s="147"/>
      <c r="T102" s="147"/>
      <c r="U102" s="147"/>
      <c r="V102" s="374">
        <f t="shared" si="30"/>
        <v>0</v>
      </c>
      <c r="W102" s="204">
        <f>0+2687+2722+2720+10086+10101+3359+3171+2697</f>
        <v>37543</v>
      </c>
      <c r="X102" s="204"/>
      <c r="Y102" s="204"/>
      <c r="Z102" s="214">
        <f t="shared" si="28"/>
        <v>37543</v>
      </c>
      <c r="AA102" s="215">
        <f t="shared" si="29"/>
        <v>0</v>
      </c>
    </row>
    <row r="103" spans="1:27" x14ac:dyDescent="0.25">
      <c r="A103" s="136" t="s">
        <v>177</v>
      </c>
      <c r="B103" s="137" t="s">
        <v>302</v>
      </c>
      <c r="C103" s="230">
        <v>14887</v>
      </c>
      <c r="D103" s="230">
        <v>9074</v>
      </c>
      <c r="E103" s="230">
        <v>9003</v>
      </c>
      <c r="F103" s="230">
        <v>100</v>
      </c>
      <c r="G103" s="230">
        <v>230</v>
      </c>
      <c r="H103" s="230">
        <v>0</v>
      </c>
      <c r="I103" s="230">
        <v>9</v>
      </c>
      <c r="J103" s="230">
        <v>574</v>
      </c>
      <c r="K103" s="230">
        <v>0</v>
      </c>
      <c r="L103" s="232">
        <f t="shared" si="27"/>
        <v>33877</v>
      </c>
      <c r="M103" s="230">
        <v>1383</v>
      </c>
      <c r="N103" s="230">
        <v>3770</v>
      </c>
      <c r="O103" s="230">
        <v>1708</v>
      </c>
      <c r="P103" s="230">
        <v>32</v>
      </c>
      <c r="Q103" s="230">
        <v>85</v>
      </c>
      <c r="R103" s="230">
        <v>29</v>
      </c>
      <c r="S103" s="230">
        <v>0</v>
      </c>
      <c r="T103" s="230">
        <v>130</v>
      </c>
      <c r="U103" s="391"/>
      <c r="V103" s="229">
        <f t="shared" ref="V103:V105" si="31">SUM(M103:U103)</f>
        <v>7137</v>
      </c>
      <c r="W103" s="204">
        <v>954</v>
      </c>
      <c r="X103" s="204"/>
      <c r="Y103" s="204"/>
      <c r="Z103" s="214">
        <f t="shared" si="28"/>
        <v>41968</v>
      </c>
      <c r="AA103" s="215">
        <f t="shared" si="29"/>
        <v>29246</v>
      </c>
    </row>
    <row r="104" spans="1:27" x14ac:dyDescent="0.25">
      <c r="A104" s="136" t="s">
        <v>178</v>
      </c>
      <c r="B104" s="137" t="s">
        <v>304</v>
      </c>
      <c r="C104" s="230">
        <v>5891</v>
      </c>
      <c r="D104" s="230">
        <v>2831</v>
      </c>
      <c r="E104" s="230">
        <v>3643</v>
      </c>
      <c r="F104" s="230">
        <v>132</v>
      </c>
      <c r="G104" s="230">
        <v>37</v>
      </c>
      <c r="H104" s="230">
        <v>23</v>
      </c>
      <c r="I104" s="230">
        <v>8</v>
      </c>
      <c r="J104" s="230">
        <v>362</v>
      </c>
      <c r="K104" s="230">
        <v>0</v>
      </c>
      <c r="L104" s="232">
        <f t="shared" si="27"/>
        <v>12927</v>
      </c>
      <c r="M104" s="230">
        <v>683</v>
      </c>
      <c r="N104" s="230">
        <v>1968</v>
      </c>
      <c r="O104" s="230">
        <v>1080</v>
      </c>
      <c r="P104" s="230">
        <v>16</v>
      </c>
      <c r="Q104" s="230">
        <v>28</v>
      </c>
      <c r="R104" s="230">
        <v>0</v>
      </c>
      <c r="S104" s="230">
        <v>0</v>
      </c>
      <c r="T104" s="230">
        <v>0</v>
      </c>
      <c r="U104" s="391"/>
      <c r="V104" s="229">
        <f t="shared" si="31"/>
        <v>3775</v>
      </c>
      <c r="W104" s="209">
        <v>1063</v>
      </c>
      <c r="X104" s="209"/>
      <c r="Y104" s="209"/>
      <c r="Z104" s="214">
        <f t="shared" si="28"/>
        <v>17765</v>
      </c>
      <c r="AA104" s="217">
        <f>C104+D104+F104+K104+M104+N104+P104+U104</f>
        <v>11521</v>
      </c>
    </row>
    <row r="105" spans="1:27" ht="13.8" thickBot="1" x14ac:dyDescent="0.3">
      <c r="A105" s="136" t="s">
        <v>190</v>
      </c>
      <c r="B105" s="143" t="s">
        <v>364</v>
      </c>
      <c r="C105" s="265">
        <v>6221</v>
      </c>
      <c r="D105" s="265">
        <v>2573</v>
      </c>
      <c r="E105" s="265">
        <v>2964</v>
      </c>
      <c r="F105" s="265">
        <v>80</v>
      </c>
      <c r="G105" s="265">
        <v>125</v>
      </c>
      <c r="H105" s="265">
        <v>131</v>
      </c>
      <c r="I105" s="265">
        <v>77</v>
      </c>
      <c r="J105" s="265">
        <v>571</v>
      </c>
      <c r="K105" s="265">
        <v>0</v>
      </c>
      <c r="L105" s="239">
        <f t="shared" si="27"/>
        <v>12742</v>
      </c>
      <c r="M105" s="230">
        <v>1799</v>
      </c>
      <c r="N105" s="230">
        <v>3577</v>
      </c>
      <c r="O105" s="230">
        <v>2254</v>
      </c>
      <c r="P105" s="230">
        <v>78</v>
      </c>
      <c r="Q105" s="230">
        <v>47</v>
      </c>
      <c r="R105" s="230">
        <v>0</v>
      </c>
      <c r="S105" s="230">
        <v>0</v>
      </c>
      <c r="T105" s="230">
        <v>4</v>
      </c>
      <c r="U105" s="391"/>
      <c r="V105" s="361">
        <f t="shared" si="31"/>
        <v>7759</v>
      </c>
      <c r="W105" s="209">
        <v>1166</v>
      </c>
      <c r="X105" s="209"/>
      <c r="Y105" s="209"/>
      <c r="Z105" s="214">
        <f t="shared" si="28"/>
        <v>21667</v>
      </c>
      <c r="AA105" s="217">
        <f>C105+D105+F105+K105+M105+N105+P105+U105</f>
        <v>14328</v>
      </c>
    </row>
    <row r="106" spans="1:27" s="109" customFormat="1" ht="14.4" thickBot="1" x14ac:dyDescent="0.3">
      <c r="A106" s="134"/>
      <c r="B106" s="159" t="s">
        <v>462</v>
      </c>
      <c r="C106" s="258">
        <f t="shared" ref="C106:AA106" si="32">SUM(C90:C105)</f>
        <v>57599</v>
      </c>
      <c r="D106" s="157">
        <f t="shared" si="32"/>
        <v>30133</v>
      </c>
      <c r="E106" s="157">
        <f t="shared" si="32"/>
        <v>29889</v>
      </c>
      <c r="F106" s="157">
        <f t="shared" si="32"/>
        <v>976</v>
      </c>
      <c r="G106" s="157">
        <f t="shared" si="32"/>
        <v>1296</v>
      </c>
      <c r="H106" s="157">
        <f t="shared" si="32"/>
        <v>398</v>
      </c>
      <c r="I106" s="157">
        <f t="shared" si="32"/>
        <v>213</v>
      </c>
      <c r="J106" s="157">
        <f t="shared" si="32"/>
        <v>4580</v>
      </c>
      <c r="K106" s="166">
        <f t="shared" si="32"/>
        <v>5</v>
      </c>
      <c r="L106" s="263">
        <f t="shared" ref="L106" si="33">SUM(L90:L105)</f>
        <v>125089</v>
      </c>
      <c r="M106" s="530">
        <f t="shared" si="32"/>
        <v>12160</v>
      </c>
      <c r="N106" s="331">
        <f t="shared" si="32"/>
        <v>22245</v>
      </c>
      <c r="O106" s="331">
        <f t="shared" si="32"/>
        <v>12252</v>
      </c>
      <c r="P106" s="331">
        <f t="shared" si="32"/>
        <v>535</v>
      </c>
      <c r="Q106" s="331">
        <f t="shared" si="32"/>
        <v>654</v>
      </c>
      <c r="R106" s="331">
        <f t="shared" si="32"/>
        <v>129</v>
      </c>
      <c r="S106" s="331">
        <f t="shared" si="32"/>
        <v>14</v>
      </c>
      <c r="T106" s="331">
        <f t="shared" si="32"/>
        <v>774</v>
      </c>
      <c r="U106" s="331">
        <f t="shared" si="32"/>
        <v>0</v>
      </c>
      <c r="V106" s="201">
        <f t="shared" si="32"/>
        <v>48763</v>
      </c>
      <c r="W106" s="210">
        <f t="shared" si="32"/>
        <v>49658</v>
      </c>
      <c r="X106" s="210">
        <f>SUM(X90:X105)</f>
        <v>0</v>
      </c>
      <c r="Y106" s="210">
        <f>SUM(Y90:Y105)</f>
        <v>0</v>
      </c>
      <c r="Z106" s="210">
        <f t="shared" si="32"/>
        <v>223510</v>
      </c>
      <c r="AA106" s="210">
        <f t="shared" si="32"/>
        <v>123653</v>
      </c>
    </row>
    <row r="107" spans="1:27" ht="18" thickBot="1" x14ac:dyDescent="0.35">
      <c r="A107" s="135"/>
      <c r="B107" s="169" t="s">
        <v>463</v>
      </c>
      <c r="C107" s="186">
        <f t="shared" ref="C107:AA107" si="34">C106+C89+C72+C55+C37+C23</f>
        <v>271719</v>
      </c>
      <c r="D107" s="162">
        <f t="shared" si="34"/>
        <v>113988</v>
      </c>
      <c r="E107" s="162">
        <f t="shared" si="34"/>
        <v>124734</v>
      </c>
      <c r="F107" s="162">
        <f t="shared" si="34"/>
        <v>4896</v>
      </c>
      <c r="G107" s="162">
        <f t="shared" si="34"/>
        <v>6332</v>
      </c>
      <c r="H107" s="162">
        <f t="shared" si="34"/>
        <v>1337</v>
      </c>
      <c r="I107" s="162">
        <f t="shared" si="34"/>
        <v>2058</v>
      </c>
      <c r="J107" s="162">
        <f t="shared" si="34"/>
        <v>57774</v>
      </c>
      <c r="K107" s="163">
        <f t="shared" si="34"/>
        <v>1110</v>
      </c>
      <c r="L107" s="187">
        <f t="shared" si="34"/>
        <v>583948</v>
      </c>
      <c r="M107" s="186">
        <f t="shared" si="34"/>
        <v>72241</v>
      </c>
      <c r="N107" s="162">
        <f t="shared" si="34"/>
        <v>119516</v>
      </c>
      <c r="O107" s="162">
        <f t="shared" si="34"/>
        <v>69121</v>
      </c>
      <c r="P107" s="162">
        <f t="shared" si="34"/>
        <v>2827</v>
      </c>
      <c r="Q107" s="162">
        <f t="shared" si="34"/>
        <v>3846</v>
      </c>
      <c r="R107" s="162">
        <f t="shared" si="34"/>
        <v>1473</v>
      </c>
      <c r="S107" s="162">
        <f t="shared" si="34"/>
        <v>140</v>
      </c>
      <c r="T107" s="162">
        <f t="shared" si="34"/>
        <v>5555</v>
      </c>
      <c r="U107" s="163">
        <f t="shared" si="34"/>
        <v>151</v>
      </c>
      <c r="V107" s="187">
        <f t="shared" si="34"/>
        <v>274870</v>
      </c>
      <c r="W107" s="212">
        <f t="shared" si="34"/>
        <v>164091</v>
      </c>
      <c r="X107" s="212">
        <f t="shared" si="34"/>
        <v>317</v>
      </c>
      <c r="Y107" s="212">
        <f t="shared" si="34"/>
        <v>101</v>
      </c>
      <c r="Z107" s="212">
        <f t="shared" si="34"/>
        <v>1023327</v>
      </c>
      <c r="AA107" s="212">
        <f t="shared" si="34"/>
        <v>586448</v>
      </c>
    </row>
    <row r="109" spans="1:27" x14ac:dyDescent="0.25">
      <c r="C109" s="384"/>
      <c r="D109" s="384"/>
      <c r="E109" s="384"/>
      <c r="F109" s="384"/>
      <c r="G109" s="384"/>
      <c r="H109" s="384"/>
      <c r="I109" s="384"/>
      <c r="J109" s="384"/>
      <c r="K109" s="384"/>
    </row>
    <row r="110" spans="1:27" x14ac:dyDescent="0.25">
      <c r="C110" s="384"/>
      <c r="D110" s="384"/>
      <c r="E110" s="384"/>
      <c r="F110" s="384"/>
      <c r="G110" s="384"/>
      <c r="H110" s="384"/>
      <c r="I110" s="384"/>
      <c r="J110" s="384"/>
      <c r="K110" s="384"/>
    </row>
    <row r="111" spans="1:27" x14ac:dyDescent="0.25">
      <c r="C111" s="122"/>
      <c r="D111" s="392"/>
    </row>
    <row r="118" spans="3:11" x14ac:dyDescent="0.25">
      <c r="C118" s="384"/>
      <c r="D118" s="384"/>
      <c r="E118" s="384"/>
      <c r="F118" s="384"/>
      <c r="G118" s="384"/>
      <c r="H118" s="384"/>
      <c r="I118" s="384"/>
      <c r="J118" s="384"/>
      <c r="K118" s="384"/>
    </row>
  </sheetData>
  <mergeCells count="5">
    <mergeCell ref="B1:B3"/>
    <mergeCell ref="C4:L4"/>
    <mergeCell ref="M4:V4"/>
    <mergeCell ref="C1:Z1"/>
    <mergeCell ref="C2:Z2"/>
  </mergeCells>
  <conditionalFormatting sqref="W24:Y36 W38:Y54 W56:Y71 W73:Y88 W6:Y22">
    <cfRule type="cellIs" dxfId="17" priority="1" stopIfTrue="1" operator="notBetween">
      <formula>-2000</formula>
      <formula>2000</formula>
    </cfRule>
  </conditionalFormatting>
  <conditionalFormatting sqref="V3">
    <cfRule type="cellIs" dxfId="16" priority="4" stopIfTrue="1" operator="greaterThan">
      <formula>10</formula>
    </cfRule>
    <cfRule type="cellIs" dxfId="15" priority="5" stopIfTrue="1" operator="lessThan">
      <formula>10</formula>
    </cfRule>
  </conditionalFormatting>
  <conditionalFormatting sqref="W90:Y105">
    <cfRule type="cellIs" dxfId="14" priority="3" stopIfTrue="1" operator="notBetween">
      <formula>-2000</formula>
      <formula>2000</formula>
    </cfRule>
  </conditionalFormatting>
  <conditionalFormatting sqref="W18:Y18">
    <cfRule type="cellIs" dxfId="13" priority="2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7" fitToHeight="4" orientation="landscape" r:id="rId1"/>
  <headerFooter alignWithMargins="0">
    <oddFooter xml:space="preserve">&amp;L&amp;8&amp;Z&amp;F&amp;A&amp;10
</oddFooter>
  </headerFooter>
  <ignoredErrors>
    <ignoredError sqref="L23 L106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pageSetUpPr fitToPage="1"/>
  </sheetPr>
  <dimension ref="A1:AC107"/>
  <sheetViews>
    <sheetView showZeros="0" zoomScale="82" zoomScaleNormal="82" zoomScaleSheetLayoutView="50" workbookViewId="0">
      <pane xSplit="2" ySplit="5" topLeftCell="U93" activePane="bottomRight" state="frozen"/>
      <selection activeCell="R34" sqref="R34"/>
      <selection pane="topRight" activeCell="R34" sqref="R34"/>
      <selection pane="bottomLeft" activeCell="R34" sqref="R34"/>
      <selection pane="bottomRight" activeCell="Z99" sqref="Z99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</cols>
  <sheetData>
    <row r="1" spans="1:29" s="111" customFormat="1" ht="22.8" x14ac:dyDescent="0.35">
      <c r="B1" s="544"/>
      <c r="C1" s="546" t="s">
        <v>263</v>
      </c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6"/>
      <c r="S1" s="546"/>
      <c r="T1" s="546"/>
      <c r="U1" s="546"/>
      <c r="V1" s="546"/>
      <c r="W1" s="546"/>
      <c r="X1" s="546"/>
      <c r="Y1" s="546"/>
      <c r="Z1" s="546"/>
      <c r="AC1"/>
    </row>
    <row r="2" spans="1:29" s="111" customFormat="1" ht="22.8" x14ac:dyDescent="0.35">
      <c r="B2" s="544"/>
      <c r="C2" s="550"/>
      <c r="D2" s="550"/>
      <c r="E2" s="550"/>
      <c r="F2" s="550"/>
      <c r="G2" s="550"/>
      <c r="H2" s="550"/>
      <c r="I2" s="550"/>
      <c r="J2" s="550"/>
      <c r="K2" s="550"/>
      <c r="L2" s="550"/>
      <c r="M2" s="550"/>
      <c r="N2" s="550"/>
      <c r="O2" s="550"/>
      <c r="P2" s="550"/>
      <c r="Q2" s="550"/>
      <c r="R2" s="550"/>
      <c r="S2" s="550"/>
      <c r="T2" s="550"/>
      <c r="U2" s="550"/>
      <c r="V2" s="550"/>
      <c r="W2" s="550"/>
      <c r="X2" s="550"/>
      <c r="Y2" s="550"/>
      <c r="Z2" s="550"/>
      <c r="AC2"/>
    </row>
    <row r="3" spans="1:29" s="111" customFormat="1" ht="21" thickBot="1" x14ac:dyDescent="0.4">
      <c r="B3" s="545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C3"/>
    </row>
    <row r="4" spans="1:29" ht="21" customHeight="1" thickTop="1" thickBot="1" x14ac:dyDescent="0.3">
      <c r="A4" s="145"/>
      <c r="B4" s="167"/>
      <c r="C4" s="547" t="s">
        <v>253</v>
      </c>
      <c r="D4" s="548"/>
      <c r="E4" s="548"/>
      <c r="F4" s="548"/>
      <c r="G4" s="548"/>
      <c r="H4" s="548"/>
      <c r="I4" s="548"/>
      <c r="J4" s="548"/>
      <c r="K4" s="548"/>
      <c r="L4" s="549"/>
      <c r="M4" s="547" t="s">
        <v>262</v>
      </c>
      <c r="N4" s="548"/>
      <c r="O4" s="548"/>
      <c r="P4" s="548"/>
      <c r="Q4" s="548"/>
      <c r="R4" s="548"/>
      <c r="S4" s="548"/>
      <c r="T4" s="548"/>
      <c r="U4" s="548"/>
      <c r="V4" s="549"/>
      <c r="W4" s="202"/>
      <c r="X4" s="202"/>
      <c r="Y4" s="272" t="s">
        <v>472</v>
      </c>
      <c r="Z4" s="202"/>
      <c r="AA4" s="202"/>
    </row>
    <row r="5" spans="1:29" ht="45" customHeight="1" thickBot="1" x14ac:dyDescent="0.3">
      <c r="A5" s="146" t="s">
        <v>360</v>
      </c>
      <c r="B5" s="168" t="s">
        <v>456</v>
      </c>
      <c r="C5" s="315" t="s">
        <v>254</v>
      </c>
      <c r="D5" s="316" t="s">
        <v>219</v>
      </c>
      <c r="E5" s="317" t="s">
        <v>255</v>
      </c>
      <c r="F5" s="318" t="s">
        <v>256</v>
      </c>
      <c r="G5" s="318" t="s">
        <v>257</v>
      </c>
      <c r="H5" s="318" t="s">
        <v>258</v>
      </c>
      <c r="I5" s="318" t="s">
        <v>259</v>
      </c>
      <c r="J5" s="318" t="s">
        <v>260</v>
      </c>
      <c r="K5" s="319" t="s">
        <v>261</v>
      </c>
      <c r="L5" s="171" t="s">
        <v>208</v>
      </c>
      <c r="M5" s="194" t="s">
        <v>254</v>
      </c>
      <c r="N5" s="149" t="s">
        <v>219</v>
      </c>
      <c r="O5" s="150" t="s">
        <v>255</v>
      </c>
      <c r="P5" s="151" t="s">
        <v>256</v>
      </c>
      <c r="Q5" s="151" t="s">
        <v>257</v>
      </c>
      <c r="R5" s="151" t="s">
        <v>258</v>
      </c>
      <c r="S5" s="151" t="s">
        <v>259</v>
      </c>
      <c r="T5" s="151" t="s">
        <v>260</v>
      </c>
      <c r="U5" s="152" t="s">
        <v>261</v>
      </c>
      <c r="V5" s="171" t="s">
        <v>208</v>
      </c>
      <c r="W5" s="203" t="s">
        <v>266</v>
      </c>
      <c r="X5" s="203" t="s">
        <v>475</v>
      </c>
      <c r="Y5" s="203" t="s">
        <v>474</v>
      </c>
      <c r="Z5" s="213" t="s">
        <v>264</v>
      </c>
      <c r="AA5" s="213" t="s">
        <v>267</v>
      </c>
    </row>
    <row r="6" spans="1:29" ht="12.75" customHeight="1" x14ac:dyDescent="0.25">
      <c r="A6" s="136" t="s">
        <v>68</v>
      </c>
      <c r="B6" s="139" t="s">
        <v>268</v>
      </c>
      <c r="C6" s="230">
        <v>32</v>
      </c>
      <c r="D6" s="230">
        <v>132</v>
      </c>
      <c r="E6" s="230">
        <v>26</v>
      </c>
      <c r="F6" s="230">
        <v>3</v>
      </c>
      <c r="G6" s="230">
        <v>3</v>
      </c>
      <c r="H6" s="230">
        <v>0</v>
      </c>
      <c r="I6" s="230">
        <v>0</v>
      </c>
      <c r="J6" s="230">
        <v>53</v>
      </c>
      <c r="K6" s="230">
        <v>0</v>
      </c>
      <c r="L6" s="532">
        <f>SUM(C6:K6)</f>
        <v>249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188"/>
      <c r="V6" s="176">
        <f>SUM(M6:U6)</f>
        <v>0</v>
      </c>
      <c r="W6" s="204">
        <v>1253</v>
      </c>
      <c r="X6" s="204"/>
      <c r="Y6" s="204"/>
      <c r="Z6" s="214">
        <f>L6+V6+W6+X6+Y6</f>
        <v>1502</v>
      </c>
      <c r="AA6" s="215">
        <f>C6+D6+F6+K6+M6+N6+P6+U6</f>
        <v>167</v>
      </c>
    </row>
    <row r="7" spans="1:29" x14ac:dyDescent="0.25">
      <c r="A7" s="136" t="s">
        <v>69</v>
      </c>
      <c r="B7" s="137" t="s">
        <v>269</v>
      </c>
      <c r="C7" s="230">
        <v>112</v>
      </c>
      <c r="D7" s="230">
        <v>50</v>
      </c>
      <c r="E7" s="230">
        <v>6</v>
      </c>
      <c r="F7" s="230">
        <v>3</v>
      </c>
      <c r="G7" s="230">
        <v>6</v>
      </c>
      <c r="H7" s="230">
        <v>0</v>
      </c>
      <c r="I7" s="230">
        <v>0</v>
      </c>
      <c r="J7" s="230">
        <v>260</v>
      </c>
      <c r="K7" s="230">
        <v>0</v>
      </c>
      <c r="L7" s="234">
        <f t="shared" ref="L7:L22" si="0">SUM(C7:K7)</f>
        <v>437</v>
      </c>
      <c r="M7" s="230">
        <v>5</v>
      </c>
      <c r="N7" s="230">
        <v>11</v>
      </c>
      <c r="O7" s="230">
        <v>0</v>
      </c>
      <c r="P7" s="230">
        <v>0</v>
      </c>
      <c r="Q7" s="230">
        <v>0</v>
      </c>
      <c r="R7" s="230">
        <v>0</v>
      </c>
      <c r="S7" s="230">
        <v>0</v>
      </c>
      <c r="T7" s="230">
        <v>4</v>
      </c>
      <c r="U7" s="189"/>
      <c r="V7" s="176">
        <f>SUM(M7:U7)</f>
        <v>20</v>
      </c>
      <c r="W7" s="205"/>
      <c r="X7" s="204">
        <v>502</v>
      </c>
      <c r="Y7" s="204">
        <v>84</v>
      </c>
      <c r="Z7" s="214">
        <f t="shared" ref="Z7:Z22" si="1">L7+V7+W7+X7+Y7</f>
        <v>1043</v>
      </c>
      <c r="AA7" s="215">
        <f>C7+D7+F7+K7+M7+N7+P7+U7</f>
        <v>181</v>
      </c>
    </row>
    <row r="8" spans="1:29" x14ac:dyDescent="0.25">
      <c r="A8" s="136" t="s">
        <v>73</v>
      </c>
      <c r="B8" s="137" t="s">
        <v>270</v>
      </c>
      <c r="C8" s="230">
        <v>6</v>
      </c>
      <c r="D8" s="230">
        <v>4</v>
      </c>
      <c r="E8" s="230">
        <v>0</v>
      </c>
      <c r="F8" s="230">
        <v>0</v>
      </c>
      <c r="G8" s="230">
        <v>0</v>
      </c>
      <c r="H8" s="230">
        <v>0</v>
      </c>
      <c r="I8" s="230">
        <v>0</v>
      </c>
      <c r="J8" s="230">
        <v>0</v>
      </c>
      <c r="K8" s="230">
        <v>0</v>
      </c>
      <c r="L8" s="232">
        <f t="shared" si="0"/>
        <v>10</v>
      </c>
      <c r="M8" s="230">
        <v>34</v>
      </c>
      <c r="N8" s="230">
        <v>23</v>
      </c>
      <c r="O8" s="230">
        <v>0</v>
      </c>
      <c r="P8" s="230">
        <v>0</v>
      </c>
      <c r="Q8" s="230">
        <v>2</v>
      </c>
      <c r="R8" s="230">
        <v>0</v>
      </c>
      <c r="S8" s="230">
        <v>1</v>
      </c>
      <c r="T8" s="230">
        <v>13</v>
      </c>
      <c r="U8" s="189"/>
      <c r="V8" s="176">
        <f>SUM(M8:U8)</f>
        <v>73</v>
      </c>
      <c r="W8" s="205"/>
      <c r="X8" s="204"/>
      <c r="Y8" s="204"/>
      <c r="Z8" s="214">
        <f t="shared" si="1"/>
        <v>83</v>
      </c>
      <c r="AA8" s="215">
        <f>C8+D8+F8+K8+M8+N8+P8+U8</f>
        <v>67</v>
      </c>
    </row>
    <row r="9" spans="1:29" x14ac:dyDescent="0.25">
      <c r="A9" s="136" t="s">
        <v>74</v>
      </c>
      <c r="B9" s="137" t="s">
        <v>358</v>
      </c>
      <c r="C9" s="128"/>
      <c r="D9" s="128"/>
      <c r="E9" s="128"/>
      <c r="F9" s="128"/>
      <c r="G9" s="128"/>
      <c r="H9" s="128"/>
      <c r="I9" s="128"/>
      <c r="J9" s="128"/>
      <c r="K9" s="128"/>
      <c r="L9" s="232">
        <f t="shared" si="0"/>
        <v>0</v>
      </c>
      <c r="M9" s="147"/>
      <c r="N9" s="147"/>
      <c r="O9" s="147"/>
      <c r="P9" s="147"/>
      <c r="Q9" s="147"/>
      <c r="R9" s="147"/>
      <c r="S9" s="147"/>
      <c r="T9" s="147"/>
      <c r="U9" s="189"/>
      <c r="V9" s="176">
        <f>SUM(M9:U9)</f>
        <v>0</v>
      </c>
      <c r="W9" s="204">
        <v>13668</v>
      </c>
      <c r="X9" s="204"/>
      <c r="Y9" s="204"/>
      <c r="Z9" s="214">
        <f t="shared" si="1"/>
        <v>13668</v>
      </c>
      <c r="AA9" s="215">
        <f>C9+D9+F9+K9+M9+N9+P9+U9</f>
        <v>0</v>
      </c>
    </row>
    <row r="10" spans="1:29" x14ac:dyDescent="0.25">
      <c r="A10" s="136" t="s">
        <v>94</v>
      </c>
      <c r="B10" s="137" t="s">
        <v>271</v>
      </c>
      <c r="C10" s="230">
        <v>639</v>
      </c>
      <c r="D10" s="230">
        <v>537</v>
      </c>
      <c r="E10" s="230">
        <v>110</v>
      </c>
      <c r="F10" s="230">
        <v>90</v>
      </c>
      <c r="G10" s="230">
        <v>30</v>
      </c>
      <c r="H10" s="230">
        <v>0</v>
      </c>
      <c r="I10" s="230">
        <v>0</v>
      </c>
      <c r="J10" s="230">
        <v>70</v>
      </c>
      <c r="K10" s="230">
        <v>21</v>
      </c>
      <c r="L10" s="232">
        <f t="shared" si="0"/>
        <v>1497</v>
      </c>
      <c r="M10" s="230">
        <v>653</v>
      </c>
      <c r="N10" s="230">
        <v>2454</v>
      </c>
      <c r="O10" s="230">
        <v>544</v>
      </c>
      <c r="P10" s="230">
        <v>127</v>
      </c>
      <c r="Q10" s="230">
        <v>84</v>
      </c>
      <c r="R10" s="230">
        <v>128</v>
      </c>
      <c r="S10" s="230">
        <v>0</v>
      </c>
      <c r="T10" s="230">
        <v>2</v>
      </c>
      <c r="U10" s="189"/>
      <c r="V10" s="176">
        <f t="shared" ref="V10:V22" si="2">SUM(M10:U10)</f>
        <v>3992</v>
      </c>
      <c r="W10" s="204">
        <v>1581</v>
      </c>
      <c r="X10" s="204"/>
      <c r="Y10" s="204"/>
      <c r="Z10" s="214">
        <f t="shared" si="1"/>
        <v>7070</v>
      </c>
      <c r="AA10" s="215">
        <f t="shared" ref="AA10:AA22" si="3">C10+D10+F10+K10+M10+N10+P10+U10</f>
        <v>4521</v>
      </c>
    </row>
    <row r="11" spans="1:29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5</v>
      </c>
      <c r="F11" s="230">
        <v>0</v>
      </c>
      <c r="G11" s="230">
        <v>0</v>
      </c>
      <c r="H11" s="230">
        <v>0</v>
      </c>
      <c r="I11" s="230">
        <v>0</v>
      </c>
      <c r="J11" s="230">
        <v>61</v>
      </c>
      <c r="K11" s="230">
        <v>0</v>
      </c>
      <c r="L11" s="232">
        <f t="shared" si="0"/>
        <v>66</v>
      </c>
      <c r="M11" s="147"/>
      <c r="N11" s="147"/>
      <c r="O11" s="147"/>
      <c r="P11" s="147"/>
      <c r="Q11" s="147"/>
      <c r="R11" s="147"/>
      <c r="S11" s="147"/>
      <c r="T11" s="147"/>
      <c r="U11" s="189"/>
      <c r="V11" s="176">
        <f t="shared" si="2"/>
        <v>0</v>
      </c>
      <c r="W11" s="205"/>
      <c r="X11" s="204"/>
      <c r="Y11" s="204"/>
      <c r="Z11" s="214">
        <f t="shared" si="1"/>
        <v>66</v>
      </c>
      <c r="AA11" s="215">
        <f t="shared" si="3"/>
        <v>0</v>
      </c>
    </row>
    <row r="12" spans="1:29" x14ac:dyDescent="0.25">
      <c r="A12" s="136" t="s">
        <v>361</v>
      </c>
      <c r="B12" s="137" t="s">
        <v>355</v>
      </c>
      <c r="C12" s="128"/>
      <c r="D12" s="128"/>
      <c r="E12" s="128"/>
      <c r="F12" s="128"/>
      <c r="G12" s="128"/>
      <c r="H12" s="128"/>
      <c r="I12" s="128"/>
      <c r="J12" s="128"/>
      <c r="K12" s="128"/>
      <c r="L12" s="232">
        <f t="shared" si="0"/>
        <v>0</v>
      </c>
      <c r="M12" s="230">
        <v>0</v>
      </c>
      <c r="N12" s="230">
        <v>0</v>
      </c>
      <c r="O12" s="230">
        <v>10</v>
      </c>
      <c r="P12" s="230">
        <v>0</v>
      </c>
      <c r="Q12" s="230">
        <v>0</v>
      </c>
      <c r="R12" s="230">
        <v>0</v>
      </c>
      <c r="S12" s="230">
        <v>0</v>
      </c>
      <c r="T12" s="230">
        <v>70</v>
      </c>
      <c r="U12" s="189"/>
      <c r="V12" s="176">
        <f t="shared" si="2"/>
        <v>80</v>
      </c>
      <c r="W12" s="205"/>
      <c r="X12" s="204">
        <v>146</v>
      </c>
      <c r="Y12" s="204">
        <v>36</v>
      </c>
      <c r="Z12" s="214">
        <f t="shared" si="1"/>
        <v>262</v>
      </c>
      <c r="AA12" s="215">
        <f t="shared" si="3"/>
        <v>0</v>
      </c>
    </row>
    <row r="13" spans="1:29" x14ac:dyDescent="0.25">
      <c r="A13" s="136" t="s">
        <v>106</v>
      </c>
      <c r="B13" s="137" t="s">
        <v>273</v>
      </c>
      <c r="C13" s="230">
        <v>96</v>
      </c>
      <c r="D13" s="230">
        <v>23</v>
      </c>
      <c r="E13" s="230">
        <v>31</v>
      </c>
      <c r="F13" s="230">
        <v>5</v>
      </c>
      <c r="G13" s="230">
        <v>0</v>
      </c>
      <c r="H13" s="230">
        <v>0</v>
      </c>
      <c r="I13" s="230">
        <v>0</v>
      </c>
      <c r="J13" s="230">
        <v>21</v>
      </c>
      <c r="K13" s="340">
        <v>0</v>
      </c>
      <c r="L13" s="232">
        <f t="shared" si="0"/>
        <v>176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189"/>
      <c r="V13" s="176">
        <f t="shared" si="2"/>
        <v>0</v>
      </c>
      <c r="W13" s="205"/>
      <c r="X13" s="204"/>
      <c r="Y13" s="204"/>
      <c r="Z13" s="214">
        <f t="shared" si="1"/>
        <v>176</v>
      </c>
      <c r="AA13" s="215">
        <f t="shared" si="3"/>
        <v>124</v>
      </c>
    </row>
    <row r="14" spans="1:29" x14ac:dyDescent="0.25">
      <c r="A14" s="136" t="s">
        <v>110</v>
      </c>
      <c r="B14" s="137" t="s">
        <v>274</v>
      </c>
      <c r="C14" s="230">
        <v>2966</v>
      </c>
      <c r="D14" s="230">
        <v>1006</v>
      </c>
      <c r="E14" s="230">
        <v>549</v>
      </c>
      <c r="F14" s="230">
        <v>26</v>
      </c>
      <c r="G14" s="230">
        <v>82</v>
      </c>
      <c r="H14" s="230">
        <v>0</v>
      </c>
      <c r="I14" s="230">
        <v>0</v>
      </c>
      <c r="J14" s="230">
        <v>39</v>
      </c>
      <c r="K14" s="340">
        <v>0</v>
      </c>
      <c r="L14" s="232">
        <f t="shared" si="0"/>
        <v>4668</v>
      </c>
      <c r="M14" s="230">
        <v>45</v>
      </c>
      <c r="N14" s="230">
        <v>17</v>
      </c>
      <c r="O14" s="230">
        <v>10</v>
      </c>
      <c r="P14" s="230">
        <v>0</v>
      </c>
      <c r="Q14" s="230">
        <v>0</v>
      </c>
      <c r="R14" s="230">
        <v>0</v>
      </c>
      <c r="S14" s="230">
        <v>0</v>
      </c>
      <c r="T14" s="230">
        <v>1</v>
      </c>
      <c r="U14" s="189"/>
      <c r="V14" s="176">
        <f t="shared" si="2"/>
        <v>73</v>
      </c>
      <c r="W14" s="205"/>
      <c r="X14" s="204"/>
      <c r="Y14" s="204"/>
      <c r="Z14" s="214">
        <f t="shared" si="1"/>
        <v>4741</v>
      </c>
      <c r="AA14" s="215">
        <f t="shared" si="3"/>
        <v>4060</v>
      </c>
    </row>
    <row r="15" spans="1:29" x14ac:dyDescent="0.25">
      <c r="A15" s="136" t="s">
        <v>119</v>
      </c>
      <c r="B15" s="137" t="s">
        <v>275</v>
      </c>
      <c r="C15" s="230">
        <v>954</v>
      </c>
      <c r="D15" s="230">
        <v>270</v>
      </c>
      <c r="E15" s="230">
        <v>267</v>
      </c>
      <c r="F15" s="230">
        <v>18</v>
      </c>
      <c r="G15" s="230">
        <v>36</v>
      </c>
      <c r="H15" s="230">
        <v>0</v>
      </c>
      <c r="I15" s="230">
        <v>0</v>
      </c>
      <c r="J15" s="230">
        <v>29</v>
      </c>
      <c r="K15" s="340">
        <v>0</v>
      </c>
      <c r="L15" s="232">
        <f t="shared" si="0"/>
        <v>1574</v>
      </c>
      <c r="M15" s="230">
        <v>67</v>
      </c>
      <c r="N15" s="230">
        <v>41</v>
      </c>
      <c r="O15" s="230">
        <v>34</v>
      </c>
      <c r="P15" s="230">
        <v>8</v>
      </c>
      <c r="Q15" s="230">
        <v>0</v>
      </c>
      <c r="R15" s="230">
        <v>0</v>
      </c>
      <c r="S15" s="230">
        <v>0</v>
      </c>
      <c r="T15" s="230">
        <v>0</v>
      </c>
      <c r="U15" s="189"/>
      <c r="V15" s="176">
        <f t="shared" si="2"/>
        <v>150</v>
      </c>
      <c r="W15" s="205"/>
      <c r="X15" s="204">
        <v>19</v>
      </c>
      <c r="Y15" s="204"/>
      <c r="Z15" s="214">
        <f t="shared" si="1"/>
        <v>1743</v>
      </c>
      <c r="AA15" s="215">
        <f t="shared" si="3"/>
        <v>1358</v>
      </c>
    </row>
    <row r="16" spans="1:29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1761</v>
      </c>
      <c r="K16" s="340">
        <v>0</v>
      </c>
      <c r="L16" s="232">
        <f t="shared" si="0"/>
        <v>1761</v>
      </c>
      <c r="M16" s="230">
        <v>0</v>
      </c>
      <c r="N16" s="230">
        <v>0</v>
      </c>
      <c r="O16" s="230">
        <v>202</v>
      </c>
      <c r="P16" s="230">
        <v>0</v>
      </c>
      <c r="Q16" s="230">
        <v>0</v>
      </c>
      <c r="R16" s="230">
        <v>0</v>
      </c>
      <c r="S16" s="230">
        <v>0</v>
      </c>
      <c r="T16" s="230">
        <v>2277</v>
      </c>
      <c r="U16" s="189"/>
      <c r="V16" s="176">
        <f t="shared" si="2"/>
        <v>2479</v>
      </c>
      <c r="W16" s="205"/>
      <c r="X16" s="204"/>
      <c r="Y16" s="204"/>
      <c r="Z16" s="214">
        <f t="shared" si="1"/>
        <v>4240</v>
      </c>
      <c r="AA16" s="215">
        <f t="shared" si="3"/>
        <v>0</v>
      </c>
    </row>
    <row r="17" spans="1:29" x14ac:dyDescent="0.25">
      <c r="A17" s="136" t="s">
        <v>123</v>
      </c>
      <c r="B17" s="137" t="s">
        <v>277</v>
      </c>
      <c r="C17" s="230">
        <v>28</v>
      </c>
      <c r="D17" s="230">
        <v>26</v>
      </c>
      <c r="E17" s="230">
        <v>5</v>
      </c>
      <c r="F17" s="230">
        <v>1</v>
      </c>
      <c r="G17" s="230">
        <v>0</v>
      </c>
      <c r="H17" s="230">
        <v>0</v>
      </c>
      <c r="I17" s="230">
        <v>0</v>
      </c>
      <c r="J17" s="230">
        <v>0</v>
      </c>
      <c r="K17" s="230">
        <v>0</v>
      </c>
      <c r="L17" s="232">
        <f t="shared" si="0"/>
        <v>60</v>
      </c>
      <c r="M17" s="230">
        <v>10</v>
      </c>
      <c r="N17" s="230">
        <v>49</v>
      </c>
      <c r="O17" s="230">
        <v>8</v>
      </c>
      <c r="P17" s="230">
        <v>9</v>
      </c>
      <c r="Q17" s="230">
        <v>4</v>
      </c>
      <c r="R17" s="230">
        <v>0</v>
      </c>
      <c r="S17" s="230">
        <v>0</v>
      </c>
      <c r="T17" s="230">
        <v>0</v>
      </c>
      <c r="U17" s="189"/>
      <c r="V17" s="176">
        <f t="shared" si="2"/>
        <v>80</v>
      </c>
      <c r="W17" s="204">
        <v>37</v>
      </c>
      <c r="X17" s="204"/>
      <c r="Y17" s="204"/>
      <c r="Z17" s="214">
        <f t="shared" si="1"/>
        <v>177</v>
      </c>
      <c r="AA17" s="215">
        <f t="shared" si="3"/>
        <v>123</v>
      </c>
    </row>
    <row r="18" spans="1:29" x14ac:dyDescent="0.25">
      <c r="A18" s="136" t="s">
        <v>128</v>
      </c>
      <c r="B18" s="137" t="s">
        <v>332</v>
      </c>
      <c r="C18" s="230">
        <v>295</v>
      </c>
      <c r="D18" s="230">
        <v>67</v>
      </c>
      <c r="E18" s="230">
        <v>93</v>
      </c>
      <c r="F18" s="230">
        <v>12</v>
      </c>
      <c r="G18" s="230">
        <v>4</v>
      </c>
      <c r="H18" s="230">
        <v>0</v>
      </c>
      <c r="I18" s="230">
        <v>0</v>
      </c>
      <c r="J18" s="230">
        <v>15</v>
      </c>
      <c r="K18" s="230">
        <v>0</v>
      </c>
      <c r="L18" s="232">
        <f t="shared" si="0"/>
        <v>486</v>
      </c>
      <c r="M18" s="230">
        <v>370</v>
      </c>
      <c r="N18" s="230">
        <v>222</v>
      </c>
      <c r="O18" s="230">
        <v>186</v>
      </c>
      <c r="P18" s="230">
        <v>32</v>
      </c>
      <c r="Q18" s="230">
        <v>6</v>
      </c>
      <c r="R18" s="230">
        <v>0</v>
      </c>
      <c r="S18" s="230">
        <v>0</v>
      </c>
      <c r="T18" s="230">
        <v>0</v>
      </c>
      <c r="U18" s="189"/>
      <c r="V18" s="176">
        <f>SUM(M18:U18)</f>
        <v>816</v>
      </c>
      <c r="W18" s="205"/>
      <c r="X18" s="204"/>
      <c r="Y18" s="204"/>
      <c r="Z18" s="214">
        <f t="shared" si="1"/>
        <v>1302</v>
      </c>
      <c r="AA18" s="215">
        <f>C18+D18+F18+K18+M18+N18+P18+U18</f>
        <v>998</v>
      </c>
    </row>
    <row r="19" spans="1:29" x14ac:dyDescent="0.25">
      <c r="A19" s="136" t="s">
        <v>150</v>
      </c>
      <c r="B19" s="137" t="s">
        <v>278</v>
      </c>
      <c r="C19" s="230">
        <v>1091</v>
      </c>
      <c r="D19" s="230">
        <v>183</v>
      </c>
      <c r="E19" s="230">
        <v>468</v>
      </c>
      <c r="F19" s="230">
        <v>38</v>
      </c>
      <c r="G19" s="230">
        <v>6</v>
      </c>
      <c r="H19" s="230">
        <v>0</v>
      </c>
      <c r="I19" s="230">
        <v>0</v>
      </c>
      <c r="J19" s="230">
        <v>67</v>
      </c>
      <c r="K19" s="230">
        <v>0</v>
      </c>
      <c r="L19" s="232">
        <f t="shared" si="0"/>
        <v>1853</v>
      </c>
      <c r="M19" s="230">
        <v>223</v>
      </c>
      <c r="N19" s="230">
        <v>71</v>
      </c>
      <c r="O19" s="230">
        <v>68</v>
      </c>
      <c r="P19" s="230">
        <v>7</v>
      </c>
      <c r="Q19" s="230">
        <v>6</v>
      </c>
      <c r="R19" s="230">
        <v>0</v>
      </c>
      <c r="S19" s="230">
        <v>0</v>
      </c>
      <c r="T19" s="230">
        <v>0</v>
      </c>
      <c r="U19" s="189"/>
      <c r="V19" s="176">
        <f t="shared" si="2"/>
        <v>375</v>
      </c>
      <c r="W19" s="204">
        <v>342</v>
      </c>
      <c r="X19" s="204"/>
      <c r="Y19" s="204"/>
      <c r="Z19" s="214">
        <f t="shared" si="1"/>
        <v>2570</v>
      </c>
      <c r="AA19" s="215">
        <f t="shared" si="3"/>
        <v>1613</v>
      </c>
    </row>
    <row r="20" spans="1:29" x14ac:dyDescent="0.25">
      <c r="A20" s="136" t="s">
        <v>181</v>
      </c>
      <c r="B20" s="137" t="s">
        <v>335</v>
      </c>
      <c r="C20" s="230">
        <v>898</v>
      </c>
      <c r="D20" s="230">
        <v>1040</v>
      </c>
      <c r="E20" s="230">
        <v>387</v>
      </c>
      <c r="F20" s="230">
        <v>67</v>
      </c>
      <c r="G20" s="230">
        <v>55</v>
      </c>
      <c r="H20" s="230">
        <v>0</v>
      </c>
      <c r="I20" s="230">
        <v>0</v>
      </c>
      <c r="J20" s="230">
        <v>405</v>
      </c>
      <c r="K20" s="230">
        <v>0</v>
      </c>
      <c r="L20" s="232">
        <f t="shared" si="0"/>
        <v>2852</v>
      </c>
      <c r="M20" s="230">
        <v>430</v>
      </c>
      <c r="N20" s="230">
        <v>1189</v>
      </c>
      <c r="O20" s="230">
        <v>332</v>
      </c>
      <c r="P20" s="230">
        <v>60</v>
      </c>
      <c r="Q20" s="230">
        <v>65</v>
      </c>
      <c r="R20" s="230">
        <v>37</v>
      </c>
      <c r="S20" s="230">
        <v>0</v>
      </c>
      <c r="T20" s="230">
        <v>0</v>
      </c>
      <c r="U20" s="189"/>
      <c r="V20" s="176">
        <f>SUM(M20:U20)</f>
        <v>2113</v>
      </c>
      <c r="W20" s="206"/>
      <c r="X20" s="209"/>
      <c r="Y20" s="209"/>
      <c r="Z20" s="214">
        <f t="shared" si="1"/>
        <v>4965</v>
      </c>
      <c r="AA20" s="215">
        <f>C20+D20+F20+K20+M20+N20+P20+U20</f>
        <v>3684</v>
      </c>
    </row>
    <row r="21" spans="1:29" x14ac:dyDescent="0.25">
      <c r="A21" s="136" t="s">
        <v>184</v>
      </c>
      <c r="B21" s="137" t="s">
        <v>279</v>
      </c>
      <c r="C21" s="230">
        <v>177</v>
      </c>
      <c r="D21" s="230">
        <v>73</v>
      </c>
      <c r="E21" s="230">
        <v>60</v>
      </c>
      <c r="F21" s="230">
        <v>4</v>
      </c>
      <c r="G21" s="230">
        <v>0</v>
      </c>
      <c r="H21" s="230">
        <v>0</v>
      </c>
      <c r="I21" s="230">
        <v>0</v>
      </c>
      <c r="J21" s="230">
        <v>10</v>
      </c>
      <c r="K21" s="230">
        <v>0</v>
      </c>
      <c r="L21" s="232">
        <f t="shared" si="0"/>
        <v>324</v>
      </c>
      <c r="M21" s="230">
        <v>86</v>
      </c>
      <c r="N21" s="230">
        <v>56</v>
      </c>
      <c r="O21" s="230">
        <v>8</v>
      </c>
      <c r="P21" s="230">
        <v>1</v>
      </c>
      <c r="Q21" s="230">
        <v>0</v>
      </c>
      <c r="R21" s="230">
        <v>0</v>
      </c>
      <c r="S21" s="230">
        <v>0</v>
      </c>
      <c r="T21" s="230">
        <v>0</v>
      </c>
      <c r="U21" s="189"/>
      <c r="V21" s="176">
        <f t="shared" si="2"/>
        <v>151</v>
      </c>
      <c r="W21" s="204">
        <v>147</v>
      </c>
      <c r="X21" s="204"/>
      <c r="Y21" s="204"/>
      <c r="Z21" s="214">
        <f t="shared" si="1"/>
        <v>622</v>
      </c>
      <c r="AA21" s="215">
        <f t="shared" si="3"/>
        <v>397</v>
      </c>
    </row>
    <row r="22" spans="1:29" ht="17.25" customHeight="1" thickBot="1" x14ac:dyDescent="0.3">
      <c r="A22" s="136" t="s">
        <v>194</v>
      </c>
      <c r="B22" s="138" t="s">
        <v>280</v>
      </c>
      <c r="C22" s="265">
        <v>0</v>
      </c>
      <c r="D22" s="265">
        <v>0</v>
      </c>
      <c r="E22" s="265">
        <v>676</v>
      </c>
      <c r="F22" s="265">
        <v>0</v>
      </c>
      <c r="G22" s="265">
        <v>0</v>
      </c>
      <c r="H22" s="265">
        <v>0</v>
      </c>
      <c r="I22" s="265">
        <v>0</v>
      </c>
      <c r="J22" s="265">
        <v>2658</v>
      </c>
      <c r="K22" s="265">
        <v>0</v>
      </c>
      <c r="L22" s="357">
        <f t="shared" si="0"/>
        <v>3334</v>
      </c>
      <c r="M22" s="265">
        <v>0</v>
      </c>
      <c r="N22" s="265">
        <v>0</v>
      </c>
      <c r="O22" s="265">
        <v>0</v>
      </c>
      <c r="P22" s="265">
        <v>0</v>
      </c>
      <c r="Q22" s="265">
        <v>0</v>
      </c>
      <c r="R22" s="265">
        <v>0</v>
      </c>
      <c r="S22" s="265">
        <v>0</v>
      </c>
      <c r="T22" s="265">
        <v>0</v>
      </c>
      <c r="U22" s="193"/>
      <c r="V22" s="178">
        <f t="shared" si="2"/>
        <v>0</v>
      </c>
      <c r="W22" s="207"/>
      <c r="X22" s="227"/>
      <c r="Y22" s="227"/>
      <c r="Z22" s="214">
        <f t="shared" si="1"/>
        <v>3334</v>
      </c>
      <c r="AA22" s="216">
        <f t="shared" si="3"/>
        <v>0</v>
      </c>
    </row>
    <row r="23" spans="1:29" s="110" customFormat="1" ht="14.4" thickBot="1" x14ac:dyDescent="0.3">
      <c r="A23" s="134"/>
      <c r="B23" s="159" t="s">
        <v>457</v>
      </c>
      <c r="C23" s="362">
        <f t="shared" ref="C23:AA23" si="4">SUM(C6:C22)</f>
        <v>7294</v>
      </c>
      <c r="D23" s="157">
        <f t="shared" si="4"/>
        <v>3411</v>
      </c>
      <c r="E23" s="157">
        <f t="shared" si="4"/>
        <v>2683</v>
      </c>
      <c r="F23" s="157">
        <f t="shared" si="4"/>
        <v>267</v>
      </c>
      <c r="G23" s="157">
        <f t="shared" si="4"/>
        <v>222</v>
      </c>
      <c r="H23" s="157">
        <f t="shared" si="4"/>
        <v>0</v>
      </c>
      <c r="I23" s="259">
        <f t="shared" si="4"/>
        <v>0</v>
      </c>
      <c r="J23" s="362">
        <f t="shared" si="4"/>
        <v>5449</v>
      </c>
      <c r="K23" s="259">
        <f t="shared" si="4"/>
        <v>21</v>
      </c>
      <c r="L23" s="260">
        <f t="shared" si="4"/>
        <v>19347</v>
      </c>
      <c r="M23" s="262">
        <f t="shared" si="4"/>
        <v>1923</v>
      </c>
      <c r="N23" s="158">
        <f t="shared" si="4"/>
        <v>4133</v>
      </c>
      <c r="O23" s="158">
        <f t="shared" si="4"/>
        <v>1402</v>
      </c>
      <c r="P23" s="158">
        <f t="shared" si="4"/>
        <v>244</v>
      </c>
      <c r="Q23" s="158">
        <f t="shared" si="4"/>
        <v>167</v>
      </c>
      <c r="R23" s="158">
        <f t="shared" si="4"/>
        <v>165</v>
      </c>
      <c r="S23" s="158">
        <f t="shared" si="4"/>
        <v>1</v>
      </c>
      <c r="T23" s="158">
        <f t="shared" si="4"/>
        <v>2367</v>
      </c>
      <c r="U23" s="264">
        <f t="shared" si="4"/>
        <v>0</v>
      </c>
      <c r="V23" s="180">
        <f t="shared" si="4"/>
        <v>10402</v>
      </c>
      <c r="W23" s="208">
        <f t="shared" si="4"/>
        <v>17028</v>
      </c>
      <c r="X23" s="273">
        <f t="shared" si="4"/>
        <v>667</v>
      </c>
      <c r="Y23" s="273">
        <f t="shared" si="4"/>
        <v>120</v>
      </c>
      <c r="Z23" s="276">
        <f t="shared" si="4"/>
        <v>47564</v>
      </c>
      <c r="AA23" s="274">
        <f t="shared" si="4"/>
        <v>17293</v>
      </c>
      <c r="AC23"/>
    </row>
    <row r="24" spans="1:29" x14ac:dyDescent="0.25">
      <c r="A24" s="136" t="s">
        <v>72</v>
      </c>
      <c r="B24" s="137" t="s">
        <v>356</v>
      </c>
      <c r="C24" s="128">
        <v>223</v>
      </c>
      <c r="D24" s="374">
        <v>261</v>
      </c>
      <c r="E24" s="280">
        <v>107</v>
      </c>
      <c r="F24" s="280">
        <v>8</v>
      </c>
      <c r="G24" s="280">
        <v>8</v>
      </c>
      <c r="H24" s="280">
        <v>5</v>
      </c>
      <c r="I24" s="280">
        <v>0</v>
      </c>
      <c r="J24" s="280">
        <v>27</v>
      </c>
      <c r="K24" s="280">
        <v>14</v>
      </c>
      <c r="L24" s="234">
        <f>SUM(C24:K24)</f>
        <v>653</v>
      </c>
      <c r="M24" s="280">
        <v>2</v>
      </c>
      <c r="N24" s="280">
        <v>18</v>
      </c>
      <c r="O24" s="280">
        <v>3</v>
      </c>
      <c r="P24" s="280">
        <v>0</v>
      </c>
      <c r="Q24" s="280">
        <v>0</v>
      </c>
      <c r="R24" s="280">
        <v>0</v>
      </c>
      <c r="S24" s="280">
        <v>0</v>
      </c>
      <c r="T24" s="280">
        <v>0</v>
      </c>
      <c r="U24" s="280">
        <v>0</v>
      </c>
      <c r="V24" s="256">
        <f>SUM(M24:U24)</f>
        <v>23</v>
      </c>
      <c r="W24" s="205"/>
      <c r="X24" s="204"/>
      <c r="Y24" s="204"/>
      <c r="Z24" s="214">
        <f>L24+V24+W24+X24+Y24</f>
        <v>676</v>
      </c>
      <c r="AA24" s="215">
        <f>C24+D24+F24+K24+M24+N24+P24+U24</f>
        <v>526</v>
      </c>
    </row>
    <row r="25" spans="1:29" x14ac:dyDescent="0.25">
      <c r="A25" s="136" t="s">
        <v>85</v>
      </c>
      <c r="B25" s="137" t="s">
        <v>281</v>
      </c>
      <c r="C25" s="128">
        <v>1048</v>
      </c>
      <c r="D25" s="340">
        <v>561</v>
      </c>
      <c r="E25" s="230">
        <v>233</v>
      </c>
      <c r="F25" s="230">
        <v>68</v>
      </c>
      <c r="G25" s="230">
        <v>40</v>
      </c>
      <c r="H25" s="230">
        <v>0</v>
      </c>
      <c r="I25" s="230">
        <v>0</v>
      </c>
      <c r="J25" s="230">
        <v>52</v>
      </c>
      <c r="K25" s="230">
        <v>0</v>
      </c>
      <c r="L25" s="232">
        <f t="shared" ref="L25:L36" si="5">SUM(C25:K25)</f>
        <v>2002</v>
      </c>
      <c r="M25" s="230">
        <v>560</v>
      </c>
      <c r="N25" s="230">
        <v>465</v>
      </c>
      <c r="O25" s="230">
        <v>258</v>
      </c>
      <c r="P25" s="230">
        <v>16</v>
      </c>
      <c r="Q25" s="230">
        <v>11</v>
      </c>
      <c r="R25" s="230">
        <v>14</v>
      </c>
      <c r="S25" s="230">
        <v>0</v>
      </c>
      <c r="T25" s="230">
        <v>5</v>
      </c>
      <c r="U25" s="230">
        <v>0</v>
      </c>
      <c r="V25" s="229">
        <f>SUM(M25:U25)</f>
        <v>1329</v>
      </c>
      <c r="W25" s="204">
        <v>875</v>
      </c>
      <c r="X25" s="204"/>
      <c r="Y25" s="204"/>
      <c r="Z25" s="214">
        <f t="shared" ref="Z25:Z36" si="6">L25+V25+W25+X25+Y25</f>
        <v>4206</v>
      </c>
      <c r="AA25" s="215">
        <f>C25+D25+F25+K25+M25+N25+P25+U25</f>
        <v>2718</v>
      </c>
    </row>
    <row r="26" spans="1:29" x14ac:dyDescent="0.25">
      <c r="A26" s="136" t="s">
        <v>214</v>
      </c>
      <c r="B26" s="137" t="s">
        <v>282</v>
      </c>
      <c r="C26" s="128">
        <v>626</v>
      </c>
      <c r="D26" s="340">
        <v>265</v>
      </c>
      <c r="E26" s="230">
        <v>143</v>
      </c>
      <c r="F26" s="230">
        <v>10</v>
      </c>
      <c r="G26" s="230">
        <v>5</v>
      </c>
      <c r="H26" s="230">
        <v>0</v>
      </c>
      <c r="I26" s="230">
        <v>0</v>
      </c>
      <c r="J26" s="230">
        <v>605</v>
      </c>
      <c r="K26" s="230">
        <v>0</v>
      </c>
      <c r="L26" s="232">
        <f t="shared" si="5"/>
        <v>1654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230">
        <v>0</v>
      </c>
      <c r="V26" s="229">
        <f t="shared" ref="V26:V36" si="7">SUM(M26:U26)</f>
        <v>0</v>
      </c>
      <c r="W26" s="205"/>
      <c r="X26" s="204"/>
      <c r="Y26" s="204"/>
      <c r="Z26" s="214">
        <f t="shared" si="6"/>
        <v>1654</v>
      </c>
      <c r="AA26" s="215">
        <f t="shared" ref="AA26:AA36" si="8">C26+D26+F26+K26+M26+N26+P26+U26</f>
        <v>901</v>
      </c>
    </row>
    <row r="27" spans="1:29" x14ac:dyDescent="0.25">
      <c r="A27" s="136" t="s">
        <v>101</v>
      </c>
      <c r="B27" s="137" t="s">
        <v>283</v>
      </c>
      <c r="C27" s="128">
        <v>2190</v>
      </c>
      <c r="D27" s="340">
        <v>538</v>
      </c>
      <c r="E27" s="230">
        <v>609</v>
      </c>
      <c r="F27" s="230">
        <v>31</v>
      </c>
      <c r="G27" s="230">
        <v>28</v>
      </c>
      <c r="H27" s="230">
        <v>0</v>
      </c>
      <c r="I27" s="230">
        <v>0</v>
      </c>
      <c r="J27" s="230">
        <v>29</v>
      </c>
      <c r="K27" s="230">
        <v>0</v>
      </c>
      <c r="L27" s="232">
        <f t="shared" si="5"/>
        <v>3425</v>
      </c>
      <c r="M27" s="230">
        <v>263</v>
      </c>
      <c r="N27" s="230">
        <v>621</v>
      </c>
      <c r="O27" s="230">
        <v>104</v>
      </c>
      <c r="P27" s="230">
        <v>0</v>
      </c>
      <c r="Q27" s="230">
        <v>38</v>
      </c>
      <c r="R27" s="230">
        <v>0</v>
      </c>
      <c r="S27" s="230">
        <v>0</v>
      </c>
      <c r="T27" s="230">
        <v>2</v>
      </c>
      <c r="U27" s="230">
        <v>0</v>
      </c>
      <c r="V27" s="229">
        <f t="shared" si="7"/>
        <v>1028</v>
      </c>
      <c r="W27" s="204">
        <v>4810</v>
      </c>
      <c r="X27" s="204"/>
      <c r="Y27" s="204"/>
      <c r="Z27" s="214">
        <f t="shared" si="6"/>
        <v>9263</v>
      </c>
      <c r="AA27" s="215">
        <f t="shared" si="8"/>
        <v>3643</v>
      </c>
    </row>
    <row r="28" spans="1:29" x14ac:dyDescent="0.25">
      <c r="A28" s="136" t="s">
        <v>114</v>
      </c>
      <c r="B28" s="137" t="s">
        <v>284</v>
      </c>
      <c r="C28" s="128">
        <v>860</v>
      </c>
      <c r="D28" s="340">
        <v>187</v>
      </c>
      <c r="E28" s="230">
        <v>252</v>
      </c>
      <c r="F28" s="230">
        <v>51</v>
      </c>
      <c r="G28" s="230">
        <v>31</v>
      </c>
      <c r="H28" s="230">
        <v>0</v>
      </c>
      <c r="I28" s="230">
        <v>0</v>
      </c>
      <c r="J28" s="230">
        <v>129</v>
      </c>
      <c r="K28" s="230">
        <v>0</v>
      </c>
      <c r="L28" s="232">
        <f t="shared" si="5"/>
        <v>1510</v>
      </c>
      <c r="M28" s="230">
        <v>161</v>
      </c>
      <c r="N28" s="230">
        <v>399</v>
      </c>
      <c r="O28" s="230">
        <v>125</v>
      </c>
      <c r="P28" s="230">
        <v>22</v>
      </c>
      <c r="Q28" s="230">
        <v>4</v>
      </c>
      <c r="R28" s="230">
        <v>0</v>
      </c>
      <c r="S28" s="230">
        <v>0</v>
      </c>
      <c r="T28" s="230">
        <v>0</v>
      </c>
      <c r="U28" s="230">
        <v>0</v>
      </c>
      <c r="V28" s="229">
        <f t="shared" si="7"/>
        <v>711</v>
      </c>
      <c r="W28" s="204">
        <v>952</v>
      </c>
      <c r="X28" s="204"/>
      <c r="Y28" s="204"/>
      <c r="Z28" s="214">
        <f t="shared" si="6"/>
        <v>3173</v>
      </c>
      <c r="AA28" s="215">
        <f t="shared" si="8"/>
        <v>1680</v>
      </c>
    </row>
    <row r="29" spans="1:29" x14ac:dyDescent="0.25">
      <c r="A29" s="136" t="s">
        <v>115</v>
      </c>
      <c r="B29" s="137" t="s">
        <v>285</v>
      </c>
      <c r="C29" s="128">
        <v>1333</v>
      </c>
      <c r="D29" s="340">
        <v>1541</v>
      </c>
      <c r="E29" s="230">
        <v>261</v>
      </c>
      <c r="F29" s="230">
        <v>35</v>
      </c>
      <c r="G29" s="230">
        <v>88</v>
      </c>
      <c r="H29" s="230">
        <v>0</v>
      </c>
      <c r="I29" s="230">
        <v>27</v>
      </c>
      <c r="J29" s="230">
        <v>234</v>
      </c>
      <c r="K29" s="230">
        <v>0</v>
      </c>
      <c r="L29" s="232">
        <f t="shared" si="5"/>
        <v>3519</v>
      </c>
      <c r="M29" s="230">
        <v>503</v>
      </c>
      <c r="N29" s="230">
        <v>1055</v>
      </c>
      <c r="O29" s="230">
        <v>460</v>
      </c>
      <c r="P29" s="230">
        <v>20</v>
      </c>
      <c r="Q29" s="230">
        <v>34</v>
      </c>
      <c r="R29" s="230">
        <v>33</v>
      </c>
      <c r="S29" s="230">
        <v>0</v>
      </c>
      <c r="T29" s="230">
        <v>1</v>
      </c>
      <c r="U29" s="230">
        <v>0</v>
      </c>
      <c r="V29" s="229">
        <f t="shared" si="7"/>
        <v>2106</v>
      </c>
      <c r="W29" s="204">
        <v>567</v>
      </c>
      <c r="X29" s="204"/>
      <c r="Y29" s="204"/>
      <c r="Z29" s="214">
        <f t="shared" si="6"/>
        <v>6192</v>
      </c>
      <c r="AA29" s="215">
        <f t="shared" si="8"/>
        <v>4487</v>
      </c>
    </row>
    <row r="30" spans="1:29" x14ac:dyDescent="0.25">
      <c r="A30" s="136" t="s">
        <v>127</v>
      </c>
      <c r="B30" s="137" t="s">
        <v>286</v>
      </c>
      <c r="C30" s="128">
        <v>7460</v>
      </c>
      <c r="D30" s="340">
        <v>2616</v>
      </c>
      <c r="E30" s="230">
        <v>2951</v>
      </c>
      <c r="F30" s="230">
        <v>44</v>
      </c>
      <c r="G30" s="230">
        <v>162</v>
      </c>
      <c r="H30" s="230">
        <v>7</v>
      </c>
      <c r="I30" s="230">
        <v>0</v>
      </c>
      <c r="J30" s="230">
        <v>120</v>
      </c>
      <c r="K30" s="230">
        <v>0</v>
      </c>
      <c r="L30" s="232">
        <f t="shared" si="5"/>
        <v>13360</v>
      </c>
      <c r="M30" s="230">
        <v>290</v>
      </c>
      <c r="N30" s="230">
        <v>626</v>
      </c>
      <c r="O30" s="230">
        <v>257</v>
      </c>
      <c r="P30" s="230">
        <v>2</v>
      </c>
      <c r="Q30" s="230">
        <v>86</v>
      </c>
      <c r="R30" s="230">
        <v>0</v>
      </c>
      <c r="S30" s="230">
        <v>0</v>
      </c>
      <c r="T30" s="230">
        <v>0</v>
      </c>
      <c r="U30" s="230">
        <v>0</v>
      </c>
      <c r="V30" s="229">
        <f t="shared" si="7"/>
        <v>1261</v>
      </c>
      <c r="W30" s="204">
        <v>43</v>
      </c>
      <c r="X30" s="204"/>
      <c r="Y30" s="204"/>
      <c r="Z30" s="214">
        <f t="shared" si="6"/>
        <v>14664</v>
      </c>
      <c r="AA30" s="215">
        <f t="shared" si="8"/>
        <v>11038</v>
      </c>
    </row>
    <row r="31" spans="1:29" x14ac:dyDescent="0.25">
      <c r="A31" s="136" t="s">
        <v>129</v>
      </c>
      <c r="B31" s="137" t="s">
        <v>287</v>
      </c>
      <c r="C31" s="128">
        <v>3837</v>
      </c>
      <c r="D31" s="340">
        <v>1857</v>
      </c>
      <c r="E31" s="230">
        <v>1867</v>
      </c>
      <c r="F31" s="230">
        <v>125</v>
      </c>
      <c r="G31" s="230">
        <v>167</v>
      </c>
      <c r="H31" s="230">
        <v>0</v>
      </c>
      <c r="I31" s="230">
        <v>20</v>
      </c>
      <c r="J31" s="230">
        <v>167</v>
      </c>
      <c r="K31" s="230">
        <v>2</v>
      </c>
      <c r="L31" s="232">
        <f t="shared" si="5"/>
        <v>8042</v>
      </c>
      <c r="M31" s="230">
        <v>1454</v>
      </c>
      <c r="N31" s="230">
        <v>1788</v>
      </c>
      <c r="O31" s="230">
        <v>1072</v>
      </c>
      <c r="P31" s="230">
        <v>60</v>
      </c>
      <c r="Q31" s="230">
        <v>125</v>
      </c>
      <c r="R31" s="230">
        <v>7</v>
      </c>
      <c r="S31" s="230">
        <v>0</v>
      </c>
      <c r="T31" s="230">
        <v>3</v>
      </c>
      <c r="U31" s="230">
        <v>0</v>
      </c>
      <c r="V31" s="229">
        <f t="shared" si="7"/>
        <v>4509</v>
      </c>
      <c r="W31" s="204">
        <v>270</v>
      </c>
      <c r="X31" s="204"/>
      <c r="Y31" s="204"/>
      <c r="Z31" s="214">
        <f t="shared" si="6"/>
        <v>12821</v>
      </c>
      <c r="AA31" s="215">
        <f t="shared" si="8"/>
        <v>9123</v>
      </c>
    </row>
    <row r="32" spans="1:29" x14ac:dyDescent="0.25">
      <c r="A32" s="136" t="s">
        <v>139</v>
      </c>
      <c r="B32" s="137" t="s">
        <v>321</v>
      </c>
      <c r="C32" s="128">
        <v>953</v>
      </c>
      <c r="D32" s="340">
        <v>945</v>
      </c>
      <c r="E32" s="230">
        <v>673</v>
      </c>
      <c r="F32" s="230">
        <v>59</v>
      </c>
      <c r="G32" s="230">
        <v>49</v>
      </c>
      <c r="H32" s="230">
        <v>44</v>
      </c>
      <c r="I32" s="230">
        <v>71</v>
      </c>
      <c r="J32" s="230">
        <v>134</v>
      </c>
      <c r="K32" s="230">
        <v>96</v>
      </c>
      <c r="L32" s="232">
        <f t="shared" si="5"/>
        <v>3024</v>
      </c>
      <c r="M32" s="230">
        <v>263</v>
      </c>
      <c r="N32" s="230">
        <v>520</v>
      </c>
      <c r="O32" s="230">
        <v>230</v>
      </c>
      <c r="P32" s="230">
        <v>26</v>
      </c>
      <c r="Q32" s="230">
        <v>13</v>
      </c>
      <c r="R32" s="230">
        <v>0</v>
      </c>
      <c r="S32" s="230">
        <v>0</v>
      </c>
      <c r="T32" s="230">
        <v>10</v>
      </c>
      <c r="U32" s="230">
        <v>17</v>
      </c>
      <c r="V32" s="229">
        <f>SUM(M32:U32)</f>
        <v>1079</v>
      </c>
      <c r="W32" s="204">
        <v>483</v>
      </c>
      <c r="X32" s="204"/>
      <c r="Y32" s="204"/>
      <c r="Z32" s="214">
        <f t="shared" si="6"/>
        <v>4586</v>
      </c>
      <c r="AA32" s="215">
        <f>C32+D32+F32+K32+M32+N32+P32+U32</f>
        <v>2879</v>
      </c>
    </row>
    <row r="33" spans="1:29" x14ac:dyDescent="0.25">
      <c r="A33" s="140" t="s">
        <v>151</v>
      </c>
      <c r="B33" s="161" t="s">
        <v>323</v>
      </c>
      <c r="C33" s="128">
        <v>0</v>
      </c>
      <c r="D33" s="340">
        <v>0</v>
      </c>
      <c r="E33" s="230">
        <v>137</v>
      </c>
      <c r="F33" s="230">
        <v>0</v>
      </c>
      <c r="G33" s="230">
        <v>0</v>
      </c>
      <c r="H33" s="230">
        <v>0</v>
      </c>
      <c r="I33" s="230">
        <v>0</v>
      </c>
      <c r="J33" s="230">
        <v>991</v>
      </c>
      <c r="K33" s="230">
        <v>0</v>
      </c>
      <c r="L33" s="232">
        <f t="shared" si="5"/>
        <v>1128</v>
      </c>
      <c r="M33" s="147"/>
      <c r="N33" s="147"/>
      <c r="O33" s="147"/>
      <c r="P33" s="147"/>
      <c r="Q33" s="147"/>
      <c r="R33" s="147"/>
      <c r="S33" s="147"/>
      <c r="T33" s="147"/>
      <c r="U33" s="147"/>
      <c r="V33" s="229"/>
      <c r="W33" s="206"/>
      <c r="X33" s="209"/>
      <c r="Y33" s="209"/>
      <c r="Z33" s="214">
        <f t="shared" si="6"/>
        <v>1128</v>
      </c>
      <c r="AA33" s="215">
        <f>C33+D33+F33+K33+M33+N33+P33+U33</f>
        <v>0</v>
      </c>
    </row>
    <row r="34" spans="1:29" x14ac:dyDescent="0.25">
      <c r="A34" s="136" t="s">
        <v>170</v>
      </c>
      <c r="B34" s="137" t="s">
        <v>288</v>
      </c>
      <c r="C34" s="128">
        <v>6325</v>
      </c>
      <c r="D34" s="340">
        <v>2065</v>
      </c>
      <c r="E34" s="230">
        <v>2946</v>
      </c>
      <c r="F34" s="230">
        <v>34</v>
      </c>
      <c r="G34" s="230">
        <v>214</v>
      </c>
      <c r="H34" s="230">
        <v>2</v>
      </c>
      <c r="I34" s="230">
        <v>57</v>
      </c>
      <c r="J34" s="230">
        <v>125</v>
      </c>
      <c r="K34" s="230">
        <v>0</v>
      </c>
      <c r="L34" s="232">
        <f t="shared" si="5"/>
        <v>11768</v>
      </c>
      <c r="M34" s="230">
        <v>0</v>
      </c>
      <c r="N34" s="230">
        <v>0</v>
      </c>
      <c r="O34" s="230">
        <v>0</v>
      </c>
      <c r="P34" s="230">
        <v>0</v>
      </c>
      <c r="Q34" s="230">
        <v>0</v>
      </c>
      <c r="R34" s="230">
        <v>0</v>
      </c>
      <c r="S34" s="230">
        <v>0</v>
      </c>
      <c r="T34" s="230">
        <v>0</v>
      </c>
      <c r="U34" s="147"/>
      <c r="V34" s="229">
        <f t="shared" si="7"/>
        <v>0</v>
      </c>
      <c r="W34" s="209">
        <v>44</v>
      </c>
      <c r="X34" s="209"/>
      <c r="Y34" s="209"/>
      <c r="Z34" s="214">
        <f t="shared" si="6"/>
        <v>11812</v>
      </c>
      <c r="AA34" s="217">
        <f t="shared" si="8"/>
        <v>8424</v>
      </c>
    </row>
    <row r="35" spans="1:29" x14ac:dyDescent="0.25">
      <c r="A35" s="136" t="s">
        <v>171</v>
      </c>
      <c r="B35" s="137" t="s">
        <v>324</v>
      </c>
      <c r="C35" s="128">
        <v>1024</v>
      </c>
      <c r="D35" s="340">
        <v>585</v>
      </c>
      <c r="E35" s="230">
        <v>526</v>
      </c>
      <c r="F35" s="230">
        <v>39</v>
      </c>
      <c r="G35" s="230">
        <v>28</v>
      </c>
      <c r="H35" s="230">
        <v>2</v>
      </c>
      <c r="I35" s="230">
        <v>109</v>
      </c>
      <c r="J35" s="230">
        <v>156</v>
      </c>
      <c r="K35" s="230">
        <v>0</v>
      </c>
      <c r="L35" s="232">
        <f t="shared" si="5"/>
        <v>2469</v>
      </c>
      <c r="M35" s="230">
        <v>790</v>
      </c>
      <c r="N35" s="230">
        <v>648</v>
      </c>
      <c r="O35" s="230">
        <v>597</v>
      </c>
      <c r="P35" s="230">
        <v>45</v>
      </c>
      <c r="Q35" s="230">
        <v>23</v>
      </c>
      <c r="R35" s="230">
        <v>123</v>
      </c>
      <c r="S35" s="230">
        <v>0</v>
      </c>
      <c r="T35" s="230">
        <v>4</v>
      </c>
      <c r="U35" s="147"/>
      <c r="V35" s="229">
        <f>SUM(M35:U35)</f>
        <v>2230</v>
      </c>
      <c r="W35" s="204">
        <f>1576+1617</f>
        <v>3193</v>
      </c>
      <c r="X35" s="204"/>
      <c r="Y35" s="204"/>
      <c r="Z35" s="214">
        <f t="shared" si="6"/>
        <v>7892</v>
      </c>
      <c r="AA35" s="215">
        <f>C35+D35+F35+K35+M35+N35+P35+U35</f>
        <v>3131</v>
      </c>
    </row>
    <row r="36" spans="1:29" ht="13.8" thickBot="1" x14ac:dyDescent="0.3">
      <c r="A36" s="136" t="s">
        <v>362</v>
      </c>
      <c r="B36" s="137" t="s">
        <v>289</v>
      </c>
      <c r="C36" s="128">
        <v>199</v>
      </c>
      <c r="D36">
        <v>178</v>
      </c>
      <c r="E36">
        <v>192</v>
      </c>
      <c r="F36">
        <v>37</v>
      </c>
      <c r="G36">
        <v>5</v>
      </c>
      <c r="H36">
        <v>0</v>
      </c>
      <c r="I36">
        <v>0</v>
      </c>
      <c r="J36">
        <v>7</v>
      </c>
      <c r="K36">
        <v>3</v>
      </c>
      <c r="L36" s="535">
        <f t="shared" si="5"/>
        <v>621</v>
      </c>
      <c r="M36" s="265">
        <v>0</v>
      </c>
      <c r="N36" s="265">
        <v>0</v>
      </c>
      <c r="O36" s="265">
        <v>0</v>
      </c>
      <c r="P36" s="265">
        <v>0</v>
      </c>
      <c r="Q36" s="265">
        <v>0</v>
      </c>
      <c r="R36" s="265">
        <v>0</v>
      </c>
      <c r="S36" s="265">
        <v>0</v>
      </c>
      <c r="T36" s="265">
        <v>0</v>
      </c>
      <c r="U36" s="160"/>
      <c r="V36" s="231">
        <f t="shared" si="7"/>
        <v>0</v>
      </c>
      <c r="W36" s="206"/>
      <c r="X36" s="209"/>
      <c r="Y36" s="209"/>
      <c r="Z36" s="214">
        <f t="shared" si="6"/>
        <v>621</v>
      </c>
      <c r="AA36" s="217">
        <f t="shared" si="8"/>
        <v>417</v>
      </c>
    </row>
    <row r="37" spans="1:29" s="109" customFormat="1" ht="14.4" thickBot="1" x14ac:dyDescent="0.3">
      <c r="A37" s="134"/>
      <c r="B37" s="159" t="s">
        <v>458</v>
      </c>
      <c r="C37" s="157">
        <f t="shared" ref="C37:AA37" si="9">SUM(C24:C36)</f>
        <v>26078</v>
      </c>
      <c r="D37" s="157">
        <f t="shared" si="9"/>
        <v>11599</v>
      </c>
      <c r="E37" s="157">
        <f t="shared" si="9"/>
        <v>10897</v>
      </c>
      <c r="F37" s="157">
        <f t="shared" si="9"/>
        <v>541</v>
      </c>
      <c r="G37" s="157">
        <f t="shared" si="9"/>
        <v>825</v>
      </c>
      <c r="H37" s="157">
        <f t="shared" si="9"/>
        <v>60</v>
      </c>
      <c r="I37" s="157">
        <f t="shared" si="9"/>
        <v>284</v>
      </c>
      <c r="J37" s="157">
        <f t="shared" si="9"/>
        <v>2776</v>
      </c>
      <c r="K37" s="259">
        <f t="shared" si="9"/>
        <v>115</v>
      </c>
      <c r="L37" s="260">
        <f t="shared" si="9"/>
        <v>53175</v>
      </c>
      <c r="M37" s="262">
        <f t="shared" si="9"/>
        <v>4286</v>
      </c>
      <c r="N37" s="158">
        <f t="shared" si="9"/>
        <v>6140</v>
      </c>
      <c r="O37" s="158">
        <f t="shared" si="9"/>
        <v>3106</v>
      </c>
      <c r="P37" s="158">
        <f t="shared" si="9"/>
        <v>191</v>
      </c>
      <c r="Q37" s="158">
        <f t="shared" si="9"/>
        <v>334</v>
      </c>
      <c r="R37" s="158">
        <f t="shared" si="9"/>
        <v>177</v>
      </c>
      <c r="S37" s="158">
        <f t="shared" si="9"/>
        <v>0</v>
      </c>
      <c r="T37" s="158">
        <f t="shared" si="9"/>
        <v>25</v>
      </c>
      <c r="U37" s="264">
        <f t="shared" si="9"/>
        <v>17</v>
      </c>
      <c r="V37" s="180">
        <f t="shared" si="9"/>
        <v>14276</v>
      </c>
      <c r="W37" s="210">
        <f t="shared" si="9"/>
        <v>11237</v>
      </c>
      <c r="X37" s="210">
        <f t="shared" si="9"/>
        <v>0</v>
      </c>
      <c r="Y37" s="210">
        <f t="shared" si="9"/>
        <v>0</v>
      </c>
      <c r="Z37" s="210">
        <f t="shared" si="9"/>
        <v>78688</v>
      </c>
      <c r="AA37" s="210">
        <f t="shared" si="9"/>
        <v>48967</v>
      </c>
      <c r="AC37"/>
    </row>
    <row r="38" spans="1:29" x14ac:dyDescent="0.25">
      <c r="A38" s="136" t="s">
        <v>70</v>
      </c>
      <c r="B38" s="137" t="s">
        <v>313</v>
      </c>
      <c r="C38" s="128">
        <v>613</v>
      </c>
      <c r="D38" s="280">
        <v>1374</v>
      </c>
      <c r="E38" s="280">
        <v>314</v>
      </c>
      <c r="F38" s="280">
        <v>27</v>
      </c>
      <c r="G38" s="280">
        <v>62</v>
      </c>
      <c r="H38" s="280">
        <v>0</v>
      </c>
      <c r="I38" s="280">
        <v>0</v>
      </c>
      <c r="J38" s="280">
        <v>179</v>
      </c>
      <c r="K38" s="280">
        <v>124</v>
      </c>
      <c r="L38" s="234">
        <f t="shared" ref="L38:L54" si="10">SUM(C38:K38)</f>
        <v>2693</v>
      </c>
      <c r="M38" s="280">
        <v>669</v>
      </c>
      <c r="N38" s="280">
        <v>1249</v>
      </c>
      <c r="O38" s="280">
        <v>487</v>
      </c>
      <c r="P38" s="280">
        <v>35</v>
      </c>
      <c r="Q38" s="280">
        <v>44</v>
      </c>
      <c r="R38" s="280">
        <v>7</v>
      </c>
      <c r="S38" s="280">
        <v>0</v>
      </c>
      <c r="T38" s="280">
        <v>4</v>
      </c>
      <c r="U38" s="280">
        <v>20</v>
      </c>
      <c r="V38" s="256">
        <f t="shared" ref="V38:V47" si="11">SUM(M38:U38)</f>
        <v>2515</v>
      </c>
      <c r="W38" s="211">
        <v>1726</v>
      </c>
      <c r="X38" s="211">
        <f>3623+1639</f>
        <v>5262</v>
      </c>
      <c r="Y38" s="211">
        <f>3535+911</f>
        <v>4446</v>
      </c>
      <c r="Z38" s="214">
        <f>L38+V38+W38+X38+Y38</f>
        <v>16642</v>
      </c>
      <c r="AA38" s="215">
        <f t="shared" ref="AA38:AA48" si="12">C38+D38+F38+K38+M38+N38+P38+U38</f>
        <v>4111</v>
      </c>
    </row>
    <row r="39" spans="1:29" x14ac:dyDescent="0.25">
      <c r="A39" s="136" t="s">
        <v>75</v>
      </c>
      <c r="B39" s="137" t="s">
        <v>336</v>
      </c>
      <c r="C39" s="128">
        <v>2541</v>
      </c>
      <c r="D39" s="230">
        <v>1840</v>
      </c>
      <c r="E39" s="230">
        <v>1392</v>
      </c>
      <c r="F39" s="230">
        <v>85</v>
      </c>
      <c r="G39" s="230">
        <v>116</v>
      </c>
      <c r="H39" s="230">
        <v>0</v>
      </c>
      <c r="I39" s="230">
        <v>0</v>
      </c>
      <c r="J39" s="230">
        <v>183</v>
      </c>
      <c r="K39" s="230">
        <v>0</v>
      </c>
      <c r="L39" s="232">
        <f t="shared" si="10"/>
        <v>6157</v>
      </c>
      <c r="M39" s="230">
        <v>637</v>
      </c>
      <c r="N39" s="230">
        <v>1158</v>
      </c>
      <c r="O39" s="230">
        <v>589</v>
      </c>
      <c r="P39" s="230">
        <v>35</v>
      </c>
      <c r="Q39" s="230">
        <v>49</v>
      </c>
      <c r="R39" s="230">
        <v>0</v>
      </c>
      <c r="S39" s="230">
        <v>2</v>
      </c>
      <c r="T39" s="230">
        <v>0</v>
      </c>
      <c r="U39" s="230">
        <v>0</v>
      </c>
      <c r="V39" s="229">
        <f t="shared" si="11"/>
        <v>2470</v>
      </c>
      <c r="W39" s="204">
        <v>113</v>
      </c>
      <c r="X39" s="204"/>
      <c r="Y39" s="204"/>
      <c r="Z39" s="214">
        <f t="shared" ref="Z39:Z54" si="13">L39+V39+W39+X39+Y39</f>
        <v>8740</v>
      </c>
      <c r="AA39" s="215">
        <f t="shared" si="12"/>
        <v>6296</v>
      </c>
    </row>
    <row r="40" spans="1:29" x14ac:dyDescent="0.25">
      <c r="A40" s="136" t="s">
        <v>78</v>
      </c>
      <c r="B40" s="137" t="s">
        <v>314</v>
      </c>
      <c r="C40" s="128">
        <v>286</v>
      </c>
      <c r="D40" s="230">
        <v>527</v>
      </c>
      <c r="E40" s="230">
        <v>138</v>
      </c>
      <c r="F40" s="230">
        <v>15</v>
      </c>
      <c r="G40" s="230">
        <v>24</v>
      </c>
      <c r="H40" s="230">
        <v>0</v>
      </c>
      <c r="I40" s="230">
        <v>44</v>
      </c>
      <c r="J40" s="230">
        <v>162</v>
      </c>
      <c r="K40" s="230">
        <v>10</v>
      </c>
      <c r="L40" s="232">
        <f t="shared" si="10"/>
        <v>1206</v>
      </c>
      <c r="M40" s="230">
        <v>290</v>
      </c>
      <c r="N40" s="230">
        <v>586</v>
      </c>
      <c r="O40" s="230">
        <v>224</v>
      </c>
      <c r="P40" s="230">
        <v>21</v>
      </c>
      <c r="Q40" s="230">
        <v>4</v>
      </c>
      <c r="R40" s="230">
        <v>0</v>
      </c>
      <c r="S40" s="230">
        <v>0</v>
      </c>
      <c r="T40" s="230">
        <v>3</v>
      </c>
      <c r="U40" s="230">
        <v>28</v>
      </c>
      <c r="V40" s="229">
        <f t="shared" si="11"/>
        <v>1156</v>
      </c>
      <c r="W40" s="204">
        <v>939</v>
      </c>
      <c r="X40" s="204"/>
      <c r="Y40" s="204"/>
      <c r="Z40" s="214">
        <f t="shared" si="13"/>
        <v>3301</v>
      </c>
      <c r="AA40" s="215">
        <f t="shared" si="12"/>
        <v>1763</v>
      </c>
    </row>
    <row r="41" spans="1:29" x14ac:dyDescent="0.25">
      <c r="A41" s="136" t="s">
        <v>88</v>
      </c>
      <c r="B41" s="137" t="s">
        <v>337</v>
      </c>
      <c r="C41" s="128">
        <v>1264</v>
      </c>
      <c r="D41" s="230">
        <v>360</v>
      </c>
      <c r="E41" s="230">
        <v>398</v>
      </c>
      <c r="F41" s="230">
        <v>22</v>
      </c>
      <c r="G41" s="230">
        <v>32</v>
      </c>
      <c r="H41" s="230">
        <v>0</v>
      </c>
      <c r="I41" s="230">
        <v>20</v>
      </c>
      <c r="J41" s="230">
        <v>20</v>
      </c>
      <c r="K41" s="230">
        <v>0</v>
      </c>
      <c r="L41" s="232">
        <f t="shared" si="10"/>
        <v>2116</v>
      </c>
      <c r="M41" s="230">
        <v>964</v>
      </c>
      <c r="N41" s="230">
        <v>365</v>
      </c>
      <c r="O41" s="230">
        <v>291</v>
      </c>
      <c r="P41" s="230">
        <v>0</v>
      </c>
      <c r="Q41" s="230">
        <v>27</v>
      </c>
      <c r="R41" s="230">
        <v>49</v>
      </c>
      <c r="S41" s="230">
        <v>0</v>
      </c>
      <c r="T41" s="230">
        <v>4</v>
      </c>
      <c r="U41" s="230">
        <v>0</v>
      </c>
      <c r="V41" s="229">
        <f t="shared" si="11"/>
        <v>1700</v>
      </c>
      <c r="W41" s="204">
        <v>1657</v>
      </c>
      <c r="X41" s="204"/>
      <c r="Y41" s="204"/>
      <c r="Z41" s="214">
        <f t="shared" si="13"/>
        <v>5473</v>
      </c>
      <c r="AA41" s="215">
        <f t="shared" si="12"/>
        <v>2975</v>
      </c>
    </row>
    <row r="42" spans="1:29" x14ac:dyDescent="0.25">
      <c r="A42" s="136" t="s">
        <v>99</v>
      </c>
      <c r="B42" s="137" t="s">
        <v>338</v>
      </c>
      <c r="C42" s="128">
        <v>8120</v>
      </c>
      <c r="D42" s="230">
        <v>1301</v>
      </c>
      <c r="E42" s="230">
        <v>1532</v>
      </c>
      <c r="F42" s="230">
        <v>74</v>
      </c>
      <c r="G42" s="230">
        <v>159</v>
      </c>
      <c r="H42" s="230">
        <v>0</v>
      </c>
      <c r="I42" s="230">
        <v>177</v>
      </c>
      <c r="J42" s="230">
        <v>248</v>
      </c>
      <c r="K42" s="230">
        <v>0</v>
      </c>
      <c r="L42" s="232">
        <f t="shared" si="10"/>
        <v>11611</v>
      </c>
      <c r="M42" s="230">
        <v>693</v>
      </c>
      <c r="N42" s="230">
        <v>351</v>
      </c>
      <c r="O42" s="230">
        <v>175</v>
      </c>
      <c r="P42" s="230">
        <v>5</v>
      </c>
      <c r="Q42" s="230">
        <v>9</v>
      </c>
      <c r="R42" s="230">
        <v>52</v>
      </c>
      <c r="S42" s="230">
        <v>0</v>
      </c>
      <c r="T42" s="230">
        <v>4</v>
      </c>
      <c r="U42" s="230">
        <v>0</v>
      </c>
      <c r="V42" s="229">
        <f t="shared" si="11"/>
        <v>1289</v>
      </c>
      <c r="W42" s="204">
        <v>2551</v>
      </c>
      <c r="X42" s="204"/>
      <c r="Y42" s="204"/>
      <c r="Z42" s="214">
        <f t="shared" si="13"/>
        <v>15451</v>
      </c>
      <c r="AA42" s="215">
        <f t="shared" si="12"/>
        <v>10544</v>
      </c>
    </row>
    <row r="43" spans="1:29" x14ac:dyDescent="0.25">
      <c r="A43" s="136" t="s">
        <v>113</v>
      </c>
      <c r="B43" s="137" t="s">
        <v>339</v>
      </c>
      <c r="C43" s="128">
        <v>9358</v>
      </c>
      <c r="D43" s="230">
        <v>4308</v>
      </c>
      <c r="E43" s="230">
        <v>4080</v>
      </c>
      <c r="F43" s="230">
        <v>125</v>
      </c>
      <c r="G43" s="230">
        <v>135</v>
      </c>
      <c r="H43" s="230">
        <v>0</v>
      </c>
      <c r="I43" s="230">
        <v>0</v>
      </c>
      <c r="J43" s="230">
        <v>224</v>
      </c>
      <c r="K43" s="230">
        <v>3</v>
      </c>
      <c r="L43" s="232">
        <f t="shared" si="10"/>
        <v>18233</v>
      </c>
      <c r="M43" s="230">
        <v>9208</v>
      </c>
      <c r="N43" s="230">
        <v>17946</v>
      </c>
      <c r="O43" s="230">
        <v>10504</v>
      </c>
      <c r="P43" s="230">
        <v>257</v>
      </c>
      <c r="Q43" s="230">
        <v>392</v>
      </c>
      <c r="R43" s="230">
        <v>83</v>
      </c>
      <c r="S43" s="230">
        <v>0</v>
      </c>
      <c r="T43" s="230">
        <v>45</v>
      </c>
      <c r="U43" s="230">
        <v>0</v>
      </c>
      <c r="V43" s="229">
        <f t="shared" si="11"/>
        <v>38435</v>
      </c>
      <c r="W43" s="204">
        <v>406</v>
      </c>
      <c r="X43" s="204"/>
      <c r="Y43" s="204"/>
      <c r="Z43" s="214">
        <f t="shared" si="13"/>
        <v>57074</v>
      </c>
      <c r="AA43" s="215">
        <f t="shared" si="12"/>
        <v>41205</v>
      </c>
    </row>
    <row r="44" spans="1:29" x14ac:dyDescent="0.25">
      <c r="A44" s="136" t="s">
        <v>116</v>
      </c>
      <c r="B44" s="137" t="s">
        <v>316</v>
      </c>
      <c r="C44" s="128">
        <v>1214</v>
      </c>
      <c r="D44" s="230">
        <v>1191</v>
      </c>
      <c r="E44" s="230">
        <v>416</v>
      </c>
      <c r="F44" s="230">
        <v>23</v>
      </c>
      <c r="G44" s="230">
        <v>154</v>
      </c>
      <c r="H44" s="230">
        <v>5</v>
      </c>
      <c r="I44" s="230">
        <v>0</v>
      </c>
      <c r="J44" s="230">
        <v>62</v>
      </c>
      <c r="K44" s="230">
        <v>43</v>
      </c>
      <c r="L44" s="232">
        <f t="shared" si="10"/>
        <v>3108</v>
      </c>
      <c r="M44" s="230">
        <v>26</v>
      </c>
      <c r="N44" s="230">
        <v>18</v>
      </c>
      <c r="O44" s="230">
        <v>17</v>
      </c>
      <c r="P44" s="230">
        <v>0</v>
      </c>
      <c r="Q44" s="230">
        <v>6</v>
      </c>
      <c r="R44" s="230">
        <v>5</v>
      </c>
      <c r="S44" s="230">
        <v>0</v>
      </c>
      <c r="T44" s="230">
        <v>0</v>
      </c>
      <c r="U44" s="230">
        <v>23</v>
      </c>
      <c r="V44" s="229">
        <f t="shared" si="11"/>
        <v>95</v>
      </c>
      <c r="W44" s="204">
        <v>1303</v>
      </c>
      <c r="X44" s="204"/>
      <c r="Y44" s="204"/>
      <c r="Z44" s="214">
        <f t="shared" si="13"/>
        <v>4506</v>
      </c>
      <c r="AA44" s="215">
        <f t="shared" si="12"/>
        <v>2538</v>
      </c>
    </row>
    <row r="45" spans="1:29" x14ac:dyDescent="0.25">
      <c r="A45" s="136" t="s">
        <v>117</v>
      </c>
      <c r="B45" s="137" t="s">
        <v>317</v>
      </c>
      <c r="C45" s="128">
        <v>4988</v>
      </c>
      <c r="D45" s="230">
        <v>2429</v>
      </c>
      <c r="E45" s="230">
        <v>3417</v>
      </c>
      <c r="F45" s="230">
        <v>108</v>
      </c>
      <c r="G45" s="230">
        <v>181</v>
      </c>
      <c r="H45" s="230">
        <v>22</v>
      </c>
      <c r="I45" s="230">
        <v>0</v>
      </c>
      <c r="J45" s="230">
        <v>288</v>
      </c>
      <c r="K45" s="230">
        <v>0</v>
      </c>
      <c r="L45" s="232">
        <f t="shared" si="10"/>
        <v>11433</v>
      </c>
      <c r="M45" s="230">
        <v>541</v>
      </c>
      <c r="N45" s="230">
        <v>701</v>
      </c>
      <c r="O45" s="230">
        <v>552</v>
      </c>
      <c r="P45" s="230">
        <v>14</v>
      </c>
      <c r="Q45" s="230">
        <v>36</v>
      </c>
      <c r="R45" s="230">
        <v>28</v>
      </c>
      <c r="S45" s="230">
        <v>0</v>
      </c>
      <c r="T45" s="230">
        <v>20</v>
      </c>
      <c r="U45" s="230">
        <v>0</v>
      </c>
      <c r="V45" s="229">
        <f t="shared" si="11"/>
        <v>1892</v>
      </c>
      <c r="W45" s="204">
        <v>1315</v>
      </c>
      <c r="X45" s="204"/>
      <c r="Y45" s="204"/>
      <c r="Z45" s="214">
        <f t="shared" si="13"/>
        <v>14640</v>
      </c>
      <c r="AA45" s="215">
        <f t="shared" si="12"/>
        <v>8781</v>
      </c>
    </row>
    <row r="46" spans="1:29" x14ac:dyDescent="0.25">
      <c r="A46" s="136" t="s">
        <v>118</v>
      </c>
      <c r="B46" s="137" t="s">
        <v>340</v>
      </c>
      <c r="C46" s="230">
        <v>153</v>
      </c>
      <c r="D46" s="230">
        <v>257</v>
      </c>
      <c r="E46" s="230">
        <v>18</v>
      </c>
      <c r="F46" s="230">
        <v>9</v>
      </c>
      <c r="G46" s="230">
        <v>8</v>
      </c>
      <c r="H46" s="230">
        <v>0</v>
      </c>
      <c r="I46" s="230">
        <v>0</v>
      </c>
      <c r="J46" s="230">
        <v>35</v>
      </c>
      <c r="K46" s="230">
        <v>0</v>
      </c>
      <c r="L46" s="232">
        <f t="shared" si="10"/>
        <v>480</v>
      </c>
      <c r="M46" s="230">
        <v>98</v>
      </c>
      <c r="N46" s="230">
        <v>35</v>
      </c>
      <c r="O46" s="230">
        <v>9</v>
      </c>
      <c r="P46" s="230">
        <v>0</v>
      </c>
      <c r="Q46" s="230">
        <v>0</v>
      </c>
      <c r="R46" s="230">
        <v>0</v>
      </c>
      <c r="S46" s="230">
        <v>0</v>
      </c>
      <c r="T46" s="230">
        <v>0</v>
      </c>
      <c r="U46" s="230">
        <v>0</v>
      </c>
      <c r="V46" s="229">
        <f t="shared" si="11"/>
        <v>142</v>
      </c>
      <c r="W46" s="204">
        <v>50</v>
      </c>
      <c r="X46" s="204">
        <v>80</v>
      </c>
      <c r="Y46" s="204">
        <v>17</v>
      </c>
      <c r="Z46" s="214">
        <f t="shared" si="13"/>
        <v>769</v>
      </c>
      <c r="AA46" s="215">
        <f t="shared" si="12"/>
        <v>552</v>
      </c>
    </row>
    <row r="47" spans="1:29" x14ac:dyDescent="0.25">
      <c r="A47" s="136" t="s">
        <v>122</v>
      </c>
      <c r="B47" s="137" t="s">
        <v>341</v>
      </c>
      <c r="C47" s="230">
        <v>3231</v>
      </c>
      <c r="D47" s="230">
        <v>1820</v>
      </c>
      <c r="E47" s="230">
        <v>1199</v>
      </c>
      <c r="F47" s="230">
        <v>104</v>
      </c>
      <c r="G47" s="230">
        <v>175</v>
      </c>
      <c r="H47" s="230">
        <v>0</v>
      </c>
      <c r="I47" s="230">
        <v>47</v>
      </c>
      <c r="J47" s="230">
        <v>533</v>
      </c>
      <c r="K47" s="230">
        <v>0</v>
      </c>
      <c r="L47" s="232">
        <f t="shared" si="10"/>
        <v>7109</v>
      </c>
      <c r="M47" s="230">
        <v>2899</v>
      </c>
      <c r="N47" s="230">
        <v>4335</v>
      </c>
      <c r="O47" s="230">
        <v>2376</v>
      </c>
      <c r="P47" s="230">
        <v>120</v>
      </c>
      <c r="Q47" s="230">
        <v>221</v>
      </c>
      <c r="R47" s="230">
        <v>125</v>
      </c>
      <c r="S47" s="230">
        <v>0</v>
      </c>
      <c r="T47" s="230">
        <v>34</v>
      </c>
      <c r="U47" s="230">
        <v>0</v>
      </c>
      <c r="V47" s="229">
        <f t="shared" si="11"/>
        <v>10110</v>
      </c>
      <c r="W47" s="204">
        <v>950</v>
      </c>
      <c r="X47" s="204"/>
      <c r="Y47" s="204"/>
      <c r="Z47" s="214">
        <f t="shared" si="13"/>
        <v>18169</v>
      </c>
      <c r="AA47" s="215">
        <f t="shared" si="12"/>
        <v>12509</v>
      </c>
    </row>
    <row r="48" spans="1:29" ht="17.25" customHeight="1" x14ac:dyDescent="0.25">
      <c r="A48" s="136" t="s">
        <v>140</v>
      </c>
      <c r="B48" s="137" t="s">
        <v>265</v>
      </c>
      <c r="C48" s="230"/>
      <c r="D48" s="128"/>
      <c r="E48" s="128"/>
      <c r="F48" s="128"/>
      <c r="G48" s="128"/>
      <c r="H48" s="128"/>
      <c r="I48" s="128"/>
      <c r="J48" s="128"/>
      <c r="K48" s="128"/>
      <c r="L48" s="232">
        <f t="shared" si="10"/>
        <v>0</v>
      </c>
      <c r="M48" s="147"/>
      <c r="N48" s="147"/>
      <c r="O48" s="147"/>
      <c r="P48" s="147"/>
      <c r="Q48" s="147"/>
      <c r="R48" s="147"/>
      <c r="S48" s="147"/>
      <c r="T48" s="147"/>
      <c r="U48" s="147"/>
      <c r="V48" s="229"/>
      <c r="W48" s="205"/>
      <c r="X48" s="204">
        <v>6595</v>
      </c>
      <c r="Y48" s="204">
        <v>2465</v>
      </c>
      <c r="Z48" s="214">
        <f t="shared" si="13"/>
        <v>9060</v>
      </c>
      <c r="AA48" s="215">
        <f t="shared" si="12"/>
        <v>0</v>
      </c>
    </row>
    <row r="49" spans="1:29" x14ac:dyDescent="0.25">
      <c r="A49" s="136" t="s">
        <v>141</v>
      </c>
      <c r="B49" s="137" t="s">
        <v>342</v>
      </c>
      <c r="C49" s="230">
        <v>740</v>
      </c>
      <c r="D49" s="230">
        <v>447</v>
      </c>
      <c r="E49" s="230">
        <v>269</v>
      </c>
      <c r="F49" s="230">
        <v>41</v>
      </c>
      <c r="G49" s="230">
        <v>24</v>
      </c>
      <c r="H49" s="230">
        <v>0</v>
      </c>
      <c r="I49" s="230">
        <v>0</v>
      </c>
      <c r="J49" s="230">
        <v>116</v>
      </c>
      <c r="K49" s="230">
        <v>0</v>
      </c>
      <c r="L49" s="232">
        <f t="shared" si="10"/>
        <v>1637</v>
      </c>
      <c r="M49" s="230">
        <v>372</v>
      </c>
      <c r="N49" s="230">
        <v>504</v>
      </c>
      <c r="O49" s="230">
        <v>232</v>
      </c>
      <c r="P49" s="230">
        <v>12</v>
      </c>
      <c r="Q49" s="230">
        <v>31</v>
      </c>
      <c r="R49" s="230">
        <v>0</v>
      </c>
      <c r="S49" s="230">
        <v>0</v>
      </c>
      <c r="T49" s="230">
        <v>0</v>
      </c>
      <c r="U49" s="147"/>
      <c r="V49" s="229">
        <f t="shared" ref="V49:V54" si="14">SUM(M49:U49)</f>
        <v>1151</v>
      </c>
      <c r="W49" s="204">
        <v>807</v>
      </c>
      <c r="X49" s="204"/>
      <c r="Y49" s="204"/>
      <c r="Z49" s="214">
        <f t="shared" si="13"/>
        <v>3595</v>
      </c>
      <c r="AA49" s="215">
        <f t="shared" ref="AA49:AA54" si="15">C49+D49+F49+K49+M49+N49+P49+U49</f>
        <v>2116</v>
      </c>
    </row>
    <row r="50" spans="1:29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981</v>
      </c>
      <c r="F50" s="230">
        <v>0</v>
      </c>
      <c r="G50" s="230">
        <v>0</v>
      </c>
      <c r="H50" s="230">
        <v>103</v>
      </c>
      <c r="I50" s="230">
        <v>0</v>
      </c>
      <c r="J50" s="230">
        <v>4353</v>
      </c>
      <c r="K50" s="230">
        <v>0</v>
      </c>
      <c r="L50" s="232">
        <f t="shared" si="10"/>
        <v>5437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147"/>
      <c r="V50" s="229">
        <f t="shared" si="14"/>
        <v>0</v>
      </c>
      <c r="W50" s="204">
        <f>283+328</f>
        <v>611</v>
      </c>
      <c r="X50" s="204"/>
      <c r="Y50" s="204"/>
      <c r="Z50" s="214">
        <f t="shared" si="13"/>
        <v>6048</v>
      </c>
      <c r="AA50" s="215">
        <f t="shared" si="15"/>
        <v>0</v>
      </c>
    </row>
    <row r="51" spans="1:29" x14ac:dyDescent="0.25">
      <c r="A51" s="136" t="s">
        <v>147</v>
      </c>
      <c r="B51" s="137" t="s">
        <v>322</v>
      </c>
      <c r="C51" s="230">
        <v>8285</v>
      </c>
      <c r="D51" s="230">
        <v>2478</v>
      </c>
      <c r="E51" s="230">
        <v>1986</v>
      </c>
      <c r="F51" s="230">
        <v>66</v>
      </c>
      <c r="G51" s="230">
        <v>89</v>
      </c>
      <c r="H51" s="230">
        <v>1</v>
      </c>
      <c r="I51" s="230">
        <v>0</v>
      </c>
      <c r="J51" s="230">
        <v>557</v>
      </c>
      <c r="K51" s="230">
        <v>0</v>
      </c>
      <c r="L51" s="232">
        <f t="shared" si="10"/>
        <v>13462</v>
      </c>
      <c r="M51" s="230">
        <v>1614</v>
      </c>
      <c r="N51" s="230">
        <v>1584</v>
      </c>
      <c r="O51" s="230">
        <v>886</v>
      </c>
      <c r="P51" s="230">
        <v>21</v>
      </c>
      <c r="Q51" s="230">
        <v>52</v>
      </c>
      <c r="R51" s="230">
        <v>83</v>
      </c>
      <c r="S51" s="230">
        <v>0</v>
      </c>
      <c r="T51" s="230">
        <v>15</v>
      </c>
      <c r="U51" s="147"/>
      <c r="V51" s="229">
        <f t="shared" si="14"/>
        <v>4255</v>
      </c>
      <c r="W51" s="204">
        <v>308</v>
      </c>
      <c r="X51" s="204"/>
      <c r="Y51" s="204"/>
      <c r="Z51" s="214">
        <f t="shared" si="13"/>
        <v>18025</v>
      </c>
      <c r="AA51" s="215">
        <f t="shared" si="15"/>
        <v>14048</v>
      </c>
    </row>
    <row r="52" spans="1:29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>
        <v>1626</v>
      </c>
      <c r="K52" s="128"/>
      <c r="L52" s="232">
        <f t="shared" si="10"/>
        <v>1626</v>
      </c>
      <c r="M52" s="147"/>
      <c r="N52" s="147"/>
      <c r="O52" s="147"/>
      <c r="P52" s="147"/>
      <c r="Q52" s="147"/>
      <c r="R52" s="147"/>
      <c r="S52" s="147"/>
      <c r="T52" s="147">
        <v>3090</v>
      </c>
      <c r="U52" s="147"/>
      <c r="V52" s="229">
        <f t="shared" si="14"/>
        <v>3090</v>
      </c>
      <c r="W52" s="205"/>
      <c r="X52" s="204"/>
      <c r="Y52" s="204"/>
      <c r="Z52" s="214">
        <f t="shared" si="13"/>
        <v>4716</v>
      </c>
      <c r="AA52" s="215">
        <f t="shared" si="15"/>
        <v>0</v>
      </c>
    </row>
    <row r="53" spans="1:29" x14ac:dyDescent="0.25">
      <c r="A53" s="136" t="s">
        <v>174</v>
      </c>
      <c r="B53" s="137" t="s">
        <v>344</v>
      </c>
      <c r="C53" s="230">
        <v>4377</v>
      </c>
      <c r="D53" s="230">
        <v>1772</v>
      </c>
      <c r="E53" s="230">
        <v>1230</v>
      </c>
      <c r="F53" s="230">
        <v>72</v>
      </c>
      <c r="G53" s="230">
        <v>91</v>
      </c>
      <c r="H53" s="230">
        <v>1</v>
      </c>
      <c r="I53" s="230">
        <v>75</v>
      </c>
      <c r="J53" s="230">
        <v>328</v>
      </c>
      <c r="K53" s="230">
        <v>0</v>
      </c>
      <c r="L53" s="232">
        <f t="shared" si="10"/>
        <v>7946</v>
      </c>
      <c r="M53" s="230">
        <v>918</v>
      </c>
      <c r="N53" s="230">
        <v>1228</v>
      </c>
      <c r="O53" s="230">
        <v>763</v>
      </c>
      <c r="P53" s="230">
        <v>21</v>
      </c>
      <c r="Q53" s="230">
        <v>24</v>
      </c>
      <c r="R53" s="230">
        <v>138</v>
      </c>
      <c r="S53" s="230">
        <v>0</v>
      </c>
      <c r="T53" s="230">
        <v>23</v>
      </c>
      <c r="U53" s="147"/>
      <c r="V53" s="229">
        <f t="shared" si="14"/>
        <v>3115</v>
      </c>
      <c r="W53" s="204">
        <v>1153</v>
      </c>
      <c r="X53" s="204"/>
      <c r="Y53" s="204"/>
      <c r="Z53" s="214">
        <f t="shared" si="13"/>
        <v>12214</v>
      </c>
      <c r="AA53" s="215">
        <f t="shared" si="15"/>
        <v>8388</v>
      </c>
    </row>
    <row r="54" spans="1:29" ht="13.8" thickBot="1" x14ac:dyDescent="0.3">
      <c r="A54" s="136" t="s">
        <v>186</v>
      </c>
      <c r="B54" s="137" t="s">
        <v>345</v>
      </c>
      <c r="C54" s="265">
        <v>475</v>
      </c>
      <c r="D54" s="265">
        <v>473</v>
      </c>
      <c r="E54" s="265">
        <v>249</v>
      </c>
      <c r="F54" s="265">
        <v>25</v>
      </c>
      <c r="G54" s="265">
        <v>9</v>
      </c>
      <c r="H54" s="265">
        <v>33</v>
      </c>
      <c r="I54" s="265">
        <v>10</v>
      </c>
      <c r="J54" s="265">
        <v>86</v>
      </c>
      <c r="K54" s="265">
        <v>0</v>
      </c>
      <c r="L54" s="239">
        <f t="shared" si="10"/>
        <v>1360</v>
      </c>
      <c r="M54" s="265">
        <v>687</v>
      </c>
      <c r="N54" s="265">
        <v>1425</v>
      </c>
      <c r="O54" s="265">
        <v>667</v>
      </c>
      <c r="P54" s="265">
        <v>94</v>
      </c>
      <c r="Q54" s="265">
        <v>32</v>
      </c>
      <c r="R54" s="265">
        <v>0</v>
      </c>
      <c r="S54" s="265">
        <v>0</v>
      </c>
      <c r="T54" s="265">
        <v>22</v>
      </c>
      <c r="U54" s="193"/>
      <c r="V54" s="184">
        <f t="shared" si="14"/>
        <v>2927</v>
      </c>
      <c r="W54" s="209">
        <v>817</v>
      </c>
      <c r="X54" s="209"/>
      <c r="Y54" s="209"/>
      <c r="Z54" s="214">
        <f t="shared" si="13"/>
        <v>5104</v>
      </c>
      <c r="AA54" s="217">
        <f t="shared" si="15"/>
        <v>3179</v>
      </c>
    </row>
    <row r="55" spans="1:29" s="109" customFormat="1" ht="14.4" thickBot="1" x14ac:dyDescent="0.3">
      <c r="A55" s="134"/>
      <c r="B55" s="159" t="s">
        <v>459</v>
      </c>
      <c r="C55" s="258">
        <f t="shared" ref="C55:AA55" si="16">SUM(C38:C54)</f>
        <v>45645</v>
      </c>
      <c r="D55" s="157">
        <f t="shared" si="16"/>
        <v>20577</v>
      </c>
      <c r="E55" s="157">
        <f t="shared" si="16"/>
        <v>17619</v>
      </c>
      <c r="F55" s="157">
        <f t="shared" si="16"/>
        <v>796</v>
      </c>
      <c r="G55" s="157">
        <f t="shared" si="16"/>
        <v>1259</v>
      </c>
      <c r="H55" s="157">
        <f t="shared" si="16"/>
        <v>165</v>
      </c>
      <c r="I55" s="157">
        <f t="shared" si="16"/>
        <v>373</v>
      </c>
      <c r="J55" s="157">
        <f t="shared" si="16"/>
        <v>9000</v>
      </c>
      <c r="K55" s="259">
        <f t="shared" si="16"/>
        <v>180</v>
      </c>
      <c r="L55" s="260">
        <f t="shared" si="16"/>
        <v>95614</v>
      </c>
      <c r="M55" s="262">
        <f t="shared" si="16"/>
        <v>19616</v>
      </c>
      <c r="N55" s="158">
        <f t="shared" si="16"/>
        <v>31485</v>
      </c>
      <c r="O55" s="158">
        <f t="shared" si="16"/>
        <v>17772</v>
      </c>
      <c r="P55" s="158">
        <f t="shared" si="16"/>
        <v>635</v>
      </c>
      <c r="Q55" s="158">
        <f t="shared" si="16"/>
        <v>927</v>
      </c>
      <c r="R55" s="158">
        <f t="shared" si="16"/>
        <v>570</v>
      </c>
      <c r="S55" s="158">
        <f t="shared" si="16"/>
        <v>2</v>
      </c>
      <c r="T55" s="158">
        <f t="shared" si="16"/>
        <v>3264</v>
      </c>
      <c r="U55" s="264">
        <f t="shared" si="16"/>
        <v>71</v>
      </c>
      <c r="V55" s="180">
        <f t="shared" si="16"/>
        <v>74342</v>
      </c>
      <c r="W55" s="210">
        <f t="shared" si="16"/>
        <v>14706</v>
      </c>
      <c r="X55" s="210">
        <f t="shared" si="16"/>
        <v>11937</v>
      </c>
      <c r="Y55" s="210">
        <f t="shared" si="16"/>
        <v>6928</v>
      </c>
      <c r="Z55" s="210">
        <f t="shared" si="16"/>
        <v>203527</v>
      </c>
      <c r="AA55" s="210">
        <f t="shared" si="16"/>
        <v>119005</v>
      </c>
      <c r="AC55"/>
    </row>
    <row r="56" spans="1:29" x14ac:dyDescent="0.25">
      <c r="A56" s="136" t="s">
        <v>71</v>
      </c>
      <c r="B56" s="137" t="s">
        <v>305</v>
      </c>
      <c r="C56" s="280">
        <v>1</v>
      </c>
      <c r="D56" s="280">
        <v>0</v>
      </c>
      <c r="E56" s="280">
        <v>0</v>
      </c>
      <c r="F56" s="280">
        <v>0</v>
      </c>
      <c r="G56" s="280">
        <v>0</v>
      </c>
      <c r="H56" s="280">
        <v>0</v>
      </c>
      <c r="I56" s="280">
        <v>0</v>
      </c>
      <c r="J56" s="280">
        <v>1807</v>
      </c>
      <c r="K56" s="280">
        <v>0</v>
      </c>
      <c r="L56" s="232">
        <f t="shared" ref="L56:L71" si="17">SUM(C56:K56)</f>
        <v>1808</v>
      </c>
      <c r="M56" s="280">
        <v>0</v>
      </c>
      <c r="N56" s="280">
        <v>0</v>
      </c>
      <c r="O56" s="280">
        <v>0</v>
      </c>
      <c r="P56" s="280">
        <v>0</v>
      </c>
      <c r="Q56" s="280">
        <v>0</v>
      </c>
      <c r="R56" s="280">
        <v>0</v>
      </c>
      <c r="S56" s="280">
        <v>0</v>
      </c>
      <c r="T56" s="280">
        <v>0</v>
      </c>
      <c r="U56" s="192"/>
      <c r="V56" s="176">
        <f t="shared" ref="V56:V65" si="18">SUM(M56:U56)</f>
        <v>0</v>
      </c>
      <c r="W56" s="211">
        <f>13166+5214+9345</f>
        <v>27725</v>
      </c>
      <c r="X56" s="211"/>
      <c r="Y56" s="211"/>
      <c r="Z56" s="214">
        <f>L56+V56+W56+X56+Y56</f>
        <v>29533</v>
      </c>
      <c r="AA56" s="215">
        <f t="shared" ref="AA56:AA65" si="19">C56+D56+F56+K56+M56+N56+P56+U56</f>
        <v>1</v>
      </c>
      <c r="AB56" s="142">
        <f>L56</f>
        <v>1808</v>
      </c>
    </row>
    <row r="57" spans="1:29" x14ac:dyDescent="0.25">
      <c r="A57" s="136" t="s">
        <v>77</v>
      </c>
      <c r="B57" s="137" t="s">
        <v>306</v>
      </c>
      <c r="C57" s="230">
        <v>4457</v>
      </c>
      <c r="D57" s="230">
        <v>2356</v>
      </c>
      <c r="E57" s="230">
        <v>2117</v>
      </c>
      <c r="F57" s="230">
        <v>156</v>
      </c>
      <c r="G57" s="230">
        <v>68</v>
      </c>
      <c r="H57" s="230">
        <v>2</v>
      </c>
      <c r="I57" s="230">
        <v>0</v>
      </c>
      <c r="J57" s="230">
        <v>192</v>
      </c>
      <c r="K57" s="230">
        <v>25</v>
      </c>
      <c r="L57" s="232">
        <f t="shared" si="17"/>
        <v>9373</v>
      </c>
      <c r="M57" s="230">
        <v>771</v>
      </c>
      <c r="N57" s="230">
        <v>1503</v>
      </c>
      <c r="O57" s="230">
        <v>577</v>
      </c>
      <c r="P57" s="230">
        <v>29</v>
      </c>
      <c r="Q57" s="230">
        <v>56</v>
      </c>
      <c r="R57" s="230">
        <v>118</v>
      </c>
      <c r="S57" s="230">
        <v>0</v>
      </c>
      <c r="T57" s="230">
        <v>42</v>
      </c>
      <c r="U57" s="189"/>
      <c r="V57" s="176">
        <f t="shared" si="18"/>
        <v>3096</v>
      </c>
      <c r="W57" s="204">
        <v>1111</v>
      </c>
      <c r="X57" s="204"/>
      <c r="Y57" s="204"/>
      <c r="Z57" s="214">
        <f t="shared" ref="Z57:Z71" si="20">L57+V57+W57+X57+Y57</f>
        <v>13580</v>
      </c>
      <c r="AA57" s="215">
        <f t="shared" si="19"/>
        <v>9297</v>
      </c>
    </row>
    <row r="58" spans="1:29" x14ac:dyDescent="0.25">
      <c r="A58" s="136" t="s">
        <v>102</v>
      </c>
      <c r="B58" s="137" t="s">
        <v>315</v>
      </c>
      <c r="C58" s="230">
        <v>0</v>
      </c>
      <c r="D58" s="230">
        <v>0</v>
      </c>
      <c r="E58" s="230">
        <v>15</v>
      </c>
      <c r="F58" s="230">
        <v>0</v>
      </c>
      <c r="G58" s="230">
        <v>0</v>
      </c>
      <c r="H58" s="230">
        <v>0</v>
      </c>
      <c r="I58" s="230">
        <v>0</v>
      </c>
      <c r="J58" s="230">
        <v>57</v>
      </c>
      <c r="K58" s="230">
        <v>0</v>
      </c>
      <c r="L58" s="232">
        <f t="shared" si="17"/>
        <v>72</v>
      </c>
      <c r="M58" s="230">
        <v>0</v>
      </c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189"/>
      <c r="V58" s="176">
        <f>SUM(M58:U58)</f>
        <v>0</v>
      </c>
      <c r="W58" s="205"/>
      <c r="X58" s="204"/>
      <c r="Y58" s="204"/>
      <c r="Z58" s="214">
        <f t="shared" si="20"/>
        <v>72</v>
      </c>
      <c r="AA58" s="215">
        <f>C58+D58+F58+K58+M58+N58+P58+U58</f>
        <v>0</v>
      </c>
    </row>
    <row r="59" spans="1:29" x14ac:dyDescent="0.25">
      <c r="A59" s="136" t="s">
        <v>103</v>
      </c>
      <c r="B59" s="137" t="s">
        <v>297</v>
      </c>
      <c r="C59" s="230">
        <v>510</v>
      </c>
      <c r="D59" s="230">
        <v>99</v>
      </c>
      <c r="E59" s="230">
        <v>217</v>
      </c>
      <c r="F59" s="230">
        <v>8</v>
      </c>
      <c r="G59" s="230">
        <v>7</v>
      </c>
      <c r="H59" s="230">
        <v>0</v>
      </c>
      <c r="I59" s="230">
        <v>0</v>
      </c>
      <c r="J59" s="230">
        <v>12</v>
      </c>
      <c r="K59" s="230">
        <v>0</v>
      </c>
      <c r="L59" s="232">
        <f t="shared" si="17"/>
        <v>853</v>
      </c>
      <c r="M59" s="230">
        <v>114</v>
      </c>
      <c r="N59" s="230">
        <v>42</v>
      </c>
      <c r="O59" s="230">
        <v>44</v>
      </c>
      <c r="P59" s="230">
        <v>0</v>
      </c>
      <c r="Q59" s="230">
        <v>2</v>
      </c>
      <c r="R59" s="230">
        <v>0</v>
      </c>
      <c r="S59" s="230">
        <v>0</v>
      </c>
      <c r="T59" s="230">
        <v>0</v>
      </c>
      <c r="U59" s="189"/>
      <c r="V59" s="176">
        <f>SUM(M59:U59)</f>
        <v>202</v>
      </c>
      <c r="W59" s="204">
        <v>740</v>
      </c>
      <c r="X59" s="204"/>
      <c r="Y59" s="204"/>
      <c r="Z59" s="214">
        <f t="shared" si="20"/>
        <v>1795</v>
      </c>
      <c r="AA59" s="215">
        <f>C59+D59+F59+K59+M59+N59+P59+U59</f>
        <v>773</v>
      </c>
    </row>
    <row r="60" spans="1:29" x14ac:dyDescent="0.25">
      <c r="A60" s="136" t="s">
        <v>112</v>
      </c>
      <c r="B60" s="137" t="s">
        <v>307</v>
      </c>
      <c r="C60" s="230">
        <v>5512</v>
      </c>
      <c r="D60" s="230">
        <v>2503</v>
      </c>
      <c r="E60" s="230">
        <v>3047</v>
      </c>
      <c r="F60" s="230">
        <v>78</v>
      </c>
      <c r="G60" s="230">
        <v>97</v>
      </c>
      <c r="H60" s="230">
        <v>33</v>
      </c>
      <c r="I60" s="230">
        <v>0</v>
      </c>
      <c r="J60" s="230">
        <v>527</v>
      </c>
      <c r="K60" s="230">
        <v>0</v>
      </c>
      <c r="L60" s="232">
        <f t="shared" si="17"/>
        <v>11797</v>
      </c>
      <c r="M60" s="230">
        <v>1239</v>
      </c>
      <c r="N60" s="230">
        <v>2017</v>
      </c>
      <c r="O60" s="230">
        <v>943</v>
      </c>
      <c r="P60" s="230">
        <v>61</v>
      </c>
      <c r="Q60" s="230">
        <v>115</v>
      </c>
      <c r="R60" s="230">
        <v>0</v>
      </c>
      <c r="S60" s="230">
        <v>0</v>
      </c>
      <c r="T60" s="230">
        <v>53</v>
      </c>
      <c r="U60" s="230">
        <v>0</v>
      </c>
      <c r="V60" s="229">
        <f t="shared" si="18"/>
        <v>4428</v>
      </c>
      <c r="W60" s="204">
        <v>0</v>
      </c>
      <c r="X60" s="204"/>
      <c r="Y60" s="204"/>
      <c r="Z60" s="214">
        <f t="shared" si="20"/>
        <v>16225</v>
      </c>
      <c r="AA60" s="215">
        <f t="shared" si="19"/>
        <v>11410</v>
      </c>
    </row>
    <row r="61" spans="1:29" x14ac:dyDescent="0.25">
      <c r="A61" s="136" t="s">
        <v>120</v>
      </c>
      <c r="B61" s="137" t="s">
        <v>318</v>
      </c>
      <c r="C61" s="230">
        <v>6014</v>
      </c>
      <c r="D61" s="230">
        <v>1801</v>
      </c>
      <c r="E61" s="230">
        <v>2096</v>
      </c>
      <c r="F61" s="230">
        <v>78</v>
      </c>
      <c r="G61" s="230">
        <v>129</v>
      </c>
      <c r="H61" s="230">
        <v>0</v>
      </c>
      <c r="I61" s="230">
        <v>43</v>
      </c>
      <c r="J61" s="230">
        <v>558</v>
      </c>
      <c r="K61" s="230">
        <v>509</v>
      </c>
      <c r="L61" s="232">
        <f t="shared" si="17"/>
        <v>11228</v>
      </c>
      <c r="M61" s="230">
        <v>2201</v>
      </c>
      <c r="N61" s="230">
        <v>1851</v>
      </c>
      <c r="O61" s="230">
        <v>1368</v>
      </c>
      <c r="P61" s="230">
        <v>39</v>
      </c>
      <c r="Q61" s="230">
        <v>95</v>
      </c>
      <c r="R61" s="230">
        <v>0</v>
      </c>
      <c r="S61" s="230">
        <v>0</v>
      </c>
      <c r="T61" s="230">
        <v>78</v>
      </c>
      <c r="U61" s="230">
        <v>11</v>
      </c>
      <c r="V61" s="229">
        <f>SUM(M61:U61)</f>
        <v>5643</v>
      </c>
      <c r="W61" s="204">
        <v>879</v>
      </c>
      <c r="X61" s="204"/>
      <c r="Y61" s="204"/>
      <c r="Z61" s="214">
        <f t="shared" si="20"/>
        <v>17750</v>
      </c>
      <c r="AA61" s="215">
        <f>C61+D61+F61+K61+M61+N61+P61+U61</f>
        <v>12504</v>
      </c>
    </row>
    <row r="62" spans="1:29" x14ac:dyDescent="0.25">
      <c r="A62" s="136" t="s">
        <v>131</v>
      </c>
      <c r="B62" s="137" t="s">
        <v>308</v>
      </c>
      <c r="C62" s="230">
        <v>2640</v>
      </c>
      <c r="D62" s="230">
        <v>948</v>
      </c>
      <c r="E62" s="230">
        <v>1103</v>
      </c>
      <c r="F62" s="230">
        <v>69</v>
      </c>
      <c r="G62" s="230">
        <v>108</v>
      </c>
      <c r="H62" s="230">
        <v>0</v>
      </c>
      <c r="I62" s="230">
        <v>36</v>
      </c>
      <c r="J62" s="230">
        <v>398</v>
      </c>
      <c r="K62" s="230">
        <v>0</v>
      </c>
      <c r="L62" s="232">
        <f t="shared" si="17"/>
        <v>5302</v>
      </c>
      <c r="M62" s="230">
        <v>1283</v>
      </c>
      <c r="N62" s="230">
        <v>2530</v>
      </c>
      <c r="O62" s="230">
        <v>1337</v>
      </c>
      <c r="P62" s="230">
        <v>103</v>
      </c>
      <c r="Q62" s="230">
        <v>132</v>
      </c>
      <c r="R62" s="230">
        <v>8</v>
      </c>
      <c r="S62" s="230">
        <v>0</v>
      </c>
      <c r="T62" s="230">
        <v>8</v>
      </c>
      <c r="U62" s="230">
        <v>0</v>
      </c>
      <c r="V62" s="229">
        <f t="shared" si="18"/>
        <v>5401</v>
      </c>
      <c r="W62" s="204">
        <v>952</v>
      </c>
      <c r="X62" s="204"/>
      <c r="Y62" s="204"/>
      <c r="Z62" s="214">
        <f t="shared" si="20"/>
        <v>11655</v>
      </c>
      <c r="AA62" s="215">
        <f t="shared" si="19"/>
        <v>7573</v>
      </c>
    </row>
    <row r="63" spans="1:29" x14ac:dyDescent="0.25">
      <c r="A63" s="136" t="s">
        <v>133</v>
      </c>
      <c r="B63" s="137" t="s">
        <v>319</v>
      </c>
      <c r="C63" s="230">
        <v>789</v>
      </c>
      <c r="D63" s="230">
        <v>832</v>
      </c>
      <c r="E63" s="230">
        <v>402</v>
      </c>
      <c r="F63" s="230">
        <v>27</v>
      </c>
      <c r="G63" s="230">
        <v>30</v>
      </c>
      <c r="H63" s="230">
        <v>0</v>
      </c>
      <c r="I63" s="230">
        <v>0</v>
      </c>
      <c r="J63" s="230">
        <v>106</v>
      </c>
      <c r="K63" s="230">
        <v>0</v>
      </c>
      <c r="L63" s="232">
        <f t="shared" si="17"/>
        <v>2186</v>
      </c>
      <c r="M63" s="230">
        <v>393</v>
      </c>
      <c r="N63" s="230">
        <v>554</v>
      </c>
      <c r="O63" s="230">
        <v>282</v>
      </c>
      <c r="P63" s="230">
        <v>38</v>
      </c>
      <c r="Q63" s="230">
        <v>10</v>
      </c>
      <c r="R63" s="230">
        <v>0</v>
      </c>
      <c r="S63" s="230">
        <v>0</v>
      </c>
      <c r="T63" s="230">
        <v>0</v>
      </c>
      <c r="U63" s="230">
        <v>0</v>
      </c>
      <c r="V63" s="229">
        <f>SUM(M63:U63)</f>
        <v>1277</v>
      </c>
      <c r="W63" s="204">
        <v>690</v>
      </c>
      <c r="X63" s="204"/>
      <c r="Y63" s="204"/>
      <c r="Z63" s="214">
        <f t="shared" si="20"/>
        <v>4153</v>
      </c>
      <c r="AA63" s="215">
        <f>C63+D63+F63+K63+M63+N63+P63+U63</f>
        <v>2633</v>
      </c>
    </row>
    <row r="64" spans="1:29" x14ac:dyDescent="0.25">
      <c r="A64" s="136" t="s">
        <v>134</v>
      </c>
      <c r="B64" s="137" t="s">
        <v>320</v>
      </c>
      <c r="C64" s="230">
        <v>280</v>
      </c>
      <c r="D64" s="230">
        <v>187</v>
      </c>
      <c r="E64" s="230">
        <v>87</v>
      </c>
      <c r="F64" s="230">
        <v>13</v>
      </c>
      <c r="G64" s="230">
        <v>7</v>
      </c>
      <c r="H64" s="230">
        <v>0</v>
      </c>
      <c r="I64" s="230">
        <v>0</v>
      </c>
      <c r="J64" s="230">
        <v>44</v>
      </c>
      <c r="K64" s="230">
        <v>0</v>
      </c>
      <c r="L64" s="232">
        <f t="shared" si="17"/>
        <v>618</v>
      </c>
      <c r="M64" s="230">
        <v>87</v>
      </c>
      <c r="N64" s="230">
        <v>80</v>
      </c>
      <c r="O64" s="230">
        <v>68</v>
      </c>
      <c r="P64" s="230">
        <v>4</v>
      </c>
      <c r="Q64" s="230">
        <v>16</v>
      </c>
      <c r="R64" s="230">
        <v>0</v>
      </c>
      <c r="S64" s="230">
        <v>0</v>
      </c>
      <c r="T64" s="230">
        <v>0</v>
      </c>
      <c r="U64" s="230">
        <v>0</v>
      </c>
      <c r="V64" s="229">
        <f>SUM(M64:U64)</f>
        <v>255</v>
      </c>
      <c r="W64" s="204">
        <v>437</v>
      </c>
      <c r="X64" s="204"/>
      <c r="Y64" s="204"/>
      <c r="Z64" s="214">
        <f t="shared" si="20"/>
        <v>1310</v>
      </c>
      <c r="AA64" s="215">
        <f>C64+D64+F64+K64+M64+N64+P64+U64</f>
        <v>651</v>
      </c>
    </row>
    <row r="65" spans="1:29" x14ac:dyDescent="0.25">
      <c r="A65" s="136" t="s">
        <v>145</v>
      </c>
      <c r="B65" s="137" t="s">
        <v>309</v>
      </c>
      <c r="C65" s="230">
        <v>798</v>
      </c>
      <c r="D65" s="230">
        <v>260</v>
      </c>
      <c r="E65" s="230">
        <v>312</v>
      </c>
      <c r="F65" s="230">
        <v>59</v>
      </c>
      <c r="G65" s="230">
        <v>19</v>
      </c>
      <c r="H65" s="230">
        <v>0</v>
      </c>
      <c r="I65" s="230">
        <v>0</v>
      </c>
      <c r="J65" s="230">
        <v>198</v>
      </c>
      <c r="K65" s="230">
        <v>0</v>
      </c>
      <c r="L65" s="232">
        <f t="shared" si="17"/>
        <v>1646</v>
      </c>
      <c r="M65" s="230">
        <v>817</v>
      </c>
      <c r="N65" s="230">
        <v>757</v>
      </c>
      <c r="O65" s="230">
        <v>454</v>
      </c>
      <c r="P65" s="230">
        <v>12</v>
      </c>
      <c r="Q65" s="230">
        <v>8</v>
      </c>
      <c r="R65" s="230">
        <v>0</v>
      </c>
      <c r="S65" s="230">
        <v>0</v>
      </c>
      <c r="T65" s="230">
        <v>34</v>
      </c>
      <c r="U65" s="230">
        <v>0</v>
      </c>
      <c r="V65" s="229">
        <f t="shared" si="18"/>
        <v>2082</v>
      </c>
      <c r="W65" s="204">
        <f>310+248</f>
        <v>558</v>
      </c>
      <c r="X65" s="204"/>
      <c r="Y65" s="204"/>
      <c r="Z65" s="214">
        <f t="shared" si="20"/>
        <v>4286</v>
      </c>
      <c r="AA65" s="215">
        <f t="shared" si="19"/>
        <v>2703</v>
      </c>
    </row>
    <row r="66" spans="1:29" x14ac:dyDescent="0.25">
      <c r="A66" s="136" t="s">
        <v>149</v>
      </c>
      <c r="B66" s="137" t="s">
        <v>353</v>
      </c>
      <c r="C66" s="230">
        <v>137</v>
      </c>
      <c r="D66" s="230">
        <v>109</v>
      </c>
      <c r="E66" s="230">
        <v>49</v>
      </c>
      <c r="F66" s="230">
        <v>16</v>
      </c>
      <c r="G66" s="230">
        <v>5</v>
      </c>
      <c r="H66" s="230">
        <v>0</v>
      </c>
      <c r="I66" s="230">
        <v>0</v>
      </c>
      <c r="J66" s="230">
        <v>24</v>
      </c>
      <c r="K66" s="230">
        <v>0</v>
      </c>
      <c r="L66" s="232">
        <f t="shared" si="17"/>
        <v>340</v>
      </c>
      <c r="M66" s="230">
        <v>67</v>
      </c>
      <c r="N66" s="230">
        <v>124</v>
      </c>
      <c r="O66" s="230">
        <v>28</v>
      </c>
      <c r="P66" s="230">
        <v>6</v>
      </c>
      <c r="Q66" s="230">
        <v>6</v>
      </c>
      <c r="R66" s="230">
        <v>0</v>
      </c>
      <c r="S66" s="230">
        <v>0</v>
      </c>
      <c r="T66" s="230">
        <v>0</v>
      </c>
      <c r="U66" s="230">
        <v>0</v>
      </c>
      <c r="V66" s="229">
        <f t="shared" ref="V66:V71" si="21">SUM(M66:U66)</f>
        <v>231</v>
      </c>
      <c r="W66" s="204">
        <v>126</v>
      </c>
      <c r="X66" s="204"/>
      <c r="Y66" s="204"/>
      <c r="Z66" s="214">
        <f t="shared" si="20"/>
        <v>697</v>
      </c>
      <c r="AA66" s="215">
        <f t="shared" ref="AA66:AA71" si="22">C66+D66+F66+K66+M66+N66+P66+U66</f>
        <v>459</v>
      </c>
    </row>
    <row r="67" spans="1:29" x14ac:dyDescent="0.25">
      <c r="A67" s="136" t="s">
        <v>182</v>
      </c>
      <c r="B67" s="137" t="s">
        <v>357</v>
      </c>
      <c r="C67" s="230">
        <v>2757</v>
      </c>
      <c r="D67" s="230">
        <v>366</v>
      </c>
      <c r="E67" s="230">
        <v>1251</v>
      </c>
      <c r="F67" s="230">
        <v>51</v>
      </c>
      <c r="G67" s="230">
        <v>34</v>
      </c>
      <c r="H67" s="230">
        <v>0</v>
      </c>
      <c r="I67" s="230">
        <v>0</v>
      </c>
      <c r="J67" s="230">
        <v>88</v>
      </c>
      <c r="K67" s="230">
        <v>2</v>
      </c>
      <c r="L67" s="232">
        <f t="shared" si="17"/>
        <v>4549</v>
      </c>
      <c r="M67" s="230">
        <v>428</v>
      </c>
      <c r="N67" s="230">
        <v>467</v>
      </c>
      <c r="O67" s="230">
        <v>266</v>
      </c>
      <c r="P67" s="230">
        <v>11</v>
      </c>
      <c r="Q67" s="230">
        <v>28</v>
      </c>
      <c r="R67" s="230">
        <v>6</v>
      </c>
      <c r="S67" s="230">
        <v>0</v>
      </c>
      <c r="T67" s="230">
        <v>8</v>
      </c>
      <c r="U67" s="230">
        <v>0</v>
      </c>
      <c r="V67" s="229">
        <f t="shared" si="21"/>
        <v>1214</v>
      </c>
      <c r="W67" s="204">
        <f>0+1320</f>
        <v>1320</v>
      </c>
      <c r="X67" s="204"/>
      <c r="Y67" s="204"/>
      <c r="Z67" s="214">
        <f t="shared" si="20"/>
        <v>7083</v>
      </c>
      <c r="AA67" s="215">
        <f t="shared" si="22"/>
        <v>4082</v>
      </c>
      <c r="AB67" s="142">
        <f>L67+V67</f>
        <v>5763</v>
      </c>
    </row>
    <row r="68" spans="1:29" x14ac:dyDescent="0.25">
      <c r="A68" s="136" t="s">
        <v>185</v>
      </c>
      <c r="B68" s="137" t="s">
        <v>310</v>
      </c>
      <c r="C68" s="230"/>
      <c r="D68" s="128"/>
      <c r="E68" s="128"/>
      <c r="F68" s="128"/>
      <c r="G68" s="128"/>
      <c r="H68" s="128"/>
      <c r="I68" s="128"/>
      <c r="J68" s="128"/>
      <c r="K68" s="128"/>
      <c r="L68" s="232">
        <f t="shared" si="17"/>
        <v>0</v>
      </c>
      <c r="M68" s="147"/>
      <c r="N68" s="147"/>
      <c r="O68" s="147"/>
      <c r="P68" s="147"/>
      <c r="Q68" s="147"/>
      <c r="R68" s="147"/>
      <c r="S68" s="147"/>
      <c r="T68" s="147"/>
      <c r="U68" s="147"/>
      <c r="V68" s="229">
        <f t="shared" si="21"/>
        <v>0</v>
      </c>
      <c r="W68" s="204">
        <v>736</v>
      </c>
      <c r="X68" s="204"/>
      <c r="Y68" s="204"/>
      <c r="Z68" s="214">
        <f t="shared" si="20"/>
        <v>736</v>
      </c>
      <c r="AA68" s="215">
        <f t="shared" si="22"/>
        <v>0</v>
      </c>
    </row>
    <row r="69" spans="1:29" x14ac:dyDescent="0.25">
      <c r="A69" s="136" t="s">
        <v>188</v>
      </c>
      <c r="B69" s="137" t="s">
        <v>311</v>
      </c>
      <c r="C69" s="230">
        <v>334</v>
      </c>
      <c r="D69" s="230">
        <v>434</v>
      </c>
      <c r="E69" s="230">
        <v>161</v>
      </c>
      <c r="F69" s="230">
        <v>19</v>
      </c>
      <c r="G69" s="230">
        <v>14</v>
      </c>
      <c r="H69" s="230">
        <v>0</v>
      </c>
      <c r="I69" s="230">
        <v>0</v>
      </c>
      <c r="J69" s="230">
        <v>160</v>
      </c>
      <c r="K69" s="230">
        <v>0</v>
      </c>
      <c r="L69" s="232">
        <f t="shared" si="17"/>
        <v>1122</v>
      </c>
      <c r="M69" s="230">
        <v>247</v>
      </c>
      <c r="N69" s="230">
        <v>796</v>
      </c>
      <c r="O69" s="230">
        <v>260</v>
      </c>
      <c r="P69" s="230">
        <v>5</v>
      </c>
      <c r="Q69" s="230">
        <v>54</v>
      </c>
      <c r="R69" s="230">
        <v>0</v>
      </c>
      <c r="S69" s="230">
        <v>0</v>
      </c>
      <c r="T69" s="230">
        <v>0</v>
      </c>
      <c r="U69" s="189"/>
      <c r="V69" s="176">
        <f t="shared" si="21"/>
        <v>1362</v>
      </c>
      <c r="W69" s="209">
        <v>745</v>
      </c>
      <c r="X69" s="209"/>
      <c r="Y69" s="209"/>
      <c r="Z69" s="214">
        <f t="shared" si="20"/>
        <v>3229</v>
      </c>
      <c r="AA69" s="215">
        <f t="shared" si="22"/>
        <v>1835</v>
      </c>
    </row>
    <row r="70" spans="1:29" x14ac:dyDescent="0.25">
      <c r="A70" s="136" t="s">
        <v>192</v>
      </c>
      <c r="B70" s="137" t="s">
        <v>312</v>
      </c>
      <c r="C70" s="230">
        <v>7</v>
      </c>
      <c r="D70" s="230">
        <v>18</v>
      </c>
      <c r="E70" s="230">
        <v>0</v>
      </c>
      <c r="F70" s="230">
        <v>2</v>
      </c>
      <c r="G70" s="230">
        <v>0</v>
      </c>
      <c r="H70" s="230">
        <v>0</v>
      </c>
      <c r="I70" s="230">
        <v>19</v>
      </c>
      <c r="J70" s="230">
        <v>13</v>
      </c>
      <c r="K70" s="230">
        <v>0</v>
      </c>
      <c r="L70" s="232">
        <f t="shared" si="17"/>
        <v>59</v>
      </c>
      <c r="M70" s="230">
        <v>128</v>
      </c>
      <c r="N70" s="230">
        <v>194</v>
      </c>
      <c r="O70" s="230">
        <v>36</v>
      </c>
      <c r="P70" s="230">
        <v>16</v>
      </c>
      <c r="Q70" s="230">
        <v>0</v>
      </c>
      <c r="R70" s="230">
        <v>0</v>
      </c>
      <c r="S70" s="230">
        <v>0</v>
      </c>
      <c r="T70" s="230">
        <v>0</v>
      </c>
      <c r="U70" s="189"/>
      <c r="V70" s="176">
        <f t="shared" si="21"/>
        <v>374</v>
      </c>
      <c r="W70" s="209">
        <v>382</v>
      </c>
      <c r="X70" s="209"/>
      <c r="Y70" s="209"/>
      <c r="Z70" s="214">
        <f t="shared" si="20"/>
        <v>815</v>
      </c>
      <c r="AA70" s="217">
        <f t="shared" si="22"/>
        <v>365</v>
      </c>
    </row>
    <row r="71" spans="1:29" ht="13.8" thickBot="1" x14ac:dyDescent="0.3">
      <c r="A71" s="136" t="s">
        <v>193</v>
      </c>
      <c r="B71" s="143" t="s">
        <v>325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45</v>
      </c>
      <c r="J71">
        <v>6</v>
      </c>
      <c r="K71">
        <v>0</v>
      </c>
      <c r="L71" s="535">
        <f t="shared" si="17"/>
        <v>51</v>
      </c>
      <c r="M71" s="265">
        <v>0</v>
      </c>
      <c r="N71" s="265">
        <v>0</v>
      </c>
      <c r="O71" s="265">
        <v>0</v>
      </c>
      <c r="P71" s="265">
        <v>0</v>
      </c>
      <c r="Q71" s="265">
        <v>0</v>
      </c>
      <c r="R71" s="265">
        <v>0</v>
      </c>
      <c r="S71" s="265">
        <v>0</v>
      </c>
      <c r="T71" s="265">
        <v>0</v>
      </c>
      <c r="U71" s="193"/>
      <c r="V71" s="184">
        <f t="shared" si="21"/>
        <v>0</v>
      </c>
      <c r="W71" s="209">
        <v>3946</v>
      </c>
      <c r="X71" s="209"/>
      <c r="Y71" s="209"/>
      <c r="Z71" s="214">
        <f t="shared" si="20"/>
        <v>3997</v>
      </c>
      <c r="AA71" s="217">
        <f t="shared" si="22"/>
        <v>0</v>
      </c>
      <c r="AB71" s="142">
        <f>L71+V71</f>
        <v>51</v>
      </c>
    </row>
    <row r="72" spans="1:29" s="109" customFormat="1" ht="14.4" thickBot="1" x14ac:dyDescent="0.3">
      <c r="A72" s="134"/>
      <c r="B72" s="159" t="s">
        <v>460</v>
      </c>
      <c r="C72" s="258">
        <f t="shared" ref="C72:AA72" si="23">SUM(C56:C71)</f>
        <v>24236</v>
      </c>
      <c r="D72" s="157">
        <f t="shared" si="23"/>
        <v>9913</v>
      </c>
      <c r="E72" s="157">
        <f t="shared" si="23"/>
        <v>10857</v>
      </c>
      <c r="F72" s="157">
        <f t="shared" si="23"/>
        <v>576</v>
      </c>
      <c r="G72" s="157">
        <f t="shared" si="23"/>
        <v>518</v>
      </c>
      <c r="H72" s="157">
        <f t="shared" si="23"/>
        <v>35</v>
      </c>
      <c r="I72" s="157">
        <f t="shared" si="23"/>
        <v>143</v>
      </c>
      <c r="J72" s="157">
        <f t="shared" si="23"/>
        <v>4190</v>
      </c>
      <c r="K72" s="259">
        <f t="shared" si="23"/>
        <v>536</v>
      </c>
      <c r="L72" s="180">
        <f t="shared" si="23"/>
        <v>51004</v>
      </c>
      <c r="M72" s="198">
        <f t="shared" si="23"/>
        <v>7775</v>
      </c>
      <c r="N72" s="158">
        <f t="shared" si="23"/>
        <v>10915</v>
      </c>
      <c r="O72" s="158">
        <f t="shared" si="23"/>
        <v>5663</v>
      </c>
      <c r="P72" s="158">
        <f t="shared" si="23"/>
        <v>324</v>
      </c>
      <c r="Q72" s="158">
        <f t="shared" si="23"/>
        <v>522</v>
      </c>
      <c r="R72" s="158">
        <f t="shared" si="23"/>
        <v>132</v>
      </c>
      <c r="S72" s="158">
        <f t="shared" si="23"/>
        <v>0</v>
      </c>
      <c r="T72" s="158">
        <f t="shared" si="23"/>
        <v>223</v>
      </c>
      <c r="U72" s="264">
        <f t="shared" si="23"/>
        <v>11</v>
      </c>
      <c r="V72" s="180">
        <f t="shared" si="23"/>
        <v>25565</v>
      </c>
      <c r="W72" s="210">
        <f t="shared" si="23"/>
        <v>40347</v>
      </c>
      <c r="X72" s="210">
        <f t="shared" si="23"/>
        <v>0</v>
      </c>
      <c r="Y72" s="210">
        <f t="shared" si="23"/>
        <v>0</v>
      </c>
      <c r="Z72" s="210">
        <f t="shared" si="23"/>
        <v>116916</v>
      </c>
      <c r="AA72" s="210">
        <f t="shared" si="23"/>
        <v>54286</v>
      </c>
      <c r="AC72"/>
    </row>
    <row r="73" spans="1:29" x14ac:dyDescent="0.25">
      <c r="A73" s="136" t="s">
        <v>65</v>
      </c>
      <c r="B73" s="279" t="s">
        <v>326</v>
      </c>
      <c r="C73" s="280">
        <v>968</v>
      </c>
      <c r="D73" s="280">
        <v>582</v>
      </c>
      <c r="E73" s="280">
        <v>607</v>
      </c>
      <c r="F73" s="280">
        <v>11</v>
      </c>
      <c r="G73" s="280">
        <v>56</v>
      </c>
      <c r="H73" s="280">
        <v>0</v>
      </c>
      <c r="I73" s="280">
        <v>23</v>
      </c>
      <c r="J73" s="280">
        <v>186</v>
      </c>
      <c r="K73" s="280">
        <v>16</v>
      </c>
      <c r="L73" s="234">
        <f>SUM(C73:K73)</f>
        <v>2449</v>
      </c>
      <c r="M73" s="280">
        <v>812</v>
      </c>
      <c r="N73" s="280">
        <v>1128</v>
      </c>
      <c r="O73" s="280">
        <v>690</v>
      </c>
      <c r="P73" s="280">
        <v>16</v>
      </c>
      <c r="Q73" s="280">
        <v>86</v>
      </c>
      <c r="R73" s="280">
        <v>0</v>
      </c>
      <c r="S73" s="280">
        <v>0</v>
      </c>
      <c r="T73" s="280">
        <v>4</v>
      </c>
      <c r="U73" s="192"/>
      <c r="V73" s="174">
        <f>SUM(M73:U73)</f>
        <v>2736</v>
      </c>
      <c r="W73" s="211">
        <v>703</v>
      </c>
      <c r="X73" s="211"/>
      <c r="Y73" s="211"/>
      <c r="Z73" s="214">
        <f>L73+V73+W73+X73+Y73</f>
        <v>5888</v>
      </c>
      <c r="AA73" s="218">
        <f>C73+D73+F73+K73+M73+N73+P73+U73</f>
        <v>3533</v>
      </c>
    </row>
    <row r="74" spans="1:29" x14ac:dyDescent="0.25">
      <c r="A74" s="136" t="s">
        <v>81</v>
      </c>
      <c r="B74" s="137" t="s">
        <v>327</v>
      </c>
      <c r="C74" s="230">
        <v>1086</v>
      </c>
      <c r="D74" s="230">
        <v>314</v>
      </c>
      <c r="E74" s="230">
        <v>246</v>
      </c>
      <c r="F74" s="230">
        <v>81</v>
      </c>
      <c r="G74" s="230">
        <v>28</v>
      </c>
      <c r="H74" s="230">
        <v>0</v>
      </c>
      <c r="I74" s="230">
        <v>94</v>
      </c>
      <c r="J74" s="230">
        <v>48</v>
      </c>
      <c r="K74" s="230">
        <v>0</v>
      </c>
      <c r="L74" s="232">
        <f>SUM(C74:K74)</f>
        <v>1897</v>
      </c>
      <c r="M74" s="230">
        <v>757</v>
      </c>
      <c r="N74" s="230">
        <v>664</v>
      </c>
      <c r="O74" s="230">
        <v>336</v>
      </c>
      <c r="P74" s="230">
        <v>44</v>
      </c>
      <c r="Q74" s="230">
        <v>42</v>
      </c>
      <c r="R74" s="230">
        <v>0</v>
      </c>
      <c r="S74" s="230">
        <v>0</v>
      </c>
      <c r="T74" s="230">
        <v>0</v>
      </c>
      <c r="U74" s="189"/>
      <c r="V74" s="176">
        <f>SUM(M74:U74)</f>
        <v>1843</v>
      </c>
      <c r="W74" s="204">
        <v>3278</v>
      </c>
      <c r="X74" s="204"/>
      <c r="Y74" s="204"/>
      <c r="Z74" s="214">
        <f t="shared" ref="Z74:Z88" si="24">L74+V74+W74+X74+Y74</f>
        <v>7018</v>
      </c>
      <c r="AA74" s="215">
        <f>C74+D74+F74+K74+M74+N74+P74+U74</f>
        <v>2946</v>
      </c>
    </row>
    <row r="75" spans="1:29" x14ac:dyDescent="0.25">
      <c r="A75" s="136" t="s">
        <v>87</v>
      </c>
      <c r="B75" s="137" t="s">
        <v>292</v>
      </c>
      <c r="C75" s="230">
        <v>1215</v>
      </c>
      <c r="D75" s="230">
        <v>981</v>
      </c>
      <c r="E75" s="230">
        <v>803</v>
      </c>
      <c r="F75" s="230">
        <v>37</v>
      </c>
      <c r="G75" s="230">
        <v>28</v>
      </c>
      <c r="H75" s="230">
        <v>3</v>
      </c>
      <c r="I75" s="230">
        <v>0</v>
      </c>
      <c r="J75" s="230">
        <v>185</v>
      </c>
      <c r="K75" s="230">
        <v>0</v>
      </c>
      <c r="L75" s="232">
        <f t="shared" ref="L75:L88" si="25">SUM(C75:K75)</f>
        <v>3252</v>
      </c>
      <c r="M75" s="230">
        <v>598</v>
      </c>
      <c r="N75" s="230">
        <v>957</v>
      </c>
      <c r="O75" s="230">
        <v>558</v>
      </c>
      <c r="P75" s="230">
        <v>41</v>
      </c>
      <c r="Q75" s="230">
        <v>45</v>
      </c>
      <c r="R75" s="230">
        <v>48</v>
      </c>
      <c r="S75" s="230">
        <v>0</v>
      </c>
      <c r="T75" s="230">
        <v>119</v>
      </c>
      <c r="U75" s="189"/>
      <c r="V75" s="176">
        <f t="shared" ref="V75:V88" si="26">SUM(M75:U75)</f>
        <v>2366</v>
      </c>
      <c r="W75" s="204">
        <v>979</v>
      </c>
      <c r="X75" s="204"/>
      <c r="Y75" s="204"/>
      <c r="Z75" s="214">
        <f t="shared" si="24"/>
        <v>6597</v>
      </c>
      <c r="AA75" s="215">
        <f t="shared" ref="AA75:AA88" si="27">C75+D75+F75+K75+M75+N75+P75+U75</f>
        <v>3829</v>
      </c>
    </row>
    <row r="76" spans="1:29" x14ac:dyDescent="0.25">
      <c r="A76" s="136" t="s">
        <v>92</v>
      </c>
      <c r="B76" s="137" t="s">
        <v>328</v>
      </c>
      <c r="C76" s="230">
        <v>290</v>
      </c>
      <c r="D76" s="230">
        <v>47</v>
      </c>
      <c r="E76" s="230">
        <v>84</v>
      </c>
      <c r="F76" s="230">
        <v>12</v>
      </c>
      <c r="G76" s="230">
        <v>9</v>
      </c>
      <c r="H76" s="230">
        <v>0</v>
      </c>
      <c r="I76" s="230">
        <v>0</v>
      </c>
      <c r="J76" s="230">
        <v>53</v>
      </c>
      <c r="K76" s="230">
        <v>0</v>
      </c>
      <c r="L76" s="232">
        <f t="shared" si="25"/>
        <v>495</v>
      </c>
      <c r="M76" s="230">
        <v>431</v>
      </c>
      <c r="N76" s="230">
        <v>339</v>
      </c>
      <c r="O76" s="230">
        <v>148</v>
      </c>
      <c r="P76" s="230">
        <v>21</v>
      </c>
      <c r="Q76" s="230">
        <v>16</v>
      </c>
      <c r="R76" s="230">
        <v>0</v>
      </c>
      <c r="S76" s="230">
        <v>0</v>
      </c>
      <c r="T76" s="230">
        <v>0</v>
      </c>
      <c r="U76" s="189"/>
      <c r="V76" s="176">
        <f t="shared" si="26"/>
        <v>955</v>
      </c>
      <c r="W76" s="204">
        <v>336</v>
      </c>
      <c r="X76" s="204"/>
      <c r="Y76" s="204"/>
      <c r="Z76" s="214">
        <f t="shared" si="24"/>
        <v>1786</v>
      </c>
      <c r="AA76" s="215">
        <f t="shared" si="27"/>
        <v>1140</v>
      </c>
    </row>
    <row r="77" spans="1:29" x14ac:dyDescent="0.25">
      <c r="A77" s="136" t="s">
        <v>96</v>
      </c>
      <c r="B77" s="137" t="s">
        <v>293</v>
      </c>
      <c r="C77" s="230">
        <v>6035</v>
      </c>
      <c r="D77" s="230">
        <v>1296</v>
      </c>
      <c r="E77" s="230">
        <v>3611</v>
      </c>
      <c r="F77" s="230">
        <v>168</v>
      </c>
      <c r="G77" s="230">
        <v>125</v>
      </c>
      <c r="H77" s="230">
        <v>0</v>
      </c>
      <c r="I77" s="230">
        <v>8</v>
      </c>
      <c r="J77" s="230">
        <v>164</v>
      </c>
      <c r="K77" s="230">
        <v>2</v>
      </c>
      <c r="L77" s="232">
        <f t="shared" si="25"/>
        <v>11409</v>
      </c>
      <c r="M77" s="230">
        <v>601</v>
      </c>
      <c r="N77" s="230">
        <v>841</v>
      </c>
      <c r="O77" s="230">
        <v>879</v>
      </c>
      <c r="P77" s="230">
        <v>14</v>
      </c>
      <c r="Q77" s="230">
        <v>40</v>
      </c>
      <c r="R77" s="230">
        <v>4</v>
      </c>
      <c r="S77" s="230">
        <v>0</v>
      </c>
      <c r="T77" s="230">
        <v>35</v>
      </c>
      <c r="U77" s="189"/>
      <c r="V77" s="176">
        <f t="shared" si="26"/>
        <v>2414</v>
      </c>
      <c r="W77" s="204">
        <v>1549</v>
      </c>
      <c r="X77" s="204"/>
      <c r="Y77" s="204"/>
      <c r="Z77" s="214">
        <f t="shared" si="24"/>
        <v>15372</v>
      </c>
      <c r="AA77" s="215">
        <f t="shared" si="27"/>
        <v>8957</v>
      </c>
    </row>
    <row r="78" spans="1:29" x14ac:dyDescent="0.25">
      <c r="A78" s="136" t="s">
        <v>100</v>
      </c>
      <c r="B78" s="137" t="s">
        <v>295</v>
      </c>
      <c r="C78" s="230">
        <v>1952</v>
      </c>
      <c r="D78" s="230">
        <v>372</v>
      </c>
      <c r="E78" s="230">
        <v>468</v>
      </c>
      <c r="F78" s="230">
        <v>67</v>
      </c>
      <c r="G78" s="230">
        <v>13</v>
      </c>
      <c r="H78" s="230">
        <v>0</v>
      </c>
      <c r="I78" s="230">
        <v>0</v>
      </c>
      <c r="J78" s="230">
        <v>37</v>
      </c>
      <c r="K78" s="230">
        <v>0</v>
      </c>
      <c r="L78" s="232">
        <f t="shared" si="25"/>
        <v>2909</v>
      </c>
      <c r="M78" s="230">
        <v>638</v>
      </c>
      <c r="N78" s="230">
        <v>511</v>
      </c>
      <c r="O78" s="230">
        <v>361</v>
      </c>
      <c r="P78" s="230">
        <v>53</v>
      </c>
      <c r="Q78" s="230">
        <v>18</v>
      </c>
      <c r="R78" s="230">
        <v>0</v>
      </c>
      <c r="S78" s="230">
        <v>0</v>
      </c>
      <c r="T78" s="230">
        <v>0</v>
      </c>
      <c r="U78" s="189"/>
      <c r="V78" s="176">
        <f t="shared" si="26"/>
        <v>1581</v>
      </c>
      <c r="W78" s="204">
        <v>992</v>
      </c>
      <c r="X78" s="204"/>
      <c r="Y78" s="204"/>
      <c r="Z78" s="214">
        <f t="shared" si="24"/>
        <v>5482</v>
      </c>
      <c r="AA78" s="215">
        <f t="shared" si="27"/>
        <v>3593</v>
      </c>
    </row>
    <row r="79" spans="1:29" x14ac:dyDescent="0.25">
      <c r="A79" s="136" t="s">
        <v>108</v>
      </c>
      <c r="B79" s="137" t="s">
        <v>296</v>
      </c>
      <c r="C79" s="230">
        <v>509</v>
      </c>
      <c r="D79" s="230">
        <v>319</v>
      </c>
      <c r="E79" s="230">
        <v>202</v>
      </c>
      <c r="F79" s="230">
        <v>89</v>
      </c>
      <c r="G79" s="230">
        <v>37</v>
      </c>
      <c r="H79" s="230">
        <v>0</v>
      </c>
      <c r="I79" s="230">
        <v>98</v>
      </c>
      <c r="J79" s="230">
        <v>142</v>
      </c>
      <c r="K79" s="230">
        <v>0</v>
      </c>
      <c r="L79" s="232">
        <f t="shared" si="25"/>
        <v>1396</v>
      </c>
      <c r="M79" s="230">
        <v>248</v>
      </c>
      <c r="N79" s="230">
        <v>316</v>
      </c>
      <c r="O79" s="230">
        <v>262</v>
      </c>
      <c r="P79" s="230">
        <v>16</v>
      </c>
      <c r="Q79" s="230">
        <v>44</v>
      </c>
      <c r="R79" s="230">
        <v>0</v>
      </c>
      <c r="S79" s="230">
        <v>0</v>
      </c>
      <c r="T79" s="230">
        <v>462</v>
      </c>
      <c r="U79" s="189"/>
      <c r="V79" s="176">
        <f t="shared" si="26"/>
        <v>1348</v>
      </c>
      <c r="W79" s="204">
        <v>134</v>
      </c>
      <c r="X79" s="204"/>
      <c r="Y79" s="204"/>
      <c r="Z79" s="214">
        <f t="shared" si="24"/>
        <v>2878</v>
      </c>
      <c r="AA79" s="215">
        <f t="shared" si="27"/>
        <v>1497</v>
      </c>
    </row>
    <row r="80" spans="1:29" x14ac:dyDescent="0.25">
      <c r="A80" s="136" t="s">
        <v>109</v>
      </c>
      <c r="B80" s="137" t="s">
        <v>329</v>
      </c>
      <c r="C80" s="230">
        <v>371</v>
      </c>
      <c r="D80" s="230">
        <v>344</v>
      </c>
      <c r="E80" s="230">
        <v>137</v>
      </c>
      <c r="F80" s="230">
        <v>20</v>
      </c>
      <c r="G80" s="230">
        <v>17</v>
      </c>
      <c r="H80" s="230">
        <v>0</v>
      </c>
      <c r="I80" s="230">
        <v>0</v>
      </c>
      <c r="J80" s="230">
        <v>42</v>
      </c>
      <c r="K80" s="230">
        <v>0</v>
      </c>
      <c r="L80" s="232">
        <f t="shared" si="25"/>
        <v>931</v>
      </c>
      <c r="M80" s="230">
        <v>215</v>
      </c>
      <c r="N80" s="230">
        <v>528</v>
      </c>
      <c r="O80" s="230">
        <v>208</v>
      </c>
      <c r="P80" s="230">
        <v>26</v>
      </c>
      <c r="Q80" s="230">
        <v>10</v>
      </c>
      <c r="R80" s="230">
        <v>0</v>
      </c>
      <c r="S80" s="230">
        <v>0</v>
      </c>
      <c r="T80" s="230">
        <v>8</v>
      </c>
      <c r="U80" s="189"/>
      <c r="V80" s="176">
        <f t="shared" si="26"/>
        <v>995</v>
      </c>
      <c r="W80" s="204">
        <v>190</v>
      </c>
      <c r="X80" s="204"/>
      <c r="Y80" s="204"/>
      <c r="Z80" s="214">
        <f t="shared" si="24"/>
        <v>2116</v>
      </c>
      <c r="AA80" s="215">
        <f t="shared" si="27"/>
        <v>1504</v>
      </c>
    </row>
    <row r="81" spans="1:29" x14ac:dyDescent="0.25">
      <c r="A81" s="136" t="s">
        <v>124</v>
      </c>
      <c r="B81" s="137" t="s">
        <v>330</v>
      </c>
      <c r="C81" s="230">
        <v>1975</v>
      </c>
      <c r="D81" s="230">
        <v>1314</v>
      </c>
      <c r="E81" s="230">
        <v>699</v>
      </c>
      <c r="F81" s="230">
        <v>110</v>
      </c>
      <c r="G81" s="230">
        <v>137</v>
      </c>
      <c r="H81" s="230">
        <v>0</v>
      </c>
      <c r="I81" s="230">
        <v>0</v>
      </c>
      <c r="J81" s="230">
        <v>7</v>
      </c>
      <c r="K81" s="230">
        <v>0</v>
      </c>
      <c r="L81" s="232">
        <f t="shared" si="25"/>
        <v>4242</v>
      </c>
      <c r="M81" s="230">
        <v>472</v>
      </c>
      <c r="N81" s="230">
        <v>648</v>
      </c>
      <c r="O81" s="230">
        <v>205</v>
      </c>
      <c r="P81" s="230">
        <v>32</v>
      </c>
      <c r="Q81" s="230">
        <v>65</v>
      </c>
      <c r="R81" s="230">
        <v>0</v>
      </c>
      <c r="S81" s="230">
        <v>0</v>
      </c>
      <c r="T81" s="230">
        <v>1</v>
      </c>
      <c r="U81" s="189"/>
      <c r="V81" s="176">
        <f t="shared" si="26"/>
        <v>1423</v>
      </c>
      <c r="W81" s="204">
        <v>0</v>
      </c>
      <c r="X81" s="204"/>
      <c r="Y81" s="204"/>
      <c r="Z81" s="214">
        <f t="shared" si="24"/>
        <v>5665</v>
      </c>
      <c r="AA81" s="215">
        <f t="shared" si="27"/>
        <v>4551</v>
      </c>
    </row>
    <row r="82" spans="1:29" x14ac:dyDescent="0.25">
      <c r="A82" s="136" t="s">
        <v>126</v>
      </c>
      <c r="B82" s="137" t="s">
        <v>331</v>
      </c>
      <c r="C82" s="230">
        <v>1384</v>
      </c>
      <c r="D82" s="230">
        <v>431</v>
      </c>
      <c r="E82" s="230">
        <v>505</v>
      </c>
      <c r="F82" s="230">
        <v>49</v>
      </c>
      <c r="G82" s="230">
        <v>37</v>
      </c>
      <c r="H82" s="230">
        <v>0</v>
      </c>
      <c r="I82" s="230">
        <v>0</v>
      </c>
      <c r="J82" s="230">
        <v>182</v>
      </c>
      <c r="K82" s="230">
        <v>0</v>
      </c>
      <c r="L82" s="232">
        <f t="shared" si="25"/>
        <v>2588</v>
      </c>
      <c r="M82" s="230">
        <v>1518</v>
      </c>
      <c r="N82" s="230">
        <v>1024</v>
      </c>
      <c r="O82" s="230">
        <v>714</v>
      </c>
      <c r="P82" s="230">
        <v>142</v>
      </c>
      <c r="Q82" s="230">
        <v>32</v>
      </c>
      <c r="R82" s="230">
        <v>216</v>
      </c>
      <c r="S82" s="230">
        <v>0</v>
      </c>
      <c r="T82" s="230">
        <v>0</v>
      </c>
      <c r="U82" s="189"/>
      <c r="V82" s="176">
        <f t="shared" si="26"/>
        <v>3646</v>
      </c>
      <c r="W82" s="204">
        <v>1519</v>
      </c>
      <c r="X82" s="204"/>
      <c r="Y82" s="204"/>
      <c r="Z82" s="214">
        <f t="shared" si="24"/>
        <v>7753</v>
      </c>
      <c r="AA82" s="215">
        <f t="shared" si="27"/>
        <v>4548</v>
      </c>
    </row>
    <row r="83" spans="1:29" x14ac:dyDescent="0.25">
      <c r="A83" s="136" t="s">
        <v>132</v>
      </c>
      <c r="B83" s="137" t="s">
        <v>298</v>
      </c>
      <c r="C83" s="230">
        <v>1811</v>
      </c>
      <c r="D83" s="230">
        <v>2370</v>
      </c>
      <c r="E83" s="230">
        <v>925</v>
      </c>
      <c r="F83" s="230">
        <v>82</v>
      </c>
      <c r="G83" s="230">
        <v>101</v>
      </c>
      <c r="H83" s="230">
        <v>0</v>
      </c>
      <c r="I83" s="230">
        <v>0</v>
      </c>
      <c r="J83" s="230">
        <v>340</v>
      </c>
      <c r="K83" s="230">
        <v>0</v>
      </c>
      <c r="L83" s="232">
        <f t="shared" si="25"/>
        <v>5629</v>
      </c>
      <c r="M83" s="230">
        <v>852</v>
      </c>
      <c r="N83" s="230">
        <v>1807</v>
      </c>
      <c r="O83" s="230">
        <v>745</v>
      </c>
      <c r="P83" s="230">
        <v>84</v>
      </c>
      <c r="Q83" s="230">
        <v>46</v>
      </c>
      <c r="R83" s="230">
        <v>46</v>
      </c>
      <c r="S83" s="230">
        <v>40</v>
      </c>
      <c r="T83" s="230">
        <v>17</v>
      </c>
      <c r="U83" s="189"/>
      <c r="V83" s="176">
        <f t="shared" si="26"/>
        <v>3637</v>
      </c>
      <c r="W83" s="204">
        <v>860</v>
      </c>
      <c r="X83" s="204"/>
      <c r="Y83" s="204"/>
      <c r="Z83" s="214">
        <f t="shared" si="24"/>
        <v>10126</v>
      </c>
      <c r="AA83" s="215">
        <f t="shared" si="27"/>
        <v>7006</v>
      </c>
    </row>
    <row r="84" spans="1:29" x14ac:dyDescent="0.25">
      <c r="A84" s="136" t="s">
        <v>137</v>
      </c>
      <c r="B84" s="137" t="s">
        <v>299</v>
      </c>
      <c r="C84" s="230">
        <v>1036</v>
      </c>
      <c r="D84" s="230">
        <v>842</v>
      </c>
      <c r="E84" s="230">
        <v>375</v>
      </c>
      <c r="F84" s="230">
        <v>25</v>
      </c>
      <c r="G84" s="230">
        <v>50</v>
      </c>
      <c r="H84" s="230">
        <v>0</v>
      </c>
      <c r="I84" s="230">
        <v>0</v>
      </c>
      <c r="J84" s="230">
        <v>267</v>
      </c>
      <c r="K84" s="230">
        <v>0</v>
      </c>
      <c r="L84" s="232">
        <f t="shared" si="25"/>
        <v>2595</v>
      </c>
      <c r="M84" s="230">
        <v>1222</v>
      </c>
      <c r="N84" s="230">
        <v>1299</v>
      </c>
      <c r="O84" s="230">
        <v>824</v>
      </c>
      <c r="P84" s="230">
        <v>86</v>
      </c>
      <c r="Q84" s="230">
        <v>93</v>
      </c>
      <c r="R84" s="230">
        <v>0</v>
      </c>
      <c r="S84" s="230">
        <v>0</v>
      </c>
      <c r="T84" s="230">
        <v>11</v>
      </c>
      <c r="U84" s="189"/>
      <c r="V84" s="176">
        <f t="shared" si="26"/>
        <v>3535</v>
      </c>
      <c r="W84" s="204">
        <v>301</v>
      </c>
      <c r="X84" s="204"/>
      <c r="Y84" s="204"/>
      <c r="Z84" s="214">
        <f t="shared" si="24"/>
        <v>6431</v>
      </c>
      <c r="AA84" s="215">
        <f t="shared" si="27"/>
        <v>4510</v>
      </c>
    </row>
    <row r="85" spans="1:29" x14ac:dyDescent="0.25">
      <c r="A85" s="136" t="s">
        <v>148</v>
      </c>
      <c r="B85" s="137" t="s">
        <v>300</v>
      </c>
      <c r="C85" s="230">
        <v>340</v>
      </c>
      <c r="D85" s="230">
        <v>394</v>
      </c>
      <c r="E85" s="230">
        <v>208</v>
      </c>
      <c r="F85" s="230">
        <v>37</v>
      </c>
      <c r="G85" s="230">
        <v>24</v>
      </c>
      <c r="H85" s="230">
        <v>0</v>
      </c>
      <c r="I85" s="230">
        <v>0</v>
      </c>
      <c r="J85" s="230">
        <v>56</v>
      </c>
      <c r="K85" s="230">
        <v>0</v>
      </c>
      <c r="L85" s="232">
        <f t="shared" si="25"/>
        <v>1059</v>
      </c>
      <c r="M85" s="230">
        <v>334</v>
      </c>
      <c r="N85" s="230">
        <v>463</v>
      </c>
      <c r="O85" s="230">
        <v>403</v>
      </c>
      <c r="P85" s="230">
        <v>8</v>
      </c>
      <c r="Q85" s="230">
        <v>17</v>
      </c>
      <c r="R85" s="230">
        <v>0</v>
      </c>
      <c r="S85" s="230">
        <v>61</v>
      </c>
      <c r="T85" s="230">
        <v>5</v>
      </c>
      <c r="U85" s="189"/>
      <c r="V85" s="176">
        <f t="shared" si="26"/>
        <v>1291</v>
      </c>
      <c r="W85" s="204">
        <v>133</v>
      </c>
      <c r="X85" s="204"/>
      <c r="Y85" s="204"/>
      <c r="Z85" s="214">
        <f t="shared" si="24"/>
        <v>2483</v>
      </c>
      <c r="AA85" s="215">
        <f t="shared" si="27"/>
        <v>1576</v>
      </c>
    </row>
    <row r="86" spans="1:29" x14ac:dyDescent="0.25">
      <c r="A86" s="136" t="s">
        <v>169</v>
      </c>
      <c r="B86" s="137" t="s">
        <v>301</v>
      </c>
      <c r="C86" s="230">
        <v>277</v>
      </c>
      <c r="D86" s="230">
        <v>173</v>
      </c>
      <c r="E86" s="230">
        <v>117</v>
      </c>
      <c r="F86" s="230">
        <v>10</v>
      </c>
      <c r="G86" s="230">
        <v>64</v>
      </c>
      <c r="H86" s="230">
        <v>50</v>
      </c>
      <c r="I86" s="230">
        <v>0</v>
      </c>
      <c r="J86" s="230">
        <v>87</v>
      </c>
      <c r="K86" s="230">
        <v>0</v>
      </c>
      <c r="L86" s="232">
        <f t="shared" si="25"/>
        <v>778</v>
      </c>
      <c r="M86" s="230">
        <v>106</v>
      </c>
      <c r="N86" s="230">
        <v>397</v>
      </c>
      <c r="O86" s="230">
        <v>155</v>
      </c>
      <c r="P86" s="230">
        <v>29</v>
      </c>
      <c r="Q86" s="230">
        <v>12</v>
      </c>
      <c r="R86" s="230">
        <v>0</v>
      </c>
      <c r="S86" s="230">
        <v>0</v>
      </c>
      <c r="T86" s="230">
        <v>8</v>
      </c>
      <c r="U86" s="189"/>
      <c r="V86" s="176">
        <f t="shared" si="26"/>
        <v>707</v>
      </c>
      <c r="W86" s="205"/>
      <c r="X86" s="204"/>
      <c r="Y86" s="204"/>
      <c r="Z86" s="214">
        <f t="shared" si="24"/>
        <v>1485</v>
      </c>
      <c r="AA86" s="215">
        <f t="shared" si="27"/>
        <v>992</v>
      </c>
    </row>
    <row r="87" spans="1:29" x14ac:dyDescent="0.25">
      <c r="A87" s="136" t="s">
        <v>172</v>
      </c>
      <c r="B87" s="137" t="s">
        <v>333</v>
      </c>
      <c r="C87" s="230">
        <v>14807</v>
      </c>
      <c r="D87" s="230">
        <v>3124</v>
      </c>
      <c r="E87" s="230">
        <v>2635</v>
      </c>
      <c r="F87" s="230">
        <v>302</v>
      </c>
      <c r="G87" s="230">
        <v>160</v>
      </c>
      <c r="H87" s="230">
        <v>14</v>
      </c>
      <c r="I87" s="230">
        <v>70</v>
      </c>
      <c r="J87" s="230">
        <v>10497</v>
      </c>
      <c r="K87" s="230">
        <v>0</v>
      </c>
      <c r="L87" s="232">
        <f t="shared" si="25"/>
        <v>31609</v>
      </c>
      <c r="M87" s="230">
        <v>2894</v>
      </c>
      <c r="N87" s="230">
        <v>2269</v>
      </c>
      <c r="O87" s="230">
        <v>865</v>
      </c>
      <c r="P87" s="230">
        <v>226</v>
      </c>
      <c r="Q87" s="230">
        <v>90</v>
      </c>
      <c r="R87" s="230">
        <v>54</v>
      </c>
      <c r="S87" s="230">
        <v>0</v>
      </c>
      <c r="T87" s="230">
        <v>26</v>
      </c>
      <c r="U87" s="189"/>
      <c r="V87" s="176">
        <f t="shared" si="26"/>
        <v>6424</v>
      </c>
      <c r="W87" s="209">
        <v>640</v>
      </c>
      <c r="X87" s="209"/>
      <c r="Y87" s="209"/>
      <c r="Z87" s="214">
        <f t="shared" si="24"/>
        <v>38673</v>
      </c>
      <c r="AA87" s="215">
        <f t="shared" si="27"/>
        <v>23622</v>
      </c>
    </row>
    <row r="88" spans="1:29" ht="13.8" thickBot="1" x14ac:dyDescent="0.3">
      <c r="A88" s="136" t="s">
        <v>175</v>
      </c>
      <c r="B88" s="137" t="s">
        <v>334</v>
      </c>
      <c r="C88" s="265">
        <v>559</v>
      </c>
      <c r="D88" s="265">
        <v>172</v>
      </c>
      <c r="E88" s="265">
        <v>142</v>
      </c>
      <c r="F88" s="265">
        <v>4</v>
      </c>
      <c r="G88" s="265">
        <v>7</v>
      </c>
      <c r="H88" s="265">
        <v>0</v>
      </c>
      <c r="I88" s="265">
        <v>0</v>
      </c>
      <c r="J88" s="265">
        <v>24</v>
      </c>
      <c r="K88" s="265">
        <v>0</v>
      </c>
      <c r="L88" s="239">
        <f t="shared" si="25"/>
        <v>908</v>
      </c>
      <c r="M88" s="230">
        <v>1727</v>
      </c>
      <c r="N88" s="230">
        <v>839</v>
      </c>
      <c r="O88" s="230">
        <v>867</v>
      </c>
      <c r="P88" s="230">
        <v>31</v>
      </c>
      <c r="Q88" s="230">
        <v>53</v>
      </c>
      <c r="R88" s="230">
        <v>0</v>
      </c>
      <c r="S88" s="230">
        <v>0</v>
      </c>
      <c r="T88" s="230">
        <v>0</v>
      </c>
      <c r="U88" s="193"/>
      <c r="V88" s="184">
        <f t="shared" si="26"/>
        <v>3517</v>
      </c>
      <c r="W88" s="209">
        <v>1050</v>
      </c>
      <c r="X88" s="209"/>
      <c r="Y88" s="209"/>
      <c r="Z88" s="214">
        <f t="shared" si="24"/>
        <v>5475</v>
      </c>
      <c r="AA88" s="215">
        <f t="shared" si="27"/>
        <v>3332</v>
      </c>
    </row>
    <row r="89" spans="1:29" s="109" customFormat="1" ht="14.4" thickBot="1" x14ac:dyDescent="0.3">
      <c r="A89" s="134"/>
      <c r="B89" s="159" t="s">
        <v>461</v>
      </c>
      <c r="C89" s="258">
        <f t="shared" ref="C89:AA89" si="28">SUM(C73:C88)</f>
        <v>34615</v>
      </c>
      <c r="D89" s="157">
        <f t="shared" si="28"/>
        <v>13075</v>
      </c>
      <c r="E89" s="157">
        <f t="shared" si="28"/>
        <v>11764</v>
      </c>
      <c r="F89" s="157">
        <f t="shared" si="28"/>
        <v>1104</v>
      </c>
      <c r="G89" s="157">
        <f t="shared" si="28"/>
        <v>893</v>
      </c>
      <c r="H89" s="157">
        <f t="shared" si="28"/>
        <v>67</v>
      </c>
      <c r="I89" s="157">
        <f t="shared" si="28"/>
        <v>293</v>
      </c>
      <c r="J89" s="157">
        <f t="shared" si="28"/>
        <v>12317</v>
      </c>
      <c r="K89" s="259">
        <f t="shared" si="28"/>
        <v>18</v>
      </c>
      <c r="L89" s="263">
        <f t="shared" si="28"/>
        <v>74146</v>
      </c>
      <c r="M89" s="533">
        <f t="shared" si="28"/>
        <v>13425</v>
      </c>
      <c r="N89" s="534">
        <f t="shared" si="28"/>
        <v>14030</v>
      </c>
      <c r="O89" s="534">
        <f t="shared" si="28"/>
        <v>8220</v>
      </c>
      <c r="P89" s="534">
        <f t="shared" si="28"/>
        <v>869</v>
      </c>
      <c r="Q89" s="534">
        <f t="shared" si="28"/>
        <v>709</v>
      </c>
      <c r="R89" s="534">
        <f t="shared" si="28"/>
        <v>368</v>
      </c>
      <c r="S89" s="534">
        <f t="shared" si="28"/>
        <v>101</v>
      </c>
      <c r="T89" s="534">
        <f t="shared" si="28"/>
        <v>696</v>
      </c>
      <c r="U89" s="191">
        <f t="shared" si="28"/>
        <v>0</v>
      </c>
      <c r="V89" s="180">
        <f t="shared" si="28"/>
        <v>38418</v>
      </c>
      <c r="W89" s="210">
        <f t="shared" si="28"/>
        <v>12664</v>
      </c>
      <c r="X89" s="210">
        <f t="shared" si="28"/>
        <v>0</v>
      </c>
      <c r="Y89" s="210">
        <f t="shared" si="28"/>
        <v>0</v>
      </c>
      <c r="Z89" s="210">
        <f t="shared" si="28"/>
        <v>125228</v>
      </c>
      <c r="AA89" s="210">
        <f t="shared" si="28"/>
        <v>77136</v>
      </c>
      <c r="AC89"/>
    </row>
    <row r="90" spans="1:29" x14ac:dyDescent="0.25">
      <c r="A90" s="136" t="s">
        <v>67</v>
      </c>
      <c r="B90" s="137" t="s">
        <v>346</v>
      </c>
      <c r="C90" s="280">
        <v>394</v>
      </c>
      <c r="D90" s="280">
        <v>169</v>
      </c>
      <c r="E90" s="280">
        <v>105</v>
      </c>
      <c r="F90" s="280">
        <v>38</v>
      </c>
      <c r="G90" s="280">
        <v>13</v>
      </c>
      <c r="H90" s="280">
        <v>0</v>
      </c>
      <c r="I90" s="280">
        <v>0</v>
      </c>
      <c r="J90" s="280">
        <v>104</v>
      </c>
      <c r="K90" s="280">
        <v>0</v>
      </c>
      <c r="L90" s="234">
        <f t="shared" ref="L90:L105" si="29">SUM(C90:K90)</f>
        <v>823</v>
      </c>
      <c r="M90" s="230">
        <v>241</v>
      </c>
      <c r="N90" s="230">
        <v>397</v>
      </c>
      <c r="O90" s="230">
        <v>113</v>
      </c>
      <c r="P90" s="230">
        <v>33</v>
      </c>
      <c r="Q90" s="230">
        <v>22</v>
      </c>
      <c r="R90" s="230">
        <v>0</v>
      </c>
      <c r="S90" s="230">
        <v>0</v>
      </c>
      <c r="T90" s="230">
        <v>0</v>
      </c>
      <c r="U90" s="192"/>
      <c r="V90" s="174">
        <f t="shared" ref="V90:V105" si="30">SUM(M90:U90)</f>
        <v>806</v>
      </c>
      <c r="W90" s="211">
        <v>492</v>
      </c>
      <c r="X90" s="211"/>
      <c r="Y90" s="211"/>
      <c r="Z90" s="214">
        <f>L90+V90+W90+X90+Y90</f>
        <v>2121</v>
      </c>
      <c r="AA90" s="215">
        <f t="shared" ref="AA90:AA103" si="31">C90+D90+F90+K90+M90+N90+P90+U90</f>
        <v>1272</v>
      </c>
    </row>
    <row r="91" spans="1:29" x14ac:dyDescent="0.25">
      <c r="A91" s="136" t="s">
        <v>76</v>
      </c>
      <c r="B91" s="137" t="s">
        <v>290</v>
      </c>
      <c r="C91" s="230">
        <v>686</v>
      </c>
      <c r="D91" s="230">
        <v>330</v>
      </c>
      <c r="E91" s="230">
        <v>480</v>
      </c>
      <c r="F91" s="230">
        <v>31</v>
      </c>
      <c r="G91" s="230">
        <v>48</v>
      </c>
      <c r="H91" s="230">
        <v>0</v>
      </c>
      <c r="I91" s="230">
        <v>12</v>
      </c>
      <c r="J91" s="230">
        <v>144</v>
      </c>
      <c r="K91" s="230">
        <v>0</v>
      </c>
      <c r="L91" s="232">
        <f t="shared" si="29"/>
        <v>1731</v>
      </c>
      <c r="M91" s="230">
        <v>210</v>
      </c>
      <c r="N91" s="230">
        <v>406</v>
      </c>
      <c r="O91" s="230">
        <v>257</v>
      </c>
      <c r="P91" s="230">
        <v>29</v>
      </c>
      <c r="Q91" s="230">
        <v>22</v>
      </c>
      <c r="R91" s="230">
        <v>0</v>
      </c>
      <c r="S91" s="230">
        <v>0</v>
      </c>
      <c r="T91" s="230">
        <v>216</v>
      </c>
      <c r="U91" s="189"/>
      <c r="V91" s="176">
        <f t="shared" si="30"/>
        <v>1140</v>
      </c>
      <c r="W91" s="204">
        <v>3157</v>
      </c>
      <c r="X91" s="204"/>
      <c r="Y91" s="204"/>
      <c r="Z91" s="214">
        <f t="shared" ref="Z91:Z105" si="32">L91+V91+W91+X91+Y91</f>
        <v>6028</v>
      </c>
      <c r="AA91" s="215">
        <f t="shared" si="31"/>
        <v>1692</v>
      </c>
      <c r="AB91" s="142">
        <f>L91+V91</f>
        <v>2871</v>
      </c>
    </row>
    <row r="92" spans="1:29" x14ac:dyDescent="0.25">
      <c r="A92" s="136" t="s">
        <v>79</v>
      </c>
      <c r="B92" s="137" t="s">
        <v>347</v>
      </c>
      <c r="C92" s="230">
        <v>923</v>
      </c>
      <c r="D92" s="230">
        <v>293</v>
      </c>
      <c r="E92" s="230">
        <v>197</v>
      </c>
      <c r="F92" s="230">
        <v>34</v>
      </c>
      <c r="G92" s="230">
        <v>47</v>
      </c>
      <c r="H92" s="230">
        <v>0</v>
      </c>
      <c r="I92" s="230">
        <v>0</v>
      </c>
      <c r="J92" s="230">
        <v>350</v>
      </c>
      <c r="K92" s="230">
        <v>0</v>
      </c>
      <c r="L92" s="232">
        <f t="shared" si="29"/>
        <v>1844</v>
      </c>
      <c r="M92" s="230">
        <v>372</v>
      </c>
      <c r="N92" s="230">
        <v>96</v>
      </c>
      <c r="O92" s="230">
        <v>99</v>
      </c>
      <c r="P92" s="230">
        <v>5</v>
      </c>
      <c r="Q92" s="230">
        <v>6</v>
      </c>
      <c r="R92" s="230">
        <v>0</v>
      </c>
      <c r="S92" s="230">
        <v>0</v>
      </c>
      <c r="T92" s="230">
        <v>0</v>
      </c>
      <c r="U92" s="189"/>
      <c r="V92" s="176">
        <f t="shared" si="30"/>
        <v>578</v>
      </c>
      <c r="W92" s="204">
        <v>0</v>
      </c>
      <c r="X92" s="204"/>
      <c r="Y92" s="204"/>
      <c r="Z92" s="214">
        <f t="shared" si="32"/>
        <v>2422</v>
      </c>
      <c r="AA92" s="215">
        <f t="shared" si="31"/>
        <v>1723</v>
      </c>
    </row>
    <row r="93" spans="1:29" x14ac:dyDescent="0.25">
      <c r="A93" s="136" t="s">
        <v>83</v>
      </c>
      <c r="B93" s="137" t="s">
        <v>291</v>
      </c>
      <c r="C93" s="230">
        <v>4483</v>
      </c>
      <c r="D93" s="230">
        <v>5133</v>
      </c>
      <c r="E93" s="230">
        <v>1775</v>
      </c>
      <c r="F93" s="230">
        <v>83</v>
      </c>
      <c r="G93" s="230">
        <v>268</v>
      </c>
      <c r="H93" s="230">
        <v>0</v>
      </c>
      <c r="I93" s="230">
        <v>0</v>
      </c>
      <c r="J93" s="230">
        <v>176</v>
      </c>
      <c r="K93" s="230">
        <v>0</v>
      </c>
      <c r="L93" s="232">
        <f t="shared" si="29"/>
        <v>11918</v>
      </c>
      <c r="M93" s="230">
        <v>1079</v>
      </c>
      <c r="N93" s="230">
        <v>3004</v>
      </c>
      <c r="O93" s="230">
        <v>806</v>
      </c>
      <c r="P93" s="230">
        <v>21</v>
      </c>
      <c r="Q93" s="230">
        <v>101</v>
      </c>
      <c r="R93" s="230">
        <v>0</v>
      </c>
      <c r="S93" s="230">
        <v>0</v>
      </c>
      <c r="T93" s="230">
        <v>0</v>
      </c>
      <c r="U93" s="189"/>
      <c r="V93" s="176">
        <f t="shared" si="30"/>
        <v>5011</v>
      </c>
      <c r="W93" s="205"/>
      <c r="X93" s="204"/>
      <c r="Y93" s="204"/>
      <c r="Z93" s="214">
        <f t="shared" si="32"/>
        <v>16929</v>
      </c>
      <c r="AA93" s="215">
        <f t="shared" si="31"/>
        <v>13803</v>
      </c>
    </row>
    <row r="94" spans="1:29" x14ac:dyDescent="0.25">
      <c r="A94" s="136" t="s">
        <v>89</v>
      </c>
      <c r="B94" s="137" t="s">
        <v>348</v>
      </c>
      <c r="C94" s="230">
        <v>354</v>
      </c>
      <c r="D94" s="230">
        <v>386</v>
      </c>
      <c r="E94" s="230">
        <v>226</v>
      </c>
      <c r="F94" s="230">
        <v>7</v>
      </c>
      <c r="G94" s="230">
        <v>11</v>
      </c>
      <c r="H94" s="230">
        <v>0</v>
      </c>
      <c r="I94" s="230">
        <v>0</v>
      </c>
      <c r="J94" s="230">
        <v>70</v>
      </c>
      <c r="K94" s="230">
        <v>0</v>
      </c>
      <c r="L94" s="232">
        <f t="shared" si="29"/>
        <v>1054</v>
      </c>
      <c r="M94" s="230">
        <v>232</v>
      </c>
      <c r="N94" s="230">
        <v>332</v>
      </c>
      <c r="O94" s="230">
        <v>139</v>
      </c>
      <c r="P94" s="230">
        <v>16</v>
      </c>
      <c r="Q94" s="230">
        <v>22</v>
      </c>
      <c r="R94" s="230">
        <v>0</v>
      </c>
      <c r="S94" s="230">
        <v>0</v>
      </c>
      <c r="T94" s="230">
        <v>3</v>
      </c>
      <c r="U94" s="189"/>
      <c r="V94" s="176">
        <f t="shared" si="30"/>
        <v>744</v>
      </c>
      <c r="W94" s="204">
        <v>284</v>
      </c>
      <c r="X94" s="204"/>
      <c r="Y94" s="204"/>
      <c r="Z94" s="214">
        <f t="shared" si="32"/>
        <v>2082</v>
      </c>
      <c r="AA94" s="215">
        <f t="shared" si="31"/>
        <v>1327</v>
      </c>
    </row>
    <row r="95" spans="1:29" x14ac:dyDescent="0.25">
      <c r="A95" s="136" t="s">
        <v>90</v>
      </c>
      <c r="B95" s="137" t="s">
        <v>349</v>
      </c>
      <c r="C95" s="230">
        <v>835</v>
      </c>
      <c r="D95" s="230">
        <v>603</v>
      </c>
      <c r="E95" s="230">
        <v>440</v>
      </c>
      <c r="F95" s="230">
        <v>29</v>
      </c>
      <c r="G95" s="230">
        <v>25</v>
      </c>
      <c r="H95" s="230">
        <v>0</v>
      </c>
      <c r="I95" s="230">
        <v>0</v>
      </c>
      <c r="J95" s="230">
        <v>116</v>
      </c>
      <c r="K95" s="230">
        <v>0</v>
      </c>
      <c r="L95" s="232">
        <f t="shared" si="29"/>
        <v>2048</v>
      </c>
      <c r="M95" s="230">
        <v>771</v>
      </c>
      <c r="N95" s="230">
        <v>1002</v>
      </c>
      <c r="O95" s="230">
        <v>397</v>
      </c>
      <c r="P95" s="230">
        <v>61</v>
      </c>
      <c r="Q95" s="230">
        <v>33</v>
      </c>
      <c r="R95" s="230">
        <v>0</v>
      </c>
      <c r="S95" s="230">
        <v>0</v>
      </c>
      <c r="T95" s="230">
        <v>0</v>
      </c>
      <c r="U95" s="189"/>
      <c r="V95" s="176">
        <f t="shared" si="30"/>
        <v>2264</v>
      </c>
      <c r="W95" s="204">
        <v>1161</v>
      </c>
      <c r="X95" s="204"/>
      <c r="Y95" s="204"/>
      <c r="Z95" s="214">
        <f t="shared" si="32"/>
        <v>5473</v>
      </c>
      <c r="AA95" s="215">
        <f t="shared" si="31"/>
        <v>3301</v>
      </c>
    </row>
    <row r="96" spans="1:29" x14ac:dyDescent="0.25">
      <c r="A96" s="136" t="s">
        <v>93</v>
      </c>
      <c r="B96" s="137" t="s">
        <v>359</v>
      </c>
      <c r="C96" s="230">
        <v>1374</v>
      </c>
      <c r="D96" s="230">
        <v>807</v>
      </c>
      <c r="E96" s="230">
        <v>807</v>
      </c>
      <c r="F96" s="230">
        <v>88</v>
      </c>
      <c r="G96" s="230">
        <v>50</v>
      </c>
      <c r="H96" s="230">
        <v>0</v>
      </c>
      <c r="I96" s="230">
        <v>0</v>
      </c>
      <c r="J96" s="230">
        <v>286</v>
      </c>
      <c r="K96" s="230">
        <v>0</v>
      </c>
      <c r="L96" s="232">
        <f t="shared" si="29"/>
        <v>3412</v>
      </c>
      <c r="M96" s="230">
        <v>684</v>
      </c>
      <c r="N96" s="230">
        <v>749</v>
      </c>
      <c r="O96" s="230">
        <v>456</v>
      </c>
      <c r="P96" s="230">
        <v>34</v>
      </c>
      <c r="Q96" s="230">
        <v>16</v>
      </c>
      <c r="R96" s="230">
        <v>42</v>
      </c>
      <c r="S96" s="230">
        <v>0</v>
      </c>
      <c r="T96" s="230">
        <v>6</v>
      </c>
      <c r="U96" s="189"/>
      <c r="V96" s="176">
        <f t="shared" si="30"/>
        <v>1987</v>
      </c>
      <c r="W96" s="204">
        <v>423</v>
      </c>
      <c r="X96" s="204"/>
      <c r="Y96" s="204"/>
      <c r="Z96" s="214">
        <f t="shared" si="32"/>
        <v>5822</v>
      </c>
      <c r="AA96" s="215">
        <f t="shared" si="31"/>
        <v>3736</v>
      </c>
    </row>
    <row r="97" spans="1:27" x14ac:dyDescent="0.25">
      <c r="A97" s="136" t="s">
        <v>97</v>
      </c>
      <c r="B97" s="137" t="s">
        <v>294</v>
      </c>
      <c r="C97" s="230">
        <v>2847</v>
      </c>
      <c r="D97" s="230">
        <v>1354</v>
      </c>
      <c r="E97" s="230">
        <v>1003</v>
      </c>
      <c r="F97" s="230">
        <v>23</v>
      </c>
      <c r="G97" s="230">
        <v>89</v>
      </c>
      <c r="H97" s="230">
        <v>104</v>
      </c>
      <c r="I97" s="230">
        <v>0</v>
      </c>
      <c r="J97" s="230">
        <v>228</v>
      </c>
      <c r="K97" s="230">
        <v>0</v>
      </c>
      <c r="L97" s="232">
        <f t="shared" si="29"/>
        <v>5648</v>
      </c>
      <c r="M97" s="230">
        <v>1310</v>
      </c>
      <c r="N97" s="230">
        <v>1692</v>
      </c>
      <c r="O97" s="230">
        <v>926</v>
      </c>
      <c r="P97" s="230">
        <v>29</v>
      </c>
      <c r="Q97" s="230">
        <v>76</v>
      </c>
      <c r="R97" s="230">
        <v>0</v>
      </c>
      <c r="S97" s="230">
        <v>0</v>
      </c>
      <c r="T97" s="230">
        <v>0</v>
      </c>
      <c r="U97" s="189"/>
      <c r="V97" s="176">
        <f t="shared" si="30"/>
        <v>4033</v>
      </c>
      <c r="W97" s="204">
        <v>1485</v>
      </c>
      <c r="X97" s="204"/>
      <c r="Y97" s="204"/>
      <c r="Z97" s="214">
        <f t="shared" si="32"/>
        <v>11166</v>
      </c>
      <c r="AA97" s="215">
        <f t="shared" si="31"/>
        <v>7255</v>
      </c>
    </row>
    <row r="98" spans="1:27" x14ac:dyDescent="0.25">
      <c r="A98" s="136" t="s">
        <v>125</v>
      </c>
      <c r="B98" s="137" t="s">
        <v>350</v>
      </c>
      <c r="C98" s="230">
        <v>701</v>
      </c>
      <c r="D98" s="230">
        <v>350</v>
      </c>
      <c r="E98" s="230">
        <v>276</v>
      </c>
      <c r="F98" s="230">
        <v>53</v>
      </c>
      <c r="G98" s="230">
        <v>26</v>
      </c>
      <c r="H98" s="230">
        <v>0</v>
      </c>
      <c r="I98" s="230">
        <v>0</v>
      </c>
      <c r="J98" s="230">
        <v>59</v>
      </c>
      <c r="K98" s="230">
        <v>0</v>
      </c>
      <c r="L98" s="232">
        <f t="shared" si="29"/>
        <v>1465</v>
      </c>
      <c r="M98" s="230">
        <v>81</v>
      </c>
      <c r="N98" s="230">
        <v>42</v>
      </c>
      <c r="O98" s="230">
        <v>64</v>
      </c>
      <c r="P98" s="230">
        <v>6</v>
      </c>
      <c r="Q98" s="230">
        <v>4</v>
      </c>
      <c r="R98" s="230">
        <v>0</v>
      </c>
      <c r="S98" s="230">
        <v>0</v>
      </c>
      <c r="T98" s="230">
        <v>0</v>
      </c>
      <c r="U98" s="189"/>
      <c r="V98" s="176">
        <f t="shared" si="30"/>
        <v>197</v>
      </c>
      <c r="W98" s="204">
        <v>302</v>
      </c>
      <c r="X98" s="204"/>
      <c r="Y98" s="204"/>
      <c r="Z98" s="214">
        <f t="shared" si="32"/>
        <v>1964</v>
      </c>
      <c r="AA98" s="215">
        <f t="shared" si="31"/>
        <v>1233</v>
      </c>
    </row>
    <row r="99" spans="1:27" x14ac:dyDescent="0.25">
      <c r="A99" s="136" t="s">
        <v>135</v>
      </c>
      <c r="B99" s="137" t="s">
        <v>351</v>
      </c>
      <c r="C99" s="230">
        <v>1332</v>
      </c>
      <c r="D99" s="230">
        <v>1047</v>
      </c>
      <c r="E99" s="230">
        <v>642</v>
      </c>
      <c r="F99" s="230">
        <v>43</v>
      </c>
      <c r="G99" s="230">
        <v>42</v>
      </c>
      <c r="H99" s="230">
        <v>0</v>
      </c>
      <c r="I99" s="230">
        <v>0</v>
      </c>
      <c r="J99" s="230">
        <v>117</v>
      </c>
      <c r="K99" s="230">
        <v>0</v>
      </c>
      <c r="L99" s="232">
        <f t="shared" si="29"/>
        <v>3223</v>
      </c>
      <c r="M99" s="230">
        <v>632</v>
      </c>
      <c r="N99" s="230">
        <v>1153</v>
      </c>
      <c r="O99" s="230">
        <v>573</v>
      </c>
      <c r="P99" s="230">
        <v>14</v>
      </c>
      <c r="Q99" s="230">
        <v>28</v>
      </c>
      <c r="R99" s="230">
        <v>0</v>
      </c>
      <c r="S99" s="230">
        <v>0</v>
      </c>
      <c r="T99" s="230">
        <v>15</v>
      </c>
      <c r="U99" s="189"/>
      <c r="V99" s="176">
        <f t="shared" si="30"/>
        <v>2415</v>
      </c>
      <c r="W99" s="204">
        <v>446</v>
      </c>
      <c r="X99" s="204"/>
      <c r="Y99" s="204"/>
      <c r="Z99" s="214">
        <f t="shared" si="32"/>
        <v>6084</v>
      </c>
      <c r="AA99" s="215">
        <f t="shared" si="31"/>
        <v>4221</v>
      </c>
    </row>
    <row r="100" spans="1:27" x14ac:dyDescent="0.25">
      <c r="A100" s="136" t="s">
        <v>144</v>
      </c>
      <c r="B100" s="137" t="s">
        <v>352</v>
      </c>
      <c r="C100" s="230">
        <v>1486</v>
      </c>
      <c r="D100" s="230">
        <v>400</v>
      </c>
      <c r="E100" s="230">
        <v>498</v>
      </c>
      <c r="F100" s="230">
        <v>88</v>
      </c>
      <c r="G100" s="230">
        <v>76</v>
      </c>
      <c r="H100" s="230">
        <v>0</v>
      </c>
      <c r="I100" s="230">
        <v>0</v>
      </c>
      <c r="J100" s="230">
        <v>173</v>
      </c>
      <c r="K100" s="230">
        <v>0</v>
      </c>
      <c r="L100" s="232">
        <f t="shared" si="29"/>
        <v>2721</v>
      </c>
      <c r="M100" s="230">
        <v>620</v>
      </c>
      <c r="N100" s="230">
        <v>550</v>
      </c>
      <c r="O100" s="230">
        <v>392</v>
      </c>
      <c r="P100" s="230">
        <v>31</v>
      </c>
      <c r="Q100" s="230">
        <v>40</v>
      </c>
      <c r="R100" s="230">
        <v>0</v>
      </c>
      <c r="S100" s="230">
        <v>0</v>
      </c>
      <c r="T100" s="230">
        <v>0</v>
      </c>
      <c r="U100" s="189"/>
      <c r="V100" s="176">
        <f t="shared" si="30"/>
        <v>1633</v>
      </c>
      <c r="W100" s="204">
        <v>677</v>
      </c>
      <c r="X100" s="204"/>
      <c r="Y100" s="204"/>
      <c r="Z100" s="214">
        <f t="shared" si="32"/>
        <v>5031</v>
      </c>
      <c r="AA100" s="215">
        <f t="shared" si="31"/>
        <v>3175</v>
      </c>
    </row>
    <row r="101" spans="1:27" x14ac:dyDescent="0.25">
      <c r="A101" s="136" t="s">
        <v>176</v>
      </c>
      <c r="B101" s="137" t="s">
        <v>354</v>
      </c>
      <c r="C101" s="230">
        <v>1090</v>
      </c>
      <c r="D101" s="230">
        <v>837</v>
      </c>
      <c r="E101" s="230">
        <v>449</v>
      </c>
      <c r="F101" s="230">
        <v>39</v>
      </c>
      <c r="G101" s="230">
        <v>33</v>
      </c>
      <c r="H101" s="230">
        <v>0</v>
      </c>
      <c r="I101" s="230">
        <v>0</v>
      </c>
      <c r="J101" s="230">
        <v>167</v>
      </c>
      <c r="K101" s="230">
        <v>0</v>
      </c>
      <c r="L101" s="232">
        <f t="shared" si="29"/>
        <v>2615</v>
      </c>
      <c r="M101" s="230">
        <v>422</v>
      </c>
      <c r="N101" s="230">
        <v>893</v>
      </c>
      <c r="O101" s="230">
        <v>362</v>
      </c>
      <c r="P101" s="230">
        <v>42</v>
      </c>
      <c r="Q101" s="230">
        <v>29</v>
      </c>
      <c r="R101" s="230">
        <v>0</v>
      </c>
      <c r="S101" s="230">
        <v>0</v>
      </c>
      <c r="T101" s="230">
        <v>0</v>
      </c>
      <c r="U101" s="189"/>
      <c r="V101" s="176">
        <f t="shared" si="30"/>
        <v>1748</v>
      </c>
      <c r="W101" s="204">
        <v>448</v>
      </c>
      <c r="X101" s="204"/>
      <c r="Y101" s="204"/>
      <c r="Z101" s="214">
        <f t="shared" si="32"/>
        <v>4811</v>
      </c>
      <c r="AA101" s="215">
        <f t="shared" si="31"/>
        <v>3323</v>
      </c>
    </row>
    <row r="102" spans="1:27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29"/>
        <v>0</v>
      </c>
      <c r="M102" s="147"/>
      <c r="N102" s="147"/>
      <c r="O102" s="147"/>
      <c r="P102" s="147"/>
      <c r="Q102" s="147"/>
      <c r="R102" s="147"/>
      <c r="S102" s="147"/>
      <c r="T102" s="147"/>
      <c r="U102" s="189"/>
      <c r="V102" s="176">
        <f t="shared" si="30"/>
        <v>0</v>
      </c>
      <c r="W102" s="204">
        <f>0+489+2375+1843+25551+5599+2129+1904+0</f>
        <v>39890</v>
      </c>
      <c r="X102" s="204"/>
      <c r="Y102" s="204"/>
      <c r="Z102" s="214">
        <f t="shared" si="32"/>
        <v>39890</v>
      </c>
      <c r="AA102" s="215">
        <f t="shared" si="31"/>
        <v>0</v>
      </c>
    </row>
    <row r="103" spans="1:27" x14ac:dyDescent="0.25">
      <c r="A103" s="136" t="s">
        <v>177</v>
      </c>
      <c r="B103" s="137" t="s">
        <v>302</v>
      </c>
      <c r="C103" s="230">
        <v>6335</v>
      </c>
      <c r="D103" s="230">
        <v>6343</v>
      </c>
      <c r="E103" s="230">
        <v>4281</v>
      </c>
      <c r="F103" s="230">
        <v>77</v>
      </c>
      <c r="G103" s="230">
        <v>171</v>
      </c>
      <c r="H103" s="230">
        <v>0</v>
      </c>
      <c r="I103" s="230">
        <v>21</v>
      </c>
      <c r="J103" s="230">
        <v>515</v>
      </c>
      <c r="K103" s="230">
        <v>0</v>
      </c>
      <c r="L103" s="232">
        <f t="shared" si="29"/>
        <v>17743</v>
      </c>
      <c r="M103" s="230">
        <v>1101</v>
      </c>
      <c r="N103" s="230">
        <v>2686</v>
      </c>
      <c r="O103" s="230">
        <v>1213</v>
      </c>
      <c r="P103" s="230">
        <v>46</v>
      </c>
      <c r="Q103" s="230">
        <v>89</v>
      </c>
      <c r="R103" s="230">
        <v>17</v>
      </c>
      <c r="S103" s="230">
        <v>0</v>
      </c>
      <c r="T103" s="230">
        <v>45</v>
      </c>
      <c r="U103" s="189"/>
      <c r="V103" s="176">
        <f t="shared" si="30"/>
        <v>5197</v>
      </c>
      <c r="W103" s="204">
        <v>966</v>
      </c>
      <c r="X103" s="204"/>
      <c r="Y103" s="204"/>
      <c r="Z103" s="214">
        <f t="shared" si="32"/>
        <v>23906</v>
      </c>
      <c r="AA103" s="215">
        <f t="shared" si="31"/>
        <v>16588</v>
      </c>
    </row>
    <row r="104" spans="1:27" x14ac:dyDescent="0.25">
      <c r="A104" s="136" t="s">
        <v>178</v>
      </c>
      <c r="B104" s="137" t="s">
        <v>304</v>
      </c>
      <c r="C104" s="230">
        <v>2380</v>
      </c>
      <c r="D104" s="230">
        <v>1705</v>
      </c>
      <c r="E104" s="230">
        <v>1287</v>
      </c>
      <c r="F104" s="230">
        <v>108</v>
      </c>
      <c r="G104" s="230">
        <v>30</v>
      </c>
      <c r="H104" s="230">
        <v>18</v>
      </c>
      <c r="I104" s="230">
        <v>0</v>
      </c>
      <c r="J104" s="230">
        <v>173</v>
      </c>
      <c r="K104" s="230">
        <v>0</v>
      </c>
      <c r="L104" s="232">
        <f t="shared" si="29"/>
        <v>5701</v>
      </c>
      <c r="M104" s="230">
        <v>548</v>
      </c>
      <c r="N104" s="230">
        <v>1559</v>
      </c>
      <c r="O104" s="230">
        <v>785</v>
      </c>
      <c r="P104" s="230">
        <v>5</v>
      </c>
      <c r="Q104" s="230">
        <v>21</v>
      </c>
      <c r="R104" s="230">
        <v>0</v>
      </c>
      <c r="S104" s="230">
        <v>0</v>
      </c>
      <c r="T104" s="230">
        <v>0</v>
      </c>
      <c r="U104" s="189"/>
      <c r="V104" s="176">
        <f t="shared" si="30"/>
        <v>2918</v>
      </c>
      <c r="W104" s="209">
        <v>693</v>
      </c>
      <c r="X104" s="209"/>
      <c r="Y104" s="209"/>
      <c r="Z104" s="214">
        <f t="shared" si="32"/>
        <v>9312</v>
      </c>
      <c r="AA104" s="217">
        <f>C104+D104+F104+K104+M104+N104+P104+U104</f>
        <v>6305</v>
      </c>
    </row>
    <row r="105" spans="1:27" ht="13.8" thickBot="1" x14ac:dyDescent="0.3">
      <c r="A105" s="136" t="s">
        <v>190</v>
      </c>
      <c r="B105" s="143" t="s">
        <v>364</v>
      </c>
      <c r="C105">
        <v>3393</v>
      </c>
      <c r="D105">
        <v>2083</v>
      </c>
      <c r="E105">
        <v>1681</v>
      </c>
      <c r="F105">
        <v>65</v>
      </c>
      <c r="G105">
        <v>75</v>
      </c>
      <c r="H105">
        <v>10</v>
      </c>
      <c r="I105">
        <v>36</v>
      </c>
      <c r="J105">
        <v>507</v>
      </c>
      <c r="K105">
        <v>0</v>
      </c>
      <c r="L105" s="184">
        <f t="shared" si="29"/>
        <v>7850</v>
      </c>
      <c r="M105">
        <v>1346</v>
      </c>
      <c r="N105">
        <v>2333</v>
      </c>
      <c r="O105">
        <v>1353</v>
      </c>
      <c r="P105">
        <v>77</v>
      </c>
      <c r="Q105">
        <v>53</v>
      </c>
      <c r="R105">
        <v>0</v>
      </c>
      <c r="S105">
        <v>0</v>
      </c>
      <c r="T105">
        <v>1</v>
      </c>
      <c r="U105" s="193"/>
      <c r="V105" s="178">
        <f t="shared" si="30"/>
        <v>5163</v>
      </c>
      <c r="W105" s="209">
        <v>822</v>
      </c>
      <c r="X105" s="209"/>
      <c r="Y105" s="209"/>
      <c r="Z105" s="214">
        <f t="shared" si="32"/>
        <v>13835</v>
      </c>
      <c r="AA105" s="217">
        <f>C105+D105+F105+K105+M105+N105+P105+U105</f>
        <v>9297</v>
      </c>
    </row>
    <row r="106" spans="1:27" s="109" customFormat="1" ht="14.4" thickBot="1" x14ac:dyDescent="0.3">
      <c r="A106" s="134"/>
      <c r="B106" s="159" t="s">
        <v>462</v>
      </c>
      <c r="C106" s="185">
        <f t="shared" ref="C106:AA106" si="33">SUM(C90:C105)</f>
        <v>28613</v>
      </c>
      <c r="D106" s="157">
        <f t="shared" si="33"/>
        <v>21840</v>
      </c>
      <c r="E106" s="157">
        <f t="shared" si="33"/>
        <v>14147</v>
      </c>
      <c r="F106" s="157">
        <f t="shared" si="33"/>
        <v>806</v>
      </c>
      <c r="G106" s="157">
        <f t="shared" si="33"/>
        <v>1004</v>
      </c>
      <c r="H106" s="157">
        <f t="shared" si="33"/>
        <v>132</v>
      </c>
      <c r="I106" s="157">
        <f t="shared" si="33"/>
        <v>69</v>
      </c>
      <c r="J106" s="157">
        <f t="shared" si="33"/>
        <v>3185</v>
      </c>
      <c r="K106" s="166">
        <f t="shared" si="33"/>
        <v>0</v>
      </c>
      <c r="L106" s="180">
        <f t="shared" ref="L106" si="34">SUM(L90:L105)</f>
        <v>69796</v>
      </c>
      <c r="M106" s="198">
        <f t="shared" si="33"/>
        <v>9649</v>
      </c>
      <c r="N106" s="158">
        <f t="shared" si="33"/>
        <v>16894</v>
      </c>
      <c r="O106" s="158">
        <f t="shared" si="33"/>
        <v>7935</v>
      </c>
      <c r="P106" s="158">
        <f t="shared" si="33"/>
        <v>449</v>
      </c>
      <c r="Q106" s="158">
        <f t="shared" si="33"/>
        <v>562</v>
      </c>
      <c r="R106" s="158">
        <f t="shared" si="33"/>
        <v>59</v>
      </c>
      <c r="S106" s="158">
        <f t="shared" si="33"/>
        <v>0</v>
      </c>
      <c r="T106" s="158">
        <f t="shared" si="33"/>
        <v>286</v>
      </c>
      <c r="U106" s="158">
        <f t="shared" si="33"/>
        <v>0</v>
      </c>
      <c r="V106" s="201">
        <f t="shared" si="33"/>
        <v>35834</v>
      </c>
      <c r="W106" s="210">
        <f t="shared" si="33"/>
        <v>51246</v>
      </c>
      <c r="X106" s="210">
        <f>SUM(X90:X105)</f>
        <v>0</v>
      </c>
      <c r="Y106" s="210">
        <f>SUM(Y90:Y105)</f>
        <v>0</v>
      </c>
      <c r="Z106" s="210">
        <f t="shared" si="33"/>
        <v>156876</v>
      </c>
      <c r="AA106" s="210">
        <f t="shared" si="33"/>
        <v>78251</v>
      </c>
    </row>
    <row r="107" spans="1:27" ht="18" thickBot="1" x14ac:dyDescent="0.35">
      <c r="A107" s="135"/>
      <c r="B107" s="169" t="s">
        <v>463</v>
      </c>
      <c r="C107" s="186">
        <f t="shared" ref="C107:AA107" si="35">C106+C89+C72+C55+C37+C23</f>
        <v>166481</v>
      </c>
      <c r="D107" s="162">
        <f t="shared" si="35"/>
        <v>80415</v>
      </c>
      <c r="E107" s="162">
        <f t="shared" si="35"/>
        <v>67967</v>
      </c>
      <c r="F107" s="162">
        <f t="shared" si="35"/>
        <v>4090</v>
      </c>
      <c r="G107" s="162">
        <f t="shared" si="35"/>
        <v>4721</v>
      </c>
      <c r="H107" s="162">
        <f t="shared" si="35"/>
        <v>459</v>
      </c>
      <c r="I107" s="162">
        <f t="shared" si="35"/>
        <v>1162</v>
      </c>
      <c r="J107" s="162">
        <f t="shared" si="35"/>
        <v>36917</v>
      </c>
      <c r="K107" s="163">
        <f t="shared" si="35"/>
        <v>870</v>
      </c>
      <c r="L107" s="187">
        <f t="shared" si="35"/>
        <v>363082</v>
      </c>
      <c r="M107" s="186">
        <f t="shared" si="35"/>
        <v>56674</v>
      </c>
      <c r="N107" s="162">
        <f t="shared" si="35"/>
        <v>83597</v>
      </c>
      <c r="O107" s="162">
        <f t="shared" si="35"/>
        <v>44098</v>
      </c>
      <c r="P107" s="162">
        <f t="shared" si="35"/>
        <v>2712</v>
      </c>
      <c r="Q107" s="162">
        <f t="shared" si="35"/>
        <v>3221</v>
      </c>
      <c r="R107" s="162">
        <f t="shared" si="35"/>
        <v>1471</v>
      </c>
      <c r="S107" s="162">
        <f t="shared" si="35"/>
        <v>104</v>
      </c>
      <c r="T107" s="162">
        <f t="shared" si="35"/>
        <v>6861</v>
      </c>
      <c r="U107" s="163">
        <f t="shared" si="35"/>
        <v>99</v>
      </c>
      <c r="V107" s="187">
        <f t="shared" si="35"/>
        <v>198837</v>
      </c>
      <c r="W107" s="212">
        <f t="shared" si="35"/>
        <v>147228</v>
      </c>
      <c r="X107" s="212">
        <f t="shared" si="35"/>
        <v>12604</v>
      </c>
      <c r="Y107" s="212">
        <f t="shared" si="35"/>
        <v>7048</v>
      </c>
      <c r="Z107" s="212">
        <f t="shared" si="35"/>
        <v>728799</v>
      </c>
      <c r="AA107" s="212">
        <f t="shared" si="35"/>
        <v>394938</v>
      </c>
    </row>
  </sheetData>
  <mergeCells count="5">
    <mergeCell ref="B1:B3"/>
    <mergeCell ref="C4:L4"/>
    <mergeCell ref="M4:V4"/>
    <mergeCell ref="C1:Z1"/>
    <mergeCell ref="C2:Z2"/>
  </mergeCells>
  <conditionalFormatting sqref="W24:Y36 W38:Y54 W56:Y71 W73:Y88 W6:Y22">
    <cfRule type="cellIs" dxfId="12" priority="1" stopIfTrue="1" operator="notBetween">
      <formula>-2000</formula>
      <formula>2000</formula>
    </cfRule>
  </conditionalFormatting>
  <conditionalFormatting sqref="V3">
    <cfRule type="cellIs" dxfId="11" priority="4" stopIfTrue="1" operator="greaterThan">
      <formula>10</formula>
    </cfRule>
    <cfRule type="cellIs" dxfId="10" priority="5" stopIfTrue="1" operator="lessThan">
      <formula>10</formula>
    </cfRule>
  </conditionalFormatting>
  <conditionalFormatting sqref="W90:Y105">
    <cfRule type="cellIs" dxfId="9" priority="3" stopIfTrue="1" operator="notBetween">
      <formula>-2000</formula>
      <formula>2000</formula>
    </cfRule>
  </conditionalFormatting>
  <conditionalFormatting sqref="W18:Y18">
    <cfRule type="cellIs" dxfId="8" priority="2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7" fitToHeight="4" orientation="landscape" r:id="rId1"/>
  <headerFooter alignWithMargins="0">
    <oddFooter xml:space="preserve">&amp;L&amp;8&amp;Z&amp;F&amp;A&amp;10
</oddFooter>
  </headerFooter>
  <ignoredErrors>
    <ignoredError sqref="L55 L72 L106 L23 V23 V55 V72 V89 Z23:AA23 Z37:AA37 Z55:AA55 Z72:AA72 Z89:AA89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AC133"/>
  <sheetViews>
    <sheetView showZeros="0" zoomScale="82" zoomScaleNormal="82" workbookViewId="0">
      <pane xSplit="2" ySplit="5" topLeftCell="V93" activePane="bottomRight" state="frozen"/>
      <selection pane="topRight" activeCell="C1" sqref="C1"/>
      <selection pane="bottomLeft" activeCell="A6" sqref="A6"/>
      <selection pane="bottomRight" activeCell="Z102" sqref="Z102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bestFit="1" customWidth="1"/>
    <col min="6" max="6" width="16" customWidth="1"/>
    <col min="7" max="7" width="15.109375" customWidth="1"/>
    <col min="8" max="9" width="11.44140625" customWidth="1"/>
    <col min="10" max="10" width="11.5546875" bestFit="1" customWidth="1"/>
    <col min="11" max="11" width="16.5546875" customWidth="1"/>
    <col min="12" max="12" width="13.5546875" bestFit="1" customWidth="1"/>
    <col min="13" max="13" width="11.5546875" bestFit="1" customWidth="1"/>
    <col min="14" max="14" width="13.109375" bestFit="1" customWidth="1"/>
    <col min="15" max="15" width="11.5546875" bestFit="1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bestFit="1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</cols>
  <sheetData>
    <row r="1" spans="1:27" s="111" customFormat="1" ht="22.8" x14ac:dyDescent="0.35">
      <c r="B1" s="544"/>
      <c r="C1" s="546" t="s">
        <v>263</v>
      </c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6"/>
      <c r="S1" s="546"/>
      <c r="T1" s="546"/>
      <c r="U1" s="546"/>
      <c r="V1" s="546"/>
      <c r="W1" s="546"/>
      <c r="X1" s="546"/>
      <c r="Y1" s="546"/>
      <c r="Z1" s="546"/>
    </row>
    <row r="2" spans="1:27" s="111" customFormat="1" ht="22.8" x14ac:dyDescent="0.35">
      <c r="B2" s="544"/>
      <c r="C2" s="550"/>
      <c r="D2" s="550"/>
      <c r="E2" s="550"/>
      <c r="F2" s="550"/>
      <c r="G2" s="550"/>
      <c r="H2" s="550"/>
      <c r="I2" s="550"/>
      <c r="J2" s="550"/>
      <c r="K2" s="550"/>
      <c r="L2" s="550"/>
      <c r="M2" s="550"/>
      <c r="N2" s="550"/>
      <c r="O2" s="550"/>
      <c r="P2" s="550"/>
      <c r="Q2" s="550"/>
      <c r="R2" s="550"/>
      <c r="S2" s="550"/>
      <c r="T2" s="550"/>
      <c r="U2" s="550"/>
      <c r="V2" s="550"/>
      <c r="W2" s="550"/>
      <c r="X2" s="550"/>
      <c r="Y2" s="550"/>
      <c r="Z2" s="550"/>
    </row>
    <row r="3" spans="1:27" s="111" customFormat="1" ht="21" thickBot="1" x14ac:dyDescent="0.4">
      <c r="B3" s="545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7" ht="21" customHeight="1" thickTop="1" thickBot="1" x14ac:dyDescent="0.3">
      <c r="A4" s="145"/>
      <c r="B4" s="167"/>
      <c r="C4" s="547" t="s">
        <v>253</v>
      </c>
      <c r="D4" s="548"/>
      <c r="E4" s="548"/>
      <c r="F4" s="548"/>
      <c r="G4" s="548"/>
      <c r="H4" s="548"/>
      <c r="I4" s="548"/>
      <c r="J4" s="548"/>
      <c r="K4" s="548"/>
      <c r="L4" s="549"/>
      <c r="M4" s="547" t="s">
        <v>262</v>
      </c>
      <c r="N4" s="548"/>
      <c r="O4" s="548"/>
      <c r="P4" s="548"/>
      <c r="Q4" s="548"/>
      <c r="R4" s="548"/>
      <c r="S4" s="548"/>
      <c r="T4" s="548"/>
      <c r="U4" s="548"/>
      <c r="V4" s="549"/>
      <c r="W4" s="202"/>
      <c r="X4" s="202"/>
      <c r="Y4" s="272" t="s">
        <v>472</v>
      </c>
      <c r="Z4" s="202"/>
      <c r="AA4" s="202"/>
    </row>
    <row r="5" spans="1:27" ht="45" customHeight="1" thickBot="1" x14ac:dyDescent="0.3">
      <c r="A5" s="146" t="s">
        <v>360</v>
      </c>
      <c r="B5" s="168" t="s">
        <v>456</v>
      </c>
      <c r="C5" s="170" t="s">
        <v>254</v>
      </c>
      <c r="D5" s="149" t="s">
        <v>219</v>
      </c>
      <c r="E5" s="150" t="s">
        <v>255</v>
      </c>
      <c r="F5" s="151" t="s">
        <v>256</v>
      </c>
      <c r="G5" s="151" t="s">
        <v>257</v>
      </c>
      <c r="H5" s="151" t="s">
        <v>258</v>
      </c>
      <c r="I5" s="151" t="s">
        <v>259</v>
      </c>
      <c r="J5" s="151" t="s">
        <v>260</v>
      </c>
      <c r="K5" s="152" t="s">
        <v>261</v>
      </c>
      <c r="L5" s="171" t="s">
        <v>208</v>
      </c>
      <c r="M5" s="194" t="s">
        <v>254</v>
      </c>
      <c r="N5" s="149" t="s">
        <v>219</v>
      </c>
      <c r="O5" s="150" t="s">
        <v>255</v>
      </c>
      <c r="P5" s="151" t="s">
        <v>256</v>
      </c>
      <c r="Q5" s="151" t="s">
        <v>257</v>
      </c>
      <c r="R5" s="151" t="s">
        <v>258</v>
      </c>
      <c r="S5" s="151" t="s">
        <v>259</v>
      </c>
      <c r="T5" s="151" t="s">
        <v>260</v>
      </c>
      <c r="U5" s="152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</row>
    <row r="6" spans="1:27" ht="12.75" customHeight="1" x14ac:dyDescent="0.25">
      <c r="A6" s="136" t="s">
        <v>68</v>
      </c>
      <c r="B6" s="139" t="s">
        <v>268</v>
      </c>
      <c r="C6" s="173"/>
      <c r="D6" s="133"/>
      <c r="E6" s="133"/>
      <c r="F6" s="133"/>
      <c r="G6" s="133"/>
      <c r="H6" s="133"/>
      <c r="I6" s="133"/>
      <c r="J6" s="133"/>
      <c r="K6" s="164"/>
      <c r="L6" s="172">
        <f>SUM(C6:K6)</f>
        <v>0</v>
      </c>
      <c r="M6" s="195"/>
      <c r="N6" s="153"/>
      <c r="O6" s="153"/>
      <c r="P6" s="153"/>
      <c r="Q6" s="153"/>
      <c r="R6" s="153"/>
      <c r="S6" s="153"/>
      <c r="T6" s="153"/>
      <c r="U6" s="188"/>
      <c r="V6" s="176">
        <f>SUM(M6:U6)</f>
        <v>0</v>
      </c>
      <c r="W6" s="204"/>
      <c r="X6" s="204"/>
      <c r="Y6" s="204"/>
      <c r="Z6" s="214">
        <f>L6+V6+W6+X6+Y6</f>
        <v>0</v>
      </c>
      <c r="AA6" s="215">
        <f>C6+D6+F6+K6+M6+N6+P6+U6</f>
        <v>0</v>
      </c>
    </row>
    <row r="7" spans="1:27" x14ac:dyDescent="0.25">
      <c r="A7" s="136" t="s">
        <v>69</v>
      </c>
      <c r="B7" s="137" t="s">
        <v>269</v>
      </c>
      <c r="C7" s="226"/>
      <c r="D7" s="155"/>
      <c r="E7" s="155"/>
      <c r="F7" s="155"/>
      <c r="G7" s="155"/>
      <c r="H7" s="155"/>
      <c r="I7" s="155"/>
      <c r="J7" s="155"/>
      <c r="K7" s="165"/>
      <c r="L7" s="174">
        <f t="shared" ref="L7:L22" si="0">SUM(C7:K7)</f>
        <v>0</v>
      </c>
      <c r="M7" s="196"/>
      <c r="N7" s="147"/>
      <c r="O7" s="147"/>
      <c r="P7" s="147"/>
      <c r="Q7" s="147"/>
      <c r="R7" s="147"/>
      <c r="S7" s="147"/>
      <c r="T7" s="147"/>
      <c r="U7" s="189"/>
      <c r="V7" s="176">
        <f>SUM(M7:U7)</f>
        <v>0</v>
      </c>
      <c r="W7" s="205"/>
      <c r="X7" s="204">
        <f>-217+217+663+492+280+314+1572+657+751</f>
        <v>4729</v>
      </c>
      <c r="Y7" s="204">
        <f>-14+14+39+74+17+66+439+46+41</f>
        <v>722</v>
      </c>
      <c r="Z7" s="214">
        <f>L7+V7+W7+X7+Y7</f>
        <v>5451</v>
      </c>
      <c r="AA7" s="215">
        <f>C7+D7+F7+K7+M7+N7+P7+U7</f>
        <v>0</v>
      </c>
    </row>
    <row r="8" spans="1:27" x14ac:dyDescent="0.25">
      <c r="A8" s="136" t="s">
        <v>73</v>
      </c>
      <c r="B8" s="137" t="s">
        <v>270</v>
      </c>
      <c r="C8" s="175"/>
      <c r="D8" s="128"/>
      <c r="E8" s="128"/>
      <c r="F8" s="128"/>
      <c r="G8" s="128"/>
      <c r="H8" s="128"/>
      <c r="I8" s="128"/>
      <c r="J8" s="128"/>
      <c r="K8" s="131"/>
      <c r="L8" s="176">
        <f t="shared" si="0"/>
        <v>0</v>
      </c>
      <c r="M8" s="196"/>
      <c r="N8" s="147"/>
      <c r="O8" s="147"/>
      <c r="P8" s="147"/>
      <c r="Q8" s="147"/>
      <c r="R8" s="147"/>
      <c r="S8" s="147"/>
      <c r="T8" s="147"/>
      <c r="U8" s="189"/>
      <c r="V8" s="176">
        <f>SUM(M8:U8)</f>
        <v>0</v>
      </c>
      <c r="W8" s="205"/>
      <c r="X8" s="204">
        <f>217-217</f>
        <v>0</v>
      </c>
      <c r="Y8" s="204">
        <f>14-14</f>
        <v>0</v>
      </c>
      <c r="Z8" s="214">
        <f t="shared" ref="Z8:Z22" si="1">L8+V8+W8+X8+Y8</f>
        <v>0</v>
      </c>
      <c r="AA8" s="215">
        <f>C8+D8+F8+K8+M8+N8+P8+U8</f>
        <v>0</v>
      </c>
    </row>
    <row r="9" spans="1:27" x14ac:dyDescent="0.25">
      <c r="A9" s="136" t="s">
        <v>74</v>
      </c>
      <c r="B9" s="137" t="s">
        <v>358</v>
      </c>
      <c r="C9" s="175"/>
      <c r="D9" s="128"/>
      <c r="E9" s="128"/>
      <c r="F9" s="128"/>
      <c r="G9" s="128"/>
      <c r="H9" s="128"/>
      <c r="I9" s="128"/>
      <c r="J9" s="128"/>
      <c r="K9" s="131"/>
      <c r="L9" s="176">
        <f t="shared" si="0"/>
        <v>0</v>
      </c>
      <c r="M9" s="196"/>
      <c r="N9" s="147"/>
      <c r="O9" s="147"/>
      <c r="P9" s="147"/>
      <c r="Q9" s="147"/>
      <c r="R9" s="147"/>
      <c r="S9" s="147"/>
      <c r="T9" s="147"/>
      <c r="U9" s="189"/>
      <c r="V9" s="176"/>
      <c r="W9" s="204"/>
      <c r="X9" s="204"/>
      <c r="Y9" s="204"/>
      <c r="Z9" s="214">
        <f t="shared" si="1"/>
        <v>0</v>
      </c>
      <c r="AA9" s="215">
        <f>C9+D9+F9+K9+M9+N9+P9+U9</f>
        <v>0</v>
      </c>
    </row>
    <row r="10" spans="1:27" x14ac:dyDescent="0.25">
      <c r="A10" s="136" t="s">
        <v>94</v>
      </c>
      <c r="B10" s="137" t="s">
        <v>271</v>
      </c>
      <c r="C10" s="175"/>
      <c r="D10" s="128"/>
      <c r="E10" s="128"/>
      <c r="F10" s="128"/>
      <c r="G10" s="128"/>
      <c r="H10" s="128"/>
      <c r="I10" s="128"/>
      <c r="J10" s="128"/>
      <c r="K10" s="131"/>
      <c r="L10" s="176">
        <f t="shared" si="0"/>
        <v>0</v>
      </c>
      <c r="M10" s="196"/>
      <c r="N10" s="147"/>
      <c r="O10" s="147"/>
      <c r="P10" s="147"/>
      <c r="Q10" s="147"/>
      <c r="R10" s="147"/>
      <c r="S10" s="147"/>
      <c r="T10" s="147"/>
      <c r="U10" s="189"/>
      <c r="V10" s="176">
        <f t="shared" ref="V10:V22" si="2">SUM(M10:U10)</f>
        <v>0</v>
      </c>
      <c r="W10" s="204"/>
      <c r="X10" s="204"/>
      <c r="Y10" s="204"/>
      <c r="Z10" s="214">
        <f t="shared" si="1"/>
        <v>0</v>
      </c>
      <c r="AA10" s="215">
        <f t="shared" ref="AA10:AA22" si="3">C10+D10+F10+K10+M10+N10+P10+U10</f>
        <v>0</v>
      </c>
    </row>
    <row r="11" spans="1:27" x14ac:dyDescent="0.25">
      <c r="A11" s="136" t="s">
        <v>95</v>
      </c>
      <c r="B11" s="137" t="s">
        <v>272</v>
      </c>
      <c r="C11" s="175"/>
      <c r="D11" s="128"/>
      <c r="E11" s="128"/>
      <c r="F11" s="128"/>
      <c r="G11" s="128"/>
      <c r="H11" s="128"/>
      <c r="I11" s="128"/>
      <c r="J11" s="128"/>
      <c r="K11" s="131"/>
      <c r="L11" s="176">
        <f t="shared" si="0"/>
        <v>0</v>
      </c>
      <c r="M11" s="196"/>
      <c r="N11" s="147"/>
      <c r="O11" s="147"/>
      <c r="P11" s="147"/>
      <c r="Q11" s="147"/>
      <c r="R11" s="147"/>
      <c r="S11" s="147"/>
      <c r="T11" s="147"/>
      <c r="U11" s="189"/>
      <c r="V11" s="176">
        <f t="shared" si="2"/>
        <v>0</v>
      </c>
      <c r="W11" s="205"/>
      <c r="X11" s="204"/>
      <c r="Y11" s="204"/>
      <c r="Z11" s="214">
        <f t="shared" si="1"/>
        <v>0</v>
      </c>
      <c r="AA11" s="215">
        <f t="shared" si="3"/>
        <v>0</v>
      </c>
    </row>
    <row r="12" spans="1:27" x14ac:dyDescent="0.25">
      <c r="A12" s="136" t="s">
        <v>361</v>
      </c>
      <c r="B12" s="137" t="s">
        <v>355</v>
      </c>
      <c r="C12" s="175"/>
      <c r="D12" s="128"/>
      <c r="E12" s="128"/>
      <c r="F12" s="128"/>
      <c r="G12" s="128"/>
      <c r="H12" s="128"/>
      <c r="I12" s="128"/>
      <c r="J12" s="128"/>
      <c r="K12" s="131"/>
      <c r="L12" s="176">
        <f t="shared" si="0"/>
        <v>0</v>
      </c>
      <c r="M12" s="196"/>
      <c r="N12" s="147"/>
      <c r="O12" s="147"/>
      <c r="P12" s="147"/>
      <c r="Q12" s="147"/>
      <c r="R12" s="147"/>
      <c r="S12" s="147"/>
      <c r="T12" s="147"/>
      <c r="U12" s="189"/>
      <c r="V12" s="176">
        <f t="shared" si="2"/>
        <v>0</v>
      </c>
      <c r="W12" s="205"/>
      <c r="X12" s="204"/>
      <c r="Y12" s="204"/>
      <c r="Z12" s="214">
        <f t="shared" si="1"/>
        <v>0</v>
      </c>
      <c r="AA12" s="215">
        <f t="shared" si="3"/>
        <v>0</v>
      </c>
    </row>
    <row r="13" spans="1:27" x14ac:dyDescent="0.25">
      <c r="A13" s="136" t="s">
        <v>106</v>
      </c>
      <c r="B13" s="137" t="s">
        <v>273</v>
      </c>
      <c r="C13" s="175"/>
      <c r="D13" s="128"/>
      <c r="E13" s="128"/>
      <c r="F13" s="128"/>
      <c r="G13" s="128"/>
      <c r="H13" s="128"/>
      <c r="I13" s="128"/>
      <c r="J13" s="128"/>
      <c r="K13" s="131"/>
      <c r="L13" s="176">
        <f t="shared" si="0"/>
        <v>0</v>
      </c>
      <c r="M13" s="196"/>
      <c r="N13" s="147"/>
      <c r="O13" s="147"/>
      <c r="P13" s="147"/>
      <c r="Q13" s="147"/>
      <c r="R13" s="147"/>
      <c r="S13" s="147"/>
      <c r="T13" s="147"/>
      <c r="U13" s="189"/>
      <c r="V13" s="176">
        <f t="shared" si="2"/>
        <v>0</v>
      </c>
      <c r="W13" s="205"/>
      <c r="X13" s="204"/>
      <c r="Y13" s="204"/>
      <c r="Z13" s="214">
        <f t="shared" si="1"/>
        <v>0</v>
      </c>
      <c r="AA13" s="215">
        <f t="shared" si="3"/>
        <v>0</v>
      </c>
    </row>
    <row r="14" spans="1:27" x14ac:dyDescent="0.25">
      <c r="A14" s="136" t="s">
        <v>110</v>
      </c>
      <c r="B14" s="137" t="s">
        <v>274</v>
      </c>
      <c r="C14" s="175"/>
      <c r="D14" s="128"/>
      <c r="E14" s="128"/>
      <c r="F14" s="128"/>
      <c r="G14" s="128"/>
      <c r="H14" s="128"/>
      <c r="I14" s="128"/>
      <c r="J14" s="128"/>
      <c r="K14" s="131"/>
      <c r="L14" s="176">
        <f t="shared" si="0"/>
        <v>0</v>
      </c>
      <c r="M14" s="196"/>
      <c r="N14" s="147"/>
      <c r="O14" s="147"/>
      <c r="P14" s="147"/>
      <c r="Q14" s="147"/>
      <c r="R14" s="147"/>
      <c r="S14" s="147"/>
      <c r="T14" s="147"/>
      <c r="U14" s="189"/>
      <c r="V14" s="176">
        <f t="shared" si="2"/>
        <v>0</v>
      </c>
      <c r="W14" s="205"/>
      <c r="X14" s="204"/>
      <c r="Y14" s="204"/>
      <c r="Z14" s="214">
        <f t="shared" si="1"/>
        <v>0</v>
      </c>
      <c r="AA14" s="215">
        <f t="shared" si="3"/>
        <v>0</v>
      </c>
    </row>
    <row r="15" spans="1:27" x14ac:dyDescent="0.25">
      <c r="A15" s="136" t="s">
        <v>119</v>
      </c>
      <c r="B15" s="137" t="s">
        <v>275</v>
      </c>
      <c r="C15" s="175"/>
      <c r="D15" s="128"/>
      <c r="E15" s="128"/>
      <c r="F15" s="128"/>
      <c r="G15" s="128"/>
      <c r="H15" s="128"/>
      <c r="I15" s="128"/>
      <c r="J15" s="128"/>
      <c r="K15" s="131"/>
      <c r="L15" s="176">
        <f t="shared" si="0"/>
        <v>0</v>
      </c>
      <c r="M15" s="196"/>
      <c r="N15" s="147"/>
      <c r="O15" s="147"/>
      <c r="P15" s="147"/>
      <c r="Q15" s="147"/>
      <c r="R15" s="147"/>
      <c r="S15" s="147"/>
      <c r="T15" s="147"/>
      <c r="U15" s="189"/>
      <c r="V15" s="176">
        <f t="shared" si="2"/>
        <v>0</v>
      </c>
      <c r="W15" s="205"/>
      <c r="X15" s="204"/>
      <c r="Y15" s="204"/>
      <c r="Z15" s="214">
        <f t="shared" si="1"/>
        <v>0</v>
      </c>
      <c r="AA15" s="215">
        <f t="shared" si="3"/>
        <v>0</v>
      </c>
    </row>
    <row r="16" spans="1:27" x14ac:dyDescent="0.25">
      <c r="A16" s="136" t="s">
        <v>121</v>
      </c>
      <c r="B16" s="137" t="s">
        <v>276</v>
      </c>
      <c r="C16" s="175"/>
      <c r="D16" s="128"/>
      <c r="E16" s="128"/>
      <c r="F16" s="128"/>
      <c r="G16" s="128"/>
      <c r="H16" s="128"/>
      <c r="I16" s="128"/>
      <c r="J16" s="128"/>
      <c r="K16" s="131"/>
      <c r="L16" s="176">
        <f t="shared" si="0"/>
        <v>0</v>
      </c>
      <c r="M16" s="196"/>
      <c r="N16" s="147"/>
      <c r="O16" s="147"/>
      <c r="P16" s="147"/>
      <c r="Q16" s="147"/>
      <c r="R16" s="147"/>
      <c r="S16" s="147"/>
      <c r="T16" s="147"/>
      <c r="U16" s="189"/>
      <c r="V16" s="176">
        <f t="shared" si="2"/>
        <v>0</v>
      </c>
      <c r="W16" s="205"/>
      <c r="X16" s="204"/>
      <c r="Y16" s="204"/>
      <c r="Z16" s="214">
        <f t="shared" si="1"/>
        <v>0</v>
      </c>
      <c r="AA16" s="215">
        <f t="shared" si="3"/>
        <v>0</v>
      </c>
    </row>
    <row r="17" spans="1:27" x14ac:dyDescent="0.25">
      <c r="A17" s="136" t="s">
        <v>123</v>
      </c>
      <c r="B17" s="137" t="s">
        <v>277</v>
      </c>
      <c r="C17" s="175"/>
      <c r="D17" s="128"/>
      <c r="E17" s="128"/>
      <c r="F17" s="128"/>
      <c r="G17" s="128"/>
      <c r="H17" s="128"/>
      <c r="I17" s="128"/>
      <c r="J17" s="128"/>
      <c r="K17" s="131"/>
      <c r="L17" s="176">
        <f t="shared" si="0"/>
        <v>0</v>
      </c>
      <c r="M17" s="196"/>
      <c r="N17" s="147"/>
      <c r="O17" s="147"/>
      <c r="P17" s="147"/>
      <c r="Q17" s="147"/>
      <c r="R17" s="147"/>
      <c r="S17" s="147"/>
      <c r="T17" s="147"/>
      <c r="U17" s="189"/>
      <c r="V17" s="176">
        <f t="shared" si="2"/>
        <v>0</v>
      </c>
      <c r="W17" s="204"/>
      <c r="X17" s="204"/>
      <c r="Y17" s="204"/>
      <c r="Z17" s="214">
        <f t="shared" si="1"/>
        <v>0</v>
      </c>
      <c r="AA17" s="215">
        <f t="shared" si="3"/>
        <v>0</v>
      </c>
    </row>
    <row r="18" spans="1:27" x14ac:dyDescent="0.25">
      <c r="A18" s="136" t="s">
        <v>128</v>
      </c>
      <c r="B18" s="137" t="s">
        <v>332</v>
      </c>
      <c r="C18" s="175"/>
      <c r="D18" s="128"/>
      <c r="E18" s="128"/>
      <c r="F18" s="128"/>
      <c r="G18" s="128"/>
      <c r="H18" s="128"/>
      <c r="I18" s="128"/>
      <c r="J18" s="128"/>
      <c r="K18" s="131"/>
      <c r="L18" s="176">
        <f t="shared" si="0"/>
        <v>0</v>
      </c>
      <c r="M18" s="196"/>
      <c r="N18" s="147"/>
      <c r="O18" s="147"/>
      <c r="P18" s="147"/>
      <c r="Q18" s="147"/>
      <c r="R18" s="147"/>
      <c r="S18" s="147"/>
      <c r="T18" s="147"/>
      <c r="U18" s="189"/>
      <c r="V18" s="176">
        <f>SUM(M18:U18)</f>
        <v>0</v>
      </c>
      <c r="W18" s="205"/>
      <c r="X18" s="204"/>
      <c r="Y18" s="204"/>
      <c r="Z18" s="214">
        <f t="shared" si="1"/>
        <v>0</v>
      </c>
      <c r="AA18" s="215">
        <f>C18+D18+F18+K18+M18+N18+P18+U18</f>
        <v>0</v>
      </c>
    </row>
    <row r="19" spans="1:27" x14ac:dyDescent="0.25">
      <c r="A19" s="136" t="s">
        <v>150</v>
      </c>
      <c r="B19" s="137" t="s">
        <v>278</v>
      </c>
      <c r="C19" s="175"/>
      <c r="D19" s="128"/>
      <c r="E19" s="128"/>
      <c r="F19" s="128"/>
      <c r="G19" s="128"/>
      <c r="H19" s="128"/>
      <c r="I19" s="128"/>
      <c r="J19" s="128"/>
      <c r="K19" s="131"/>
      <c r="L19" s="176">
        <f t="shared" si="0"/>
        <v>0</v>
      </c>
      <c r="M19" s="196"/>
      <c r="N19" s="147"/>
      <c r="O19" s="147"/>
      <c r="P19" s="147"/>
      <c r="Q19" s="147"/>
      <c r="R19" s="147"/>
      <c r="S19" s="147"/>
      <c r="T19" s="147"/>
      <c r="U19" s="189"/>
      <c r="V19" s="176">
        <f t="shared" si="2"/>
        <v>0</v>
      </c>
      <c r="W19" s="204"/>
      <c r="X19" s="204"/>
      <c r="Y19" s="204"/>
      <c r="Z19" s="214">
        <f t="shared" si="1"/>
        <v>0</v>
      </c>
      <c r="AA19" s="215">
        <f t="shared" si="3"/>
        <v>0</v>
      </c>
    </row>
    <row r="20" spans="1:27" x14ac:dyDescent="0.25">
      <c r="A20" s="136" t="s">
        <v>181</v>
      </c>
      <c r="B20" s="137" t="s">
        <v>335</v>
      </c>
      <c r="C20" s="175"/>
      <c r="D20" s="128"/>
      <c r="E20" s="128"/>
      <c r="F20" s="128"/>
      <c r="G20" s="128"/>
      <c r="H20" s="128"/>
      <c r="I20" s="128"/>
      <c r="J20" s="128"/>
      <c r="K20" s="131"/>
      <c r="L20" s="176">
        <f t="shared" si="0"/>
        <v>0</v>
      </c>
      <c r="M20" s="196"/>
      <c r="N20" s="147"/>
      <c r="O20" s="147"/>
      <c r="P20" s="147"/>
      <c r="Q20" s="147"/>
      <c r="R20" s="147"/>
      <c r="S20" s="147"/>
      <c r="T20" s="147"/>
      <c r="U20" s="189"/>
      <c r="V20" s="176">
        <f>SUM(M20:U20)</f>
        <v>0</v>
      </c>
      <c r="W20" s="206"/>
      <c r="X20" s="209"/>
      <c r="Y20" s="209"/>
      <c r="Z20" s="214">
        <f t="shared" si="1"/>
        <v>0</v>
      </c>
      <c r="AA20" s="215">
        <f>C20+D20+F20+K20+M20+N20+P20+U20</f>
        <v>0</v>
      </c>
    </row>
    <row r="21" spans="1:27" x14ac:dyDescent="0.25">
      <c r="A21" s="136" t="s">
        <v>184</v>
      </c>
      <c r="B21" s="137" t="s">
        <v>279</v>
      </c>
      <c r="C21" s="175"/>
      <c r="D21" s="128"/>
      <c r="E21" s="128"/>
      <c r="F21" s="128"/>
      <c r="G21" s="128"/>
      <c r="H21" s="128"/>
      <c r="I21" s="128"/>
      <c r="J21" s="128"/>
      <c r="K21" s="131"/>
      <c r="L21" s="176">
        <f t="shared" si="0"/>
        <v>0</v>
      </c>
      <c r="M21" s="196"/>
      <c r="N21" s="147"/>
      <c r="O21" s="147"/>
      <c r="P21" s="147"/>
      <c r="Q21" s="147"/>
      <c r="R21" s="147"/>
      <c r="S21" s="147"/>
      <c r="T21" s="147"/>
      <c r="U21" s="189"/>
      <c r="V21" s="176">
        <f t="shared" si="2"/>
        <v>0</v>
      </c>
      <c r="W21" s="204"/>
      <c r="X21" s="204"/>
      <c r="Y21" s="204"/>
      <c r="Z21" s="214">
        <f t="shared" si="1"/>
        <v>0</v>
      </c>
      <c r="AA21" s="215">
        <f t="shared" si="3"/>
        <v>0</v>
      </c>
    </row>
    <row r="22" spans="1:27" ht="17.25" customHeight="1" thickBot="1" x14ac:dyDescent="0.3">
      <c r="A22" s="136" t="s">
        <v>194</v>
      </c>
      <c r="B22" s="138" t="s">
        <v>280</v>
      </c>
      <c r="C22" s="177"/>
      <c r="D22" s="129"/>
      <c r="E22" s="129"/>
      <c r="F22" s="129"/>
      <c r="G22" s="129"/>
      <c r="H22" s="129"/>
      <c r="I22" s="129"/>
      <c r="J22" s="129"/>
      <c r="K22" s="132"/>
      <c r="L22" s="178">
        <f t="shared" si="0"/>
        <v>0</v>
      </c>
      <c r="M22" s="197"/>
      <c r="N22" s="154"/>
      <c r="O22" s="154"/>
      <c r="P22" s="154"/>
      <c r="Q22" s="154"/>
      <c r="R22" s="154"/>
      <c r="S22" s="154"/>
      <c r="T22" s="154"/>
      <c r="U22" s="190"/>
      <c r="V22" s="178">
        <f t="shared" si="2"/>
        <v>0</v>
      </c>
      <c r="W22" s="207"/>
      <c r="X22" s="209"/>
      <c r="Y22" s="209"/>
      <c r="Z22" s="214">
        <f t="shared" si="1"/>
        <v>0</v>
      </c>
      <c r="AA22" s="217">
        <f t="shared" si="3"/>
        <v>0</v>
      </c>
    </row>
    <row r="23" spans="1:27" s="110" customFormat="1" ht="14.4" thickBot="1" x14ac:dyDescent="0.3">
      <c r="A23" s="134"/>
      <c r="B23" s="159" t="s">
        <v>457</v>
      </c>
      <c r="C23" s="179">
        <f t="shared" ref="C23:AA23" si="4">SUM(C6:C22)</f>
        <v>0</v>
      </c>
      <c r="D23" s="157">
        <f t="shared" si="4"/>
        <v>0</v>
      </c>
      <c r="E23" s="157">
        <f t="shared" si="4"/>
        <v>0</v>
      </c>
      <c r="F23" s="157">
        <f t="shared" si="4"/>
        <v>0</v>
      </c>
      <c r="G23" s="157">
        <f t="shared" si="4"/>
        <v>0</v>
      </c>
      <c r="H23" s="157">
        <f t="shared" si="4"/>
        <v>0</v>
      </c>
      <c r="I23" s="157">
        <f t="shared" si="4"/>
        <v>0</v>
      </c>
      <c r="J23" s="157">
        <f t="shared" si="4"/>
        <v>0</v>
      </c>
      <c r="K23" s="166">
        <f t="shared" si="4"/>
        <v>0</v>
      </c>
      <c r="L23" s="180">
        <f t="shared" si="4"/>
        <v>0</v>
      </c>
      <c r="M23" s="198">
        <f t="shared" si="4"/>
        <v>0</v>
      </c>
      <c r="N23" s="158">
        <f t="shared" si="4"/>
        <v>0</v>
      </c>
      <c r="O23" s="158">
        <f t="shared" si="4"/>
        <v>0</v>
      </c>
      <c r="P23" s="158">
        <f t="shared" si="4"/>
        <v>0</v>
      </c>
      <c r="Q23" s="158">
        <f t="shared" si="4"/>
        <v>0</v>
      </c>
      <c r="R23" s="158">
        <f t="shared" si="4"/>
        <v>0</v>
      </c>
      <c r="S23" s="158">
        <f t="shared" si="4"/>
        <v>0</v>
      </c>
      <c r="T23" s="158">
        <f t="shared" si="4"/>
        <v>0</v>
      </c>
      <c r="U23" s="191">
        <f t="shared" si="4"/>
        <v>0</v>
      </c>
      <c r="V23" s="180">
        <f t="shared" si="4"/>
        <v>0</v>
      </c>
      <c r="W23" s="273">
        <f t="shared" si="4"/>
        <v>0</v>
      </c>
      <c r="X23" s="275">
        <f t="shared" si="4"/>
        <v>4729</v>
      </c>
      <c r="Y23" s="210">
        <f t="shared" si="4"/>
        <v>722</v>
      </c>
      <c r="Z23" s="210">
        <f t="shared" si="4"/>
        <v>5451</v>
      </c>
      <c r="AA23" s="276">
        <f t="shared" si="4"/>
        <v>0</v>
      </c>
    </row>
    <row r="24" spans="1:27" x14ac:dyDescent="0.25">
      <c r="A24" s="136" t="s">
        <v>72</v>
      </c>
      <c r="B24" s="137" t="s">
        <v>356</v>
      </c>
      <c r="C24" s="181"/>
      <c r="D24" s="155"/>
      <c r="E24" s="155"/>
      <c r="F24" s="155"/>
      <c r="G24" s="155"/>
      <c r="H24" s="155"/>
      <c r="I24" s="155"/>
      <c r="J24" s="155"/>
      <c r="K24" s="165"/>
      <c r="L24" s="174">
        <f>SUM(C24:K24)</f>
        <v>0</v>
      </c>
      <c r="M24" s="199"/>
      <c r="N24" s="156"/>
      <c r="O24" s="156"/>
      <c r="P24" s="156"/>
      <c r="Q24" s="156"/>
      <c r="R24" s="156"/>
      <c r="S24" s="156"/>
      <c r="T24" s="156"/>
      <c r="U24" s="192"/>
      <c r="V24" s="174">
        <f>SUM(M24:U24)</f>
        <v>0</v>
      </c>
      <c r="W24" s="205"/>
      <c r="X24" s="204"/>
      <c r="Y24" s="204"/>
      <c r="Z24" s="214">
        <f>L24+V24+W24+X24+Y24</f>
        <v>0</v>
      </c>
      <c r="AA24" s="215">
        <f>C24+D24+F24+K24+M24+N24+P24+U24</f>
        <v>0</v>
      </c>
    </row>
    <row r="25" spans="1:27" x14ac:dyDescent="0.25">
      <c r="A25" s="136" t="s">
        <v>85</v>
      </c>
      <c r="B25" s="137" t="s">
        <v>281</v>
      </c>
      <c r="C25" s="182"/>
      <c r="D25" s="128"/>
      <c r="E25" s="128"/>
      <c r="F25" s="128"/>
      <c r="G25" s="128"/>
      <c r="H25" s="128"/>
      <c r="I25" s="128"/>
      <c r="J25" s="128"/>
      <c r="K25" s="131"/>
      <c r="L25" s="176">
        <f t="shared" ref="L25:L36" si="5">SUM(C25:K25)</f>
        <v>0</v>
      </c>
      <c r="M25" s="196"/>
      <c r="N25" s="147"/>
      <c r="O25" s="147"/>
      <c r="P25" s="147"/>
      <c r="Q25" s="147"/>
      <c r="R25" s="147"/>
      <c r="S25" s="147"/>
      <c r="T25" s="147"/>
      <c r="U25" s="189"/>
      <c r="V25" s="176">
        <f>SUM(M25:U25)</f>
        <v>0</v>
      </c>
      <c r="W25" s="204"/>
      <c r="X25" s="204"/>
      <c r="Y25" s="204"/>
      <c r="Z25" s="214">
        <f t="shared" ref="Z25:Z36" si="6">L25+V25+W25+X25+Y25</f>
        <v>0</v>
      </c>
      <c r="AA25" s="215">
        <f>C25+D25+F25+K25+M25+N25+P25+U25</f>
        <v>0</v>
      </c>
    </row>
    <row r="26" spans="1:27" x14ac:dyDescent="0.25">
      <c r="A26" s="136" t="s">
        <v>214</v>
      </c>
      <c r="B26" s="137" t="s">
        <v>282</v>
      </c>
      <c r="C26" s="182"/>
      <c r="D26" s="128"/>
      <c r="E26" s="128"/>
      <c r="F26" s="128"/>
      <c r="G26" s="128"/>
      <c r="H26" s="128"/>
      <c r="I26" s="128"/>
      <c r="J26" s="128"/>
      <c r="K26" s="131"/>
      <c r="L26" s="176">
        <f t="shared" si="5"/>
        <v>0</v>
      </c>
      <c r="M26" s="196"/>
      <c r="N26" s="147"/>
      <c r="O26" s="147"/>
      <c r="P26" s="147"/>
      <c r="Q26" s="147"/>
      <c r="R26" s="147"/>
      <c r="S26" s="147"/>
      <c r="T26" s="147"/>
      <c r="U26" s="189"/>
      <c r="V26" s="176">
        <f t="shared" ref="V26:V36" si="7">SUM(M26:U26)</f>
        <v>0</v>
      </c>
      <c r="W26" s="205"/>
      <c r="X26" s="204"/>
      <c r="Y26" s="204"/>
      <c r="Z26" s="214">
        <f t="shared" si="6"/>
        <v>0</v>
      </c>
      <c r="AA26" s="215">
        <f t="shared" ref="AA26:AA36" si="8">C26+D26+F26+K26+M26+N26+P26+U26</f>
        <v>0</v>
      </c>
    </row>
    <row r="27" spans="1:27" x14ac:dyDescent="0.25">
      <c r="A27" s="136" t="s">
        <v>101</v>
      </c>
      <c r="B27" s="137" t="s">
        <v>283</v>
      </c>
      <c r="C27" s="182"/>
      <c r="D27" s="128"/>
      <c r="E27" s="128"/>
      <c r="F27" s="128"/>
      <c r="G27" s="128"/>
      <c r="H27" s="128"/>
      <c r="I27" s="128"/>
      <c r="J27" s="128"/>
      <c r="K27" s="131"/>
      <c r="L27" s="176">
        <f t="shared" si="5"/>
        <v>0</v>
      </c>
      <c r="M27" s="196"/>
      <c r="N27" s="147"/>
      <c r="O27" s="147"/>
      <c r="P27" s="147"/>
      <c r="Q27" s="147"/>
      <c r="R27" s="147"/>
      <c r="S27" s="147"/>
      <c r="T27" s="147"/>
      <c r="U27" s="189"/>
      <c r="V27" s="176">
        <f t="shared" si="7"/>
        <v>0</v>
      </c>
      <c r="W27" s="204"/>
      <c r="X27" s="204"/>
      <c r="Y27" s="204"/>
      <c r="Z27" s="214">
        <f t="shared" si="6"/>
        <v>0</v>
      </c>
      <c r="AA27" s="215">
        <f t="shared" si="8"/>
        <v>0</v>
      </c>
    </row>
    <row r="28" spans="1:27" x14ac:dyDescent="0.25">
      <c r="A28" s="136" t="s">
        <v>114</v>
      </c>
      <c r="B28" s="137" t="s">
        <v>284</v>
      </c>
      <c r="C28" s="182"/>
      <c r="D28" s="128"/>
      <c r="E28" s="128"/>
      <c r="F28" s="128"/>
      <c r="G28" s="128"/>
      <c r="H28" s="128"/>
      <c r="I28" s="128"/>
      <c r="J28" s="128"/>
      <c r="K28" s="131"/>
      <c r="L28" s="176">
        <f t="shared" si="5"/>
        <v>0</v>
      </c>
      <c r="M28" s="196"/>
      <c r="N28" s="147"/>
      <c r="O28" s="147"/>
      <c r="P28" s="147"/>
      <c r="Q28" s="147"/>
      <c r="R28" s="147"/>
      <c r="S28" s="147"/>
      <c r="T28" s="147"/>
      <c r="U28" s="189"/>
      <c r="V28" s="176">
        <f t="shared" si="7"/>
        <v>0</v>
      </c>
      <c r="W28" s="204"/>
      <c r="X28" s="204"/>
      <c r="Y28" s="204"/>
      <c r="Z28" s="214">
        <f t="shared" si="6"/>
        <v>0</v>
      </c>
      <c r="AA28" s="215">
        <f t="shared" si="8"/>
        <v>0</v>
      </c>
    </row>
    <row r="29" spans="1:27" x14ac:dyDescent="0.25">
      <c r="A29" s="136" t="s">
        <v>115</v>
      </c>
      <c r="B29" s="137" t="s">
        <v>285</v>
      </c>
      <c r="C29" s="182"/>
      <c r="D29" s="128"/>
      <c r="E29" s="128"/>
      <c r="F29" s="128"/>
      <c r="G29" s="128"/>
      <c r="H29" s="128"/>
      <c r="I29" s="128"/>
      <c r="J29" s="128"/>
      <c r="K29" s="131"/>
      <c r="L29" s="176">
        <f t="shared" si="5"/>
        <v>0</v>
      </c>
      <c r="M29" s="196"/>
      <c r="N29" s="147"/>
      <c r="O29" s="147"/>
      <c r="P29" s="147"/>
      <c r="Q29" s="147"/>
      <c r="R29" s="147"/>
      <c r="S29" s="147"/>
      <c r="T29" s="147"/>
      <c r="U29" s="189"/>
      <c r="V29" s="176">
        <f t="shared" si="7"/>
        <v>0</v>
      </c>
      <c r="W29" s="204"/>
      <c r="X29" s="204"/>
      <c r="Y29" s="204"/>
      <c r="Z29" s="214">
        <f t="shared" si="6"/>
        <v>0</v>
      </c>
      <c r="AA29" s="215">
        <f t="shared" si="8"/>
        <v>0</v>
      </c>
    </row>
    <row r="30" spans="1:27" x14ac:dyDescent="0.25">
      <c r="A30" s="136" t="s">
        <v>127</v>
      </c>
      <c r="B30" s="137" t="s">
        <v>286</v>
      </c>
      <c r="C30" s="182"/>
      <c r="D30" s="128"/>
      <c r="E30" s="128"/>
      <c r="F30" s="128"/>
      <c r="G30" s="128"/>
      <c r="H30" s="128"/>
      <c r="I30" s="128"/>
      <c r="J30" s="128"/>
      <c r="K30" s="131"/>
      <c r="L30" s="176">
        <f t="shared" si="5"/>
        <v>0</v>
      </c>
      <c r="M30" s="196"/>
      <c r="N30" s="147"/>
      <c r="O30" s="147"/>
      <c r="P30" s="147"/>
      <c r="Q30" s="147"/>
      <c r="R30" s="147"/>
      <c r="S30" s="147"/>
      <c r="T30" s="147"/>
      <c r="U30" s="189"/>
      <c r="V30" s="176">
        <f t="shared" si="7"/>
        <v>0</v>
      </c>
      <c r="W30" s="204"/>
      <c r="X30" s="204"/>
      <c r="Y30" s="204"/>
      <c r="Z30" s="214">
        <f t="shared" si="6"/>
        <v>0</v>
      </c>
      <c r="AA30" s="215">
        <f t="shared" si="8"/>
        <v>0</v>
      </c>
    </row>
    <row r="31" spans="1:27" x14ac:dyDescent="0.25">
      <c r="A31" s="136" t="s">
        <v>129</v>
      </c>
      <c r="B31" s="137" t="s">
        <v>287</v>
      </c>
      <c r="C31" s="182"/>
      <c r="D31" s="128"/>
      <c r="E31" s="128"/>
      <c r="F31" s="128"/>
      <c r="G31" s="128"/>
      <c r="H31" s="128"/>
      <c r="I31" s="128"/>
      <c r="J31" s="128"/>
      <c r="K31" s="131"/>
      <c r="L31" s="176">
        <f t="shared" si="5"/>
        <v>0</v>
      </c>
      <c r="M31" s="196"/>
      <c r="N31" s="147"/>
      <c r="O31" s="147"/>
      <c r="P31" s="147"/>
      <c r="Q31" s="147"/>
      <c r="R31" s="147"/>
      <c r="S31" s="147"/>
      <c r="T31" s="147"/>
      <c r="U31" s="189"/>
      <c r="V31" s="176">
        <f t="shared" si="7"/>
        <v>0</v>
      </c>
      <c r="W31" s="204"/>
      <c r="X31" s="204"/>
      <c r="Y31" s="204"/>
      <c r="Z31" s="214">
        <f t="shared" si="6"/>
        <v>0</v>
      </c>
      <c r="AA31" s="215">
        <f t="shared" si="8"/>
        <v>0</v>
      </c>
    </row>
    <row r="32" spans="1:27" x14ac:dyDescent="0.25">
      <c r="A32" s="136" t="s">
        <v>139</v>
      </c>
      <c r="B32" s="137" t="s">
        <v>321</v>
      </c>
      <c r="C32" s="182"/>
      <c r="D32" s="128"/>
      <c r="E32" s="128"/>
      <c r="F32" s="128"/>
      <c r="G32" s="128"/>
      <c r="H32" s="128"/>
      <c r="I32" s="128"/>
      <c r="J32" s="128"/>
      <c r="K32" s="131"/>
      <c r="L32" s="176">
        <f t="shared" si="5"/>
        <v>0</v>
      </c>
      <c r="M32" s="196"/>
      <c r="N32" s="147"/>
      <c r="O32" s="147"/>
      <c r="P32" s="147"/>
      <c r="Q32" s="147"/>
      <c r="R32" s="147"/>
      <c r="S32" s="147"/>
      <c r="T32" s="147"/>
      <c r="U32" s="189"/>
      <c r="V32" s="176">
        <f>SUM(M32:U32)</f>
        <v>0</v>
      </c>
      <c r="W32" s="204"/>
      <c r="X32" s="204"/>
      <c r="Y32" s="204"/>
      <c r="Z32" s="214">
        <f t="shared" si="6"/>
        <v>0</v>
      </c>
      <c r="AA32" s="215">
        <f>C32+D32+F32+K32+M32+N32+P32+U32</f>
        <v>0</v>
      </c>
    </row>
    <row r="33" spans="1:27" x14ac:dyDescent="0.25">
      <c r="A33" s="140" t="s">
        <v>151</v>
      </c>
      <c r="B33" s="161" t="s">
        <v>323</v>
      </c>
      <c r="C33" s="182"/>
      <c r="D33" s="128"/>
      <c r="E33" s="128"/>
      <c r="F33" s="128"/>
      <c r="G33" s="128"/>
      <c r="H33" s="128"/>
      <c r="I33" s="128"/>
      <c r="J33" s="128"/>
      <c r="K33" s="131"/>
      <c r="L33" s="176">
        <f t="shared" si="5"/>
        <v>0</v>
      </c>
      <c r="M33" s="196"/>
      <c r="N33" s="147"/>
      <c r="O33" s="147"/>
      <c r="P33" s="147"/>
      <c r="Q33" s="147"/>
      <c r="R33" s="147"/>
      <c r="S33" s="147"/>
      <c r="T33" s="147"/>
      <c r="U33" s="189"/>
      <c r="V33" s="176"/>
      <c r="W33" s="206"/>
      <c r="X33" s="209"/>
      <c r="Y33" s="209"/>
      <c r="Z33" s="214">
        <f t="shared" si="6"/>
        <v>0</v>
      </c>
      <c r="AA33" s="215">
        <f>C33+D33+F33+K33+M33+N33+P33+U33</f>
        <v>0</v>
      </c>
    </row>
    <row r="34" spans="1:27" x14ac:dyDescent="0.25">
      <c r="A34" s="136" t="s">
        <v>170</v>
      </c>
      <c r="B34" s="137" t="s">
        <v>288</v>
      </c>
      <c r="C34" s="182"/>
      <c r="D34" s="128"/>
      <c r="E34" s="128"/>
      <c r="F34" s="128"/>
      <c r="G34" s="128"/>
      <c r="H34" s="128"/>
      <c r="I34" s="128"/>
      <c r="J34" s="128"/>
      <c r="K34" s="131"/>
      <c r="L34" s="176">
        <f t="shared" si="5"/>
        <v>0</v>
      </c>
      <c r="M34" s="196"/>
      <c r="N34" s="147"/>
      <c r="O34" s="147"/>
      <c r="P34" s="147"/>
      <c r="Q34" s="147"/>
      <c r="R34" s="147"/>
      <c r="S34" s="147"/>
      <c r="T34" s="147"/>
      <c r="U34" s="189"/>
      <c r="V34" s="176">
        <f t="shared" si="7"/>
        <v>0</v>
      </c>
      <c r="W34" s="209"/>
      <c r="X34" s="209"/>
      <c r="Y34" s="209"/>
      <c r="Z34" s="214">
        <f t="shared" si="6"/>
        <v>0</v>
      </c>
      <c r="AA34" s="217">
        <f t="shared" si="8"/>
        <v>0</v>
      </c>
    </row>
    <row r="35" spans="1:27" x14ac:dyDescent="0.25">
      <c r="A35" s="136" t="s">
        <v>171</v>
      </c>
      <c r="B35" s="137" t="s">
        <v>324</v>
      </c>
      <c r="C35" s="182"/>
      <c r="D35" s="128"/>
      <c r="E35" s="128"/>
      <c r="F35" s="128"/>
      <c r="G35" s="128"/>
      <c r="H35" s="128"/>
      <c r="I35" s="128"/>
      <c r="J35" s="128"/>
      <c r="K35" s="131"/>
      <c r="L35" s="176">
        <f t="shared" si="5"/>
        <v>0</v>
      </c>
      <c r="M35" s="196"/>
      <c r="N35" s="147"/>
      <c r="O35" s="147"/>
      <c r="P35" s="147"/>
      <c r="Q35" s="147"/>
      <c r="R35" s="147"/>
      <c r="S35" s="147"/>
      <c r="T35" s="147"/>
      <c r="U35" s="189"/>
      <c r="V35" s="176">
        <f>SUM(M35:U35)</f>
        <v>0</v>
      </c>
      <c r="W35" s="204"/>
      <c r="X35" s="204"/>
      <c r="Y35" s="204"/>
      <c r="Z35" s="214">
        <f t="shared" si="6"/>
        <v>0</v>
      </c>
      <c r="AA35" s="215">
        <f>C35+D35+F35+K35+M35+N35+P35+U35</f>
        <v>0</v>
      </c>
    </row>
    <row r="36" spans="1:27" ht="13.8" thickBot="1" x14ac:dyDescent="0.3">
      <c r="A36" s="136" t="s">
        <v>362</v>
      </c>
      <c r="B36" s="137" t="s">
        <v>289</v>
      </c>
      <c r="C36" s="183"/>
      <c r="D36" s="130"/>
      <c r="E36" s="130"/>
      <c r="F36" s="130"/>
      <c r="G36" s="130"/>
      <c r="H36" s="130"/>
      <c r="I36" s="130"/>
      <c r="J36" s="130"/>
      <c r="K36" s="144"/>
      <c r="L36" s="184">
        <f t="shared" si="5"/>
        <v>0</v>
      </c>
      <c r="M36" s="200"/>
      <c r="N36" s="160"/>
      <c r="O36" s="160"/>
      <c r="P36" s="160"/>
      <c r="Q36" s="160"/>
      <c r="R36" s="160"/>
      <c r="S36" s="160"/>
      <c r="T36" s="160"/>
      <c r="U36" s="193"/>
      <c r="V36" s="184">
        <f t="shared" si="7"/>
        <v>0</v>
      </c>
      <c r="W36" s="206"/>
      <c r="X36" s="209"/>
      <c r="Y36" s="209"/>
      <c r="Z36" s="214">
        <f t="shared" si="6"/>
        <v>0</v>
      </c>
      <c r="AA36" s="217">
        <f t="shared" si="8"/>
        <v>0</v>
      </c>
    </row>
    <row r="37" spans="1:27" s="109" customFormat="1" ht="14.4" thickBot="1" x14ac:dyDescent="0.3">
      <c r="A37" s="134"/>
      <c r="B37" s="159" t="s">
        <v>458</v>
      </c>
      <c r="C37" s="179">
        <f t="shared" ref="C37:AA37" si="9">SUM(C24:C36)</f>
        <v>0</v>
      </c>
      <c r="D37" s="157">
        <f t="shared" si="9"/>
        <v>0</v>
      </c>
      <c r="E37" s="157">
        <f t="shared" si="9"/>
        <v>0</v>
      </c>
      <c r="F37" s="157">
        <f t="shared" si="9"/>
        <v>0</v>
      </c>
      <c r="G37" s="157">
        <f t="shared" si="9"/>
        <v>0</v>
      </c>
      <c r="H37" s="157">
        <f t="shared" si="9"/>
        <v>0</v>
      </c>
      <c r="I37" s="157">
        <f t="shared" si="9"/>
        <v>0</v>
      </c>
      <c r="J37" s="157">
        <f t="shared" si="9"/>
        <v>0</v>
      </c>
      <c r="K37" s="166">
        <f t="shared" si="9"/>
        <v>0</v>
      </c>
      <c r="L37" s="180">
        <f t="shared" si="9"/>
        <v>0</v>
      </c>
      <c r="M37" s="198">
        <f t="shared" si="9"/>
        <v>0</v>
      </c>
      <c r="N37" s="158">
        <f t="shared" si="9"/>
        <v>0</v>
      </c>
      <c r="O37" s="158">
        <f t="shared" si="9"/>
        <v>0</v>
      </c>
      <c r="P37" s="158">
        <f t="shared" si="9"/>
        <v>0</v>
      </c>
      <c r="Q37" s="158">
        <f t="shared" si="9"/>
        <v>0</v>
      </c>
      <c r="R37" s="158">
        <f t="shared" si="9"/>
        <v>0</v>
      </c>
      <c r="S37" s="158">
        <f t="shared" si="9"/>
        <v>0</v>
      </c>
      <c r="T37" s="158">
        <f t="shared" si="9"/>
        <v>0</v>
      </c>
      <c r="U37" s="191">
        <f t="shared" si="9"/>
        <v>0</v>
      </c>
      <c r="V37" s="180">
        <f t="shared" si="9"/>
        <v>0</v>
      </c>
      <c r="W37" s="210">
        <f t="shared" si="9"/>
        <v>0</v>
      </c>
      <c r="X37" s="210">
        <f t="shared" si="9"/>
        <v>0</v>
      </c>
      <c r="Y37" s="210">
        <f t="shared" si="9"/>
        <v>0</v>
      </c>
      <c r="Z37" s="210">
        <f t="shared" si="9"/>
        <v>0</v>
      </c>
      <c r="AA37" s="210">
        <f t="shared" si="9"/>
        <v>0</v>
      </c>
    </row>
    <row r="38" spans="1:27" x14ac:dyDescent="0.25">
      <c r="A38" s="136" t="s">
        <v>70</v>
      </c>
      <c r="B38" s="137" t="s">
        <v>313</v>
      </c>
      <c r="C38" s="181"/>
      <c r="D38" s="155"/>
      <c r="E38" s="155"/>
      <c r="F38" s="155"/>
      <c r="G38" s="155"/>
      <c r="H38" s="155"/>
      <c r="I38" s="155"/>
      <c r="J38" s="155"/>
      <c r="K38" s="165"/>
      <c r="L38" s="174">
        <f t="shared" ref="L38:L54" si="10">SUM(C38:K38)</f>
        <v>0</v>
      </c>
      <c r="M38" s="199"/>
      <c r="N38" s="156"/>
      <c r="O38" s="156"/>
      <c r="P38" s="156"/>
      <c r="Q38" s="156"/>
      <c r="R38" s="156"/>
      <c r="S38" s="156"/>
      <c r="T38" s="156"/>
      <c r="U38" s="192"/>
      <c r="V38" s="174">
        <f t="shared" ref="V38:V47" si="11">SUM(M38:U38)</f>
        <v>0</v>
      </c>
      <c r="W38" s="211"/>
      <c r="X38" s="211"/>
      <c r="Y38" s="211"/>
      <c r="Z38" s="214">
        <f>L38+V38+W38+X38+Y38</f>
        <v>0</v>
      </c>
      <c r="AA38" s="215">
        <f t="shared" ref="AA38:AA48" si="12">C38+D38+F38+K38+M38+N38+P38+U38</f>
        <v>0</v>
      </c>
    </row>
    <row r="39" spans="1:27" x14ac:dyDescent="0.25">
      <c r="A39" s="136" t="s">
        <v>75</v>
      </c>
      <c r="B39" s="137" t="s">
        <v>336</v>
      </c>
      <c r="C39" s="182"/>
      <c r="D39" s="128"/>
      <c r="E39" s="128"/>
      <c r="F39" s="128"/>
      <c r="G39" s="128"/>
      <c r="H39" s="128"/>
      <c r="I39" s="128"/>
      <c r="J39" s="128"/>
      <c r="K39" s="131"/>
      <c r="L39" s="176">
        <f t="shared" si="10"/>
        <v>0</v>
      </c>
      <c r="M39" s="196"/>
      <c r="N39" s="147"/>
      <c r="O39" s="147"/>
      <c r="P39" s="147"/>
      <c r="Q39" s="147"/>
      <c r="R39" s="147"/>
      <c r="S39" s="147"/>
      <c r="T39" s="147"/>
      <c r="U39" s="189"/>
      <c r="V39" s="176">
        <f t="shared" si="11"/>
        <v>0</v>
      </c>
      <c r="W39" s="204"/>
      <c r="X39" s="204"/>
      <c r="Y39" s="204"/>
      <c r="Z39" s="214">
        <f t="shared" ref="Z39:Z54" si="13">L39+V39+W39+X39+Y39</f>
        <v>0</v>
      </c>
      <c r="AA39" s="215">
        <f t="shared" si="12"/>
        <v>0</v>
      </c>
    </row>
    <row r="40" spans="1:27" x14ac:dyDescent="0.25">
      <c r="A40" s="136" t="s">
        <v>78</v>
      </c>
      <c r="B40" s="137" t="s">
        <v>314</v>
      </c>
      <c r="C40" s="182"/>
      <c r="D40" s="128"/>
      <c r="E40" s="128"/>
      <c r="F40" s="128"/>
      <c r="G40" s="128"/>
      <c r="H40" s="128"/>
      <c r="I40" s="128"/>
      <c r="J40" s="128"/>
      <c r="K40" s="131"/>
      <c r="L40" s="176">
        <f t="shared" si="10"/>
        <v>0</v>
      </c>
      <c r="M40" s="196"/>
      <c r="N40" s="147"/>
      <c r="O40" s="147"/>
      <c r="P40" s="147"/>
      <c r="Q40" s="147"/>
      <c r="R40" s="147"/>
      <c r="S40" s="147"/>
      <c r="T40" s="147"/>
      <c r="U40" s="189"/>
      <c r="V40" s="176">
        <f t="shared" si="11"/>
        <v>0</v>
      </c>
      <c r="W40" s="204"/>
      <c r="X40" s="204"/>
      <c r="Y40" s="204"/>
      <c r="Z40" s="214">
        <f t="shared" si="13"/>
        <v>0</v>
      </c>
      <c r="AA40" s="215">
        <f t="shared" si="12"/>
        <v>0</v>
      </c>
    </row>
    <row r="41" spans="1:27" x14ac:dyDescent="0.25">
      <c r="A41" s="136" t="s">
        <v>88</v>
      </c>
      <c r="B41" s="137" t="s">
        <v>337</v>
      </c>
      <c r="C41" s="182"/>
      <c r="D41" s="128"/>
      <c r="E41" s="128"/>
      <c r="F41" s="128"/>
      <c r="G41" s="128"/>
      <c r="H41" s="128"/>
      <c r="I41" s="128"/>
      <c r="J41" s="128"/>
      <c r="K41" s="131"/>
      <c r="L41" s="176">
        <f t="shared" si="10"/>
        <v>0</v>
      </c>
      <c r="M41" s="196"/>
      <c r="N41" s="147"/>
      <c r="O41" s="147"/>
      <c r="P41" s="147"/>
      <c r="Q41" s="147"/>
      <c r="R41" s="147"/>
      <c r="S41" s="147"/>
      <c r="T41" s="147"/>
      <c r="U41" s="189"/>
      <c r="V41" s="176">
        <f t="shared" si="11"/>
        <v>0</v>
      </c>
      <c r="W41" s="204"/>
      <c r="X41" s="204"/>
      <c r="Y41" s="204"/>
      <c r="Z41" s="214">
        <f t="shared" si="13"/>
        <v>0</v>
      </c>
      <c r="AA41" s="215">
        <f t="shared" si="12"/>
        <v>0</v>
      </c>
    </row>
    <row r="42" spans="1:27" x14ac:dyDescent="0.25">
      <c r="A42" s="136" t="s">
        <v>99</v>
      </c>
      <c r="B42" s="137" t="s">
        <v>338</v>
      </c>
      <c r="C42" s="182"/>
      <c r="D42" s="128"/>
      <c r="E42" s="128"/>
      <c r="F42" s="128"/>
      <c r="G42" s="128"/>
      <c r="H42" s="128"/>
      <c r="I42" s="128"/>
      <c r="J42" s="128"/>
      <c r="K42" s="131"/>
      <c r="L42" s="176">
        <f t="shared" si="10"/>
        <v>0</v>
      </c>
      <c r="M42" s="196"/>
      <c r="N42" s="147"/>
      <c r="O42" s="147"/>
      <c r="P42" s="147"/>
      <c r="Q42" s="147"/>
      <c r="R42" s="147"/>
      <c r="S42" s="147"/>
      <c r="T42" s="147"/>
      <c r="U42" s="189"/>
      <c r="V42" s="176">
        <f t="shared" si="11"/>
        <v>0</v>
      </c>
      <c r="W42" s="204"/>
      <c r="X42" s="204"/>
      <c r="Y42" s="204"/>
      <c r="Z42" s="214">
        <f t="shared" si="13"/>
        <v>0</v>
      </c>
      <c r="AA42" s="215">
        <f t="shared" si="12"/>
        <v>0</v>
      </c>
    </row>
    <row r="43" spans="1:27" x14ac:dyDescent="0.25">
      <c r="A43" s="136" t="s">
        <v>113</v>
      </c>
      <c r="B43" s="137" t="s">
        <v>339</v>
      </c>
      <c r="C43" s="182"/>
      <c r="D43" s="128"/>
      <c r="E43" s="128"/>
      <c r="F43" s="128"/>
      <c r="G43" s="128"/>
      <c r="H43" s="128"/>
      <c r="I43" s="128"/>
      <c r="J43" s="128"/>
      <c r="K43" s="131"/>
      <c r="L43" s="176">
        <f t="shared" si="10"/>
        <v>0</v>
      </c>
      <c r="M43" s="196"/>
      <c r="N43" s="147"/>
      <c r="O43" s="147"/>
      <c r="P43" s="147"/>
      <c r="Q43" s="147"/>
      <c r="R43" s="147"/>
      <c r="S43" s="147"/>
      <c r="T43" s="147"/>
      <c r="U43" s="189"/>
      <c r="V43" s="176">
        <f t="shared" si="11"/>
        <v>0</v>
      </c>
      <c r="W43" s="204"/>
      <c r="X43" s="204"/>
      <c r="Y43" s="204"/>
      <c r="Z43" s="214">
        <f t="shared" si="13"/>
        <v>0</v>
      </c>
      <c r="AA43" s="215">
        <f t="shared" si="12"/>
        <v>0</v>
      </c>
    </row>
    <row r="44" spans="1:27" x14ac:dyDescent="0.25">
      <c r="A44" s="136" t="s">
        <v>116</v>
      </c>
      <c r="B44" s="137" t="s">
        <v>316</v>
      </c>
      <c r="C44" s="182"/>
      <c r="D44" s="128"/>
      <c r="E44" s="128"/>
      <c r="F44" s="128"/>
      <c r="G44" s="128"/>
      <c r="H44" s="128"/>
      <c r="I44" s="128"/>
      <c r="J44" s="128"/>
      <c r="K44" s="131"/>
      <c r="L44" s="176">
        <f t="shared" si="10"/>
        <v>0</v>
      </c>
      <c r="M44" s="196"/>
      <c r="N44" s="147"/>
      <c r="O44" s="147"/>
      <c r="P44" s="147"/>
      <c r="Q44" s="147"/>
      <c r="R44" s="147"/>
      <c r="S44" s="147"/>
      <c r="T44" s="147"/>
      <c r="U44" s="189"/>
      <c r="V44" s="176">
        <f t="shared" si="11"/>
        <v>0</v>
      </c>
      <c r="W44" s="204"/>
      <c r="X44" s="204"/>
      <c r="Y44" s="204"/>
      <c r="Z44" s="214">
        <f t="shared" si="13"/>
        <v>0</v>
      </c>
      <c r="AA44" s="215">
        <f t="shared" si="12"/>
        <v>0</v>
      </c>
    </row>
    <row r="45" spans="1:27" x14ac:dyDescent="0.25">
      <c r="A45" s="136" t="s">
        <v>117</v>
      </c>
      <c r="B45" s="137" t="s">
        <v>317</v>
      </c>
      <c r="C45" s="182"/>
      <c r="D45" s="128"/>
      <c r="E45" s="128"/>
      <c r="F45" s="128"/>
      <c r="G45" s="128"/>
      <c r="H45" s="128"/>
      <c r="I45" s="128"/>
      <c r="J45" s="128"/>
      <c r="K45" s="131"/>
      <c r="L45" s="176">
        <f t="shared" si="10"/>
        <v>0</v>
      </c>
      <c r="M45" s="196"/>
      <c r="N45" s="147"/>
      <c r="O45" s="147"/>
      <c r="P45" s="147"/>
      <c r="Q45" s="147"/>
      <c r="R45" s="147"/>
      <c r="S45" s="147"/>
      <c r="T45" s="147"/>
      <c r="U45" s="189"/>
      <c r="V45" s="176">
        <f t="shared" si="11"/>
        <v>0</v>
      </c>
      <c r="W45" s="204"/>
      <c r="X45" s="204"/>
      <c r="Y45" s="204"/>
      <c r="Z45" s="214">
        <f t="shared" si="13"/>
        <v>0</v>
      </c>
      <c r="AA45" s="215">
        <f t="shared" si="12"/>
        <v>0</v>
      </c>
    </row>
    <row r="46" spans="1:27" x14ac:dyDescent="0.25">
      <c r="A46" s="136" t="s">
        <v>118</v>
      </c>
      <c r="B46" s="137" t="s">
        <v>340</v>
      </c>
      <c r="C46" s="182"/>
      <c r="D46" s="128"/>
      <c r="E46" s="128"/>
      <c r="F46" s="128"/>
      <c r="G46" s="128"/>
      <c r="H46" s="128"/>
      <c r="I46" s="128"/>
      <c r="J46" s="128"/>
      <c r="K46" s="131"/>
      <c r="L46" s="176">
        <f t="shared" si="10"/>
        <v>0</v>
      </c>
      <c r="M46" s="196"/>
      <c r="N46" s="147"/>
      <c r="O46" s="147"/>
      <c r="P46" s="147"/>
      <c r="Q46" s="147"/>
      <c r="R46" s="147"/>
      <c r="S46" s="147"/>
      <c r="T46" s="147"/>
      <c r="U46" s="189"/>
      <c r="V46" s="176">
        <f t="shared" si="11"/>
        <v>0</v>
      </c>
      <c r="W46" s="204"/>
      <c r="X46" s="204"/>
      <c r="Y46" s="204"/>
      <c r="Z46" s="214">
        <f t="shared" si="13"/>
        <v>0</v>
      </c>
      <c r="AA46" s="215">
        <f t="shared" si="12"/>
        <v>0</v>
      </c>
    </row>
    <row r="47" spans="1:27" x14ac:dyDescent="0.25">
      <c r="A47" s="136" t="s">
        <v>122</v>
      </c>
      <c r="B47" s="137" t="s">
        <v>341</v>
      </c>
      <c r="C47" s="182"/>
      <c r="D47" s="128"/>
      <c r="E47" s="128"/>
      <c r="F47" s="128"/>
      <c r="G47" s="128"/>
      <c r="H47" s="128"/>
      <c r="I47" s="128"/>
      <c r="J47" s="128"/>
      <c r="K47" s="131"/>
      <c r="L47" s="176">
        <f t="shared" si="10"/>
        <v>0</v>
      </c>
      <c r="M47" s="196"/>
      <c r="N47" s="147"/>
      <c r="O47" s="147"/>
      <c r="P47" s="147"/>
      <c r="Q47" s="147"/>
      <c r="R47" s="147"/>
      <c r="S47" s="147"/>
      <c r="T47" s="147"/>
      <c r="U47" s="189"/>
      <c r="V47" s="176">
        <f t="shared" si="11"/>
        <v>0</v>
      </c>
      <c r="W47" s="204"/>
      <c r="X47" s="204"/>
      <c r="Y47" s="204"/>
      <c r="Z47" s="214">
        <f t="shared" si="13"/>
        <v>0</v>
      </c>
      <c r="AA47" s="215">
        <f t="shared" si="12"/>
        <v>0</v>
      </c>
    </row>
    <row r="48" spans="1:27" ht="17.25" customHeight="1" x14ac:dyDescent="0.25">
      <c r="A48" s="136" t="s">
        <v>140</v>
      </c>
      <c r="B48" s="137" t="s">
        <v>265</v>
      </c>
      <c r="C48" s="182"/>
      <c r="D48" s="128"/>
      <c r="E48" s="128"/>
      <c r="F48" s="128"/>
      <c r="G48" s="128"/>
      <c r="H48" s="128"/>
      <c r="I48" s="128"/>
      <c r="J48" s="128"/>
      <c r="K48" s="131"/>
      <c r="L48" s="176">
        <f t="shared" si="10"/>
        <v>0</v>
      </c>
      <c r="M48" s="196"/>
      <c r="N48" s="147"/>
      <c r="O48" s="147"/>
      <c r="P48" s="147"/>
      <c r="Q48" s="147"/>
      <c r="R48" s="147"/>
      <c r="S48" s="147"/>
      <c r="T48" s="147"/>
      <c r="U48" s="189"/>
      <c r="V48" s="176"/>
      <c r="W48" s="205"/>
      <c r="X48" s="204"/>
      <c r="Y48" s="204"/>
      <c r="Z48" s="214">
        <f t="shared" si="13"/>
        <v>0</v>
      </c>
      <c r="AA48" s="215">
        <f t="shared" si="12"/>
        <v>0</v>
      </c>
    </row>
    <row r="49" spans="1:28" x14ac:dyDescent="0.25">
      <c r="A49" s="136" t="s">
        <v>141</v>
      </c>
      <c r="B49" s="137" t="s">
        <v>342</v>
      </c>
      <c r="C49" s="182"/>
      <c r="D49" s="128"/>
      <c r="E49" s="128"/>
      <c r="F49" s="128"/>
      <c r="G49" s="128"/>
      <c r="H49" s="128"/>
      <c r="I49" s="128"/>
      <c r="J49" s="128"/>
      <c r="K49" s="131"/>
      <c r="L49" s="176">
        <f t="shared" si="10"/>
        <v>0</v>
      </c>
      <c r="M49" s="196"/>
      <c r="N49" s="147"/>
      <c r="O49" s="147"/>
      <c r="P49" s="147"/>
      <c r="Q49" s="147"/>
      <c r="R49" s="147"/>
      <c r="S49" s="147"/>
      <c r="T49" s="147"/>
      <c r="U49" s="189"/>
      <c r="V49" s="176">
        <f t="shared" ref="V49:V54" si="14">SUM(M49:U49)</f>
        <v>0</v>
      </c>
      <c r="W49" s="204"/>
      <c r="X49" s="204"/>
      <c r="Y49" s="204"/>
      <c r="Z49" s="214">
        <f t="shared" si="13"/>
        <v>0</v>
      </c>
      <c r="AA49" s="215">
        <f t="shared" ref="AA49:AA54" si="15">C49+D49+F49+K49+M49+N49+P49+U49</f>
        <v>0</v>
      </c>
    </row>
    <row r="50" spans="1:28" x14ac:dyDescent="0.25">
      <c r="A50" s="136" t="s">
        <v>142</v>
      </c>
      <c r="B50" s="137" t="s">
        <v>343</v>
      </c>
      <c r="C50" s="182"/>
      <c r="D50" s="128"/>
      <c r="E50" s="128"/>
      <c r="F50" s="128"/>
      <c r="G50" s="128"/>
      <c r="H50" s="128"/>
      <c r="I50" s="128"/>
      <c r="J50" s="128"/>
      <c r="K50" s="131"/>
      <c r="L50" s="176">
        <f t="shared" si="10"/>
        <v>0</v>
      </c>
      <c r="M50" s="196"/>
      <c r="N50" s="147"/>
      <c r="O50" s="147"/>
      <c r="P50" s="147"/>
      <c r="Q50" s="147"/>
      <c r="R50" s="147"/>
      <c r="S50" s="147"/>
      <c r="T50" s="147"/>
      <c r="U50" s="189"/>
      <c r="V50" s="176">
        <f t="shared" si="14"/>
        <v>0</v>
      </c>
      <c r="W50" s="204"/>
      <c r="X50" s="204"/>
      <c r="Y50" s="204"/>
      <c r="Z50" s="214">
        <f t="shared" si="13"/>
        <v>0</v>
      </c>
      <c r="AA50" s="215">
        <f t="shared" si="15"/>
        <v>0</v>
      </c>
    </row>
    <row r="51" spans="1:28" x14ac:dyDescent="0.25">
      <c r="A51" s="136" t="s">
        <v>147</v>
      </c>
      <c r="B51" s="137" t="s">
        <v>322</v>
      </c>
      <c r="C51" s="182"/>
      <c r="D51" s="128"/>
      <c r="E51" s="128"/>
      <c r="F51" s="128"/>
      <c r="G51" s="128"/>
      <c r="H51" s="128"/>
      <c r="I51" s="128"/>
      <c r="J51" s="128"/>
      <c r="K51" s="131"/>
      <c r="L51" s="176">
        <f t="shared" si="10"/>
        <v>0</v>
      </c>
      <c r="M51" s="196"/>
      <c r="N51" s="147"/>
      <c r="O51" s="147"/>
      <c r="P51" s="147"/>
      <c r="Q51" s="147"/>
      <c r="R51" s="147"/>
      <c r="S51" s="147"/>
      <c r="T51" s="147"/>
      <c r="U51" s="189"/>
      <c r="V51" s="176">
        <f t="shared" si="14"/>
        <v>0</v>
      </c>
      <c r="W51" s="204"/>
      <c r="X51" s="204"/>
      <c r="Y51" s="204"/>
      <c r="Z51" s="214">
        <f t="shared" si="13"/>
        <v>0</v>
      </c>
      <c r="AA51" s="215">
        <f t="shared" si="15"/>
        <v>0</v>
      </c>
    </row>
    <row r="52" spans="1:28" x14ac:dyDescent="0.25">
      <c r="A52" s="141" t="s">
        <v>365</v>
      </c>
      <c r="B52" s="228" t="s">
        <v>366</v>
      </c>
      <c r="C52" s="182"/>
      <c r="D52" s="128"/>
      <c r="E52" s="128"/>
      <c r="F52" s="128"/>
      <c r="G52" s="128"/>
      <c r="H52" s="128"/>
      <c r="I52" s="128"/>
      <c r="J52" s="128"/>
      <c r="K52" s="131"/>
      <c r="L52" s="176">
        <f t="shared" si="10"/>
        <v>0</v>
      </c>
      <c r="M52" s="196"/>
      <c r="N52" s="147"/>
      <c r="O52" s="147"/>
      <c r="P52" s="147"/>
      <c r="Q52" s="147"/>
      <c r="R52" s="147"/>
      <c r="S52" s="147"/>
      <c r="T52" s="147"/>
      <c r="U52" s="189"/>
      <c r="V52" s="176">
        <f t="shared" si="14"/>
        <v>0</v>
      </c>
      <c r="W52" s="205"/>
      <c r="X52" s="204"/>
      <c r="Y52" s="204"/>
      <c r="Z52" s="214">
        <f t="shared" si="13"/>
        <v>0</v>
      </c>
      <c r="AA52" s="215">
        <f t="shared" si="15"/>
        <v>0</v>
      </c>
    </row>
    <row r="53" spans="1:28" x14ac:dyDescent="0.25">
      <c r="A53" s="136" t="s">
        <v>174</v>
      </c>
      <c r="B53" s="137" t="s">
        <v>344</v>
      </c>
      <c r="C53" s="182"/>
      <c r="D53" s="128"/>
      <c r="E53" s="128"/>
      <c r="F53" s="128"/>
      <c r="G53" s="128"/>
      <c r="H53" s="128"/>
      <c r="I53" s="128"/>
      <c r="J53" s="128"/>
      <c r="K53" s="131"/>
      <c r="L53" s="176">
        <f t="shared" si="10"/>
        <v>0</v>
      </c>
      <c r="M53" s="196"/>
      <c r="N53" s="147"/>
      <c r="O53" s="147"/>
      <c r="P53" s="147"/>
      <c r="Q53" s="147"/>
      <c r="R53" s="147"/>
      <c r="S53" s="147"/>
      <c r="T53" s="147"/>
      <c r="U53" s="189"/>
      <c r="V53" s="176">
        <f t="shared" si="14"/>
        <v>0</v>
      </c>
      <c r="W53" s="204"/>
      <c r="X53" s="204"/>
      <c r="Y53" s="204"/>
      <c r="Z53" s="214">
        <f t="shared" si="13"/>
        <v>0</v>
      </c>
      <c r="AA53" s="215">
        <f t="shared" si="15"/>
        <v>0</v>
      </c>
    </row>
    <row r="54" spans="1:28" ht="13.8" thickBot="1" x14ac:dyDescent="0.3">
      <c r="A54" s="136" t="s">
        <v>186</v>
      </c>
      <c r="B54" s="137" t="s">
        <v>345</v>
      </c>
      <c r="C54" s="183"/>
      <c r="D54" s="130"/>
      <c r="E54" s="130"/>
      <c r="F54" s="130"/>
      <c r="G54" s="130"/>
      <c r="H54" s="130"/>
      <c r="I54" s="130"/>
      <c r="J54" s="130"/>
      <c r="K54" s="144"/>
      <c r="L54" s="184">
        <f t="shared" si="10"/>
        <v>0</v>
      </c>
      <c r="M54" s="200"/>
      <c r="N54" s="160"/>
      <c r="O54" s="160"/>
      <c r="P54" s="160"/>
      <c r="Q54" s="160"/>
      <c r="R54" s="160"/>
      <c r="S54" s="160"/>
      <c r="T54" s="160"/>
      <c r="U54" s="193"/>
      <c r="V54" s="184">
        <f t="shared" si="14"/>
        <v>0</v>
      </c>
      <c r="W54" s="209"/>
      <c r="X54" s="209"/>
      <c r="Y54" s="209"/>
      <c r="Z54" s="214">
        <f t="shared" si="13"/>
        <v>0</v>
      </c>
      <c r="AA54" s="217">
        <f t="shared" si="15"/>
        <v>0</v>
      </c>
    </row>
    <row r="55" spans="1:28" s="109" customFormat="1" ht="14.4" thickBot="1" x14ac:dyDescent="0.3">
      <c r="A55" s="134"/>
      <c r="B55" s="159" t="s">
        <v>459</v>
      </c>
      <c r="C55" s="179">
        <f t="shared" ref="C55:AA55" si="16">SUM(C38:C54)</f>
        <v>0</v>
      </c>
      <c r="D55" s="157">
        <f t="shared" si="16"/>
        <v>0</v>
      </c>
      <c r="E55" s="157">
        <f t="shared" si="16"/>
        <v>0</v>
      </c>
      <c r="F55" s="157">
        <f t="shared" si="16"/>
        <v>0</v>
      </c>
      <c r="G55" s="157">
        <f t="shared" si="16"/>
        <v>0</v>
      </c>
      <c r="H55" s="157">
        <f t="shared" si="16"/>
        <v>0</v>
      </c>
      <c r="I55" s="157">
        <f t="shared" si="16"/>
        <v>0</v>
      </c>
      <c r="J55" s="157">
        <f t="shared" si="16"/>
        <v>0</v>
      </c>
      <c r="K55" s="166">
        <f t="shared" si="16"/>
        <v>0</v>
      </c>
      <c r="L55" s="180">
        <f t="shared" si="16"/>
        <v>0</v>
      </c>
      <c r="M55" s="198">
        <f t="shared" si="16"/>
        <v>0</v>
      </c>
      <c r="N55" s="158">
        <f t="shared" si="16"/>
        <v>0</v>
      </c>
      <c r="O55" s="158">
        <f t="shared" si="16"/>
        <v>0</v>
      </c>
      <c r="P55" s="158">
        <f t="shared" si="16"/>
        <v>0</v>
      </c>
      <c r="Q55" s="158">
        <f t="shared" si="16"/>
        <v>0</v>
      </c>
      <c r="R55" s="158">
        <f t="shared" si="16"/>
        <v>0</v>
      </c>
      <c r="S55" s="158">
        <f t="shared" si="16"/>
        <v>0</v>
      </c>
      <c r="T55" s="158">
        <f t="shared" si="16"/>
        <v>0</v>
      </c>
      <c r="U55" s="191">
        <f t="shared" si="16"/>
        <v>0</v>
      </c>
      <c r="V55" s="180">
        <f t="shared" si="16"/>
        <v>0</v>
      </c>
      <c r="W55" s="210">
        <f t="shared" si="16"/>
        <v>0</v>
      </c>
      <c r="X55" s="210">
        <f t="shared" si="16"/>
        <v>0</v>
      </c>
      <c r="Y55" s="210">
        <f t="shared" si="16"/>
        <v>0</v>
      </c>
      <c r="Z55" s="210">
        <f t="shared" si="16"/>
        <v>0</v>
      </c>
      <c r="AA55" s="210">
        <f t="shared" si="16"/>
        <v>0</v>
      </c>
    </row>
    <row r="56" spans="1:28" x14ac:dyDescent="0.25">
      <c r="A56" s="136" t="s">
        <v>71</v>
      </c>
      <c r="B56" s="137" t="s">
        <v>305</v>
      </c>
      <c r="C56" s="182"/>
      <c r="D56" s="128"/>
      <c r="E56" s="128"/>
      <c r="F56" s="128"/>
      <c r="G56" s="128"/>
      <c r="H56" s="128"/>
      <c r="I56" s="128"/>
      <c r="J56" s="128"/>
      <c r="K56" s="131"/>
      <c r="L56" s="176">
        <f t="shared" ref="L56:L71" si="17">SUM(C56:K56)</f>
        <v>0</v>
      </c>
      <c r="M56" s="196"/>
      <c r="N56" s="147"/>
      <c r="O56" s="147"/>
      <c r="P56" s="147"/>
      <c r="Q56" s="147"/>
      <c r="R56" s="147"/>
      <c r="S56" s="147"/>
      <c r="T56" s="147"/>
      <c r="U56" s="189"/>
      <c r="V56" s="176">
        <f t="shared" ref="V56:V65" si="18">SUM(M56:U56)</f>
        <v>0</v>
      </c>
      <c r="W56" s="211"/>
      <c r="X56" s="211"/>
      <c r="Y56" s="211"/>
      <c r="Z56" s="214">
        <f>L56+V56+W56+X56+Y56</f>
        <v>0</v>
      </c>
      <c r="AA56" s="215">
        <f t="shared" ref="AA56:AA65" si="19">C56+D56+F56+K56+M56+N56+P56+U56</f>
        <v>0</v>
      </c>
      <c r="AB56" s="142">
        <f>L56</f>
        <v>0</v>
      </c>
    </row>
    <row r="57" spans="1:28" x14ac:dyDescent="0.25">
      <c r="A57" s="136" t="s">
        <v>77</v>
      </c>
      <c r="B57" s="137" t="s">
        <v>306</v>
      </c>
      <c r="C57" s="182"/>
      <c r="D57" s="128"/>
      <c r="E57" s="128"/>
      <c r="F57" s="128"/>
      <c r="G57" s="128"/>
      <c r="H57" s="128"/>
      <c r="I57" s="128"/>
      <c r="J57" s="128"/>
      <c r="K57" s="131"/>
      <c r="L57" s="176">
        <f t="shared" si="17"/>
        <v>0</v>
      </c>
      <c r="M57" s="196"/>
      <c r="N57" s="147"/>
      <c r="O57" s="147"/>
      <c r="P57" s="147"/>
      <c r="Q57" s="147"/>
      <c r="R57" s="147"/>
      <c r="S57" s="147"/>
      <c r="T57" s="147"/>
      <c r="U57" s="189"/>
      <c r="V57" s="176">
        <f t="shared" si="18"/>
        <v>0</v>
      </c>
      <c r="W57" s="204"/>
      <c r="X57" s="204"/>
      <c r="Y57" s="204"/>
      <c r="Z57" s="214">
        <f t="shared" ref="Z57:Z71" si="20">L57+V57+W57+X57+Y57</f>
        <v>0</v>
      </c>
      <c r="AA57" s="215">
        <f t="shared" si="19"/>
        <v>0</v>
      </c>
    </row>
    <row r="58" spans="1:28" x14ac:dyDescent="0.25">
      <c r="A58" s="136" t="s">
        <v>102</v>
      </c>
      <c r="B58" s="137" t="s">
        <v>315</v>
      </c>
      <c r="C58" s="182"/>
      <c r="D58" s="128"/>
      <c r="E58" s="128"/>
      <c r="F58" s="128"/>
      <c r="G58" s="128"/>
      <c r="H58" s="128"/>
      <c r="I58" s="128"/>
      <c r="J58" s="128"/>
      <c r="K58" s="131"/>
      <c r="L58" s="176">
        <f t="shared" si="17"/>
        <v>0</v>
      </c>
      <c r="M58" s="196"/>
      <c r="N58" s="147"/>
      <c r="O58" s="147"/>
      <c r="P58" s="147"/>
      <c r="Q58" s="147"/>
      <c r="R58" s="147"/>
      <c r="S58" s="147"/>
      <c r="T58" s="147"/>
      <c r="U58" s="189"/>
      <c r="V58" s="176">
        <f>SUM(M58:U58)</f>
        <v>0</v>
      </c>
      <c r="W58" s="205"/>
      <c r="X58" s="204"/>
      <c r="Y58" s="204"/>
      <c r="Z58" s="214">
        <f t="shared" si="20"/>
        <v>0</v>
      </c>
      <c r="AA58" s="215">
        <f>C58+D58+F58+K58+M58+N58+P58+U58</f>
        <v>0</v>
      </c>
    </row>
    <row r="59" spans="1:28" x14ac:dyDescent="0.25">
      <c r="A59" s="136" t="s">
        <v>103</v>
      </c>
      <c r="B59" s="137" t="s">
        <v>297</v>
      </c>
      <c r="C59" s="182"/>
      <c r="D59" s="128"/>
      <c r="E59" s="128"/>
      <c r="F59" s="128"/>
      <c r="G59" s="128"/>
      <c r="H59" s="128"/>
      <c r="I59" s="128"/>
      <c r="J59" s="128"/>
      <c r="K59" s="131"/>
      <c r="L59" s="176">
        <f t="shared" si="17"/>
        <v>0</v>
      </c>
      <c r="M59" s="196"/>
      <c r="N59" s="147"/>
      <c r="O59" s="147"/>
      <c r="P59" s="147"/>
      <c r="Q59" s="147"/>
      <c r="R59" s="147"/>
      <c r="S59" s="147"/>
      <c r="T59" s="147"/>
      <c r="U59" s="189"/>
      <c r="V59" s="176">
        <f>SUM(M59:U59)</f>
        <v>0</v>
      </c>
      <c r="W59" s="204"/>
      <c r="X59" s="204"/>
      <c r="Y59" s="204"/>
      <c r="Z59" s="214">
        <f t="shared" si="20"/>
        <v>0</v>
      </c>
      <c r="AA59" s="215">
        <f>C59+D59+F59+K59+M59+N59+P59+U59</f>
        <v>0</v>
      </c>
    </row>
    <row r="60" spans="1:28" x14ac:dyDescent="0.25">
      <c r="A60" s="136" t="s">
        <v>112</v>
      </c>
      <c r="B60" s="137" t="s">
        <v>307</v>
      </c>
      <c r="C60" s="182"/>
      <c r="D60" s="128"/>
      <c r="E60" s="128"/>
      <c r="F60" s="128"/>
      <c r="G60" s="128"/>
      <c r="H60" s="128"/>
      <c r="I60" s="128"/>
      <c r="J60" s="128"/>
      <c r="K60" s="131"/>
      <c r="L60" s="176">
        <f t="shared" si="17"/>
        <v>0</v>
      </c>
      <c r="M60" s="196"/>
      <c r="N60" s="147"/>
      <c r="O60" s="147"/>
      <c r="P60" s="147"/>
      <c r="Q60" s="147"/>
      <c r="R60" s="147"/>
      <c r="S60" s="147"/>
      <c r="T60" s="147"/>
      <c r="U60" s="189"/>
      <c r="V60" s="176">
        <f t="shared" si="18"/>
        <v>0</v>
      </c>
      <c r="W60" s="204"/>
      <c r="X60" s="204"/>
      <c r="Y60" s="204"/>
      <c r="Z60" s="214">
        <f t="shared" si="20"/>
        <v>0</v>
      </c>
      <c r="AA60" s="215">
        <f t="shared" si="19"/>
        <v>0</v>
      </c>
    </row>
    <row r="61" spans="1:28" x14ac:dyDescent="0.25">
      <c r="A61" s="136" t="s">
        <v>120</v>
      </c>
      <c r="B61" s="137" t="s">
        <v>318</v>
      </c>
      <c r="C61" s="182"/>
      <c r="D61" s="128"/>
      <c r="E61" s="128"/>
      <c r="F61" s="128"/>
      <c r="G61" s="128"/>
      <c r="H61" s="128"/>
      <c r="I61" s="128"/>
      <c r="J61" s="128"/>
      <c r="K61" s="131"/>
      <c r="L61" s="176">
        <f t="shared" si="17"/>
        <v>0</v>
      </c>
      <c r="M61" s="196"/>
      <c r="N61" s="147"/>
      <c r="O61" s="147"/>
      <c r="P61" s="147"/>
      <c r="Q61" s="147"/>
      <c r="R61" s="147"/>
      <c r="S61" s="147"/>
      <c r="T61" s="147"/>
      <c r="U61" s="189"/>
      <c r="V61" s="176">
        <f>SUM(M61:U61)</f>
        <v>0</v>
      </c>
      <c r="W61" s="204"/>
      <c r="X61" s="204"/>
      <c r="Y61" s="204"/>
      <c r="Z61" s="214">
        <f t="shared" si="20"/>
        <v>0</v>
      </c>
      <c r="AA61" s="215">
        <f>C61+D61+F61+K61+M61+N61+P61+U61</f>
        <v>0</v>
      </c>
    </row>
    <row r="62" spans="1:28" x14ac:dyDescent="0.25">
      <c r="A62" s="136" t="s">
        <v>131</v>
      </c>
      <c r="B62" s="137" t="s">
        <v>308</v>
      </c>
      <c r="C62" s="182"/>
      <c r="D62" s="128"/>
      <c r="E62" s="128"/>
      <c r="F62" s="128"/>
      <c r="G62" s="128"/>
      <c r="H62" s="128"/>
      <c r="I62" s="128"/>
      <c r="J62" s="128"/>
      <c r="K62" s="131"/>
      <c r="L62" s="176">
        <f t="shared" si="17"/>
        <v>0</v>
      </c>
      <c r="M62" s="196"/>
      <c r="N62" s="147"/>
      <c r="O62" s="147"/>
      <c r="P62" s="147"/>
      <c r="Q62" s="147"/>
      <c r="R62" s="147"/>
      <c r="S62" s="147"/>
      <c r="T62" s="147"/>
      <c r="U62" s="189"/>
      <c r="V62" s="176">
        <f t="shared" si="18"/>
        <v>0</v>
      </c>
      <c r="W62" s="204"/>
      <c r="X62" s="204"/>
      <c r="Y62" s="204"/>
      <c r="Z62" s="214">
        <f t="shared" si="20"/>
        <v>0</v>
      </c>
      <c r="AA62" s="215">
        <f t="shared" si="19"/>
        <v>0</v>
      </c>
    </row>
    <row r="63" spans="1:28" x14ac:dyDescent="0.25">
      <c r="A63" s="136" t="s">
        <v>133</v>
      </c>
      <c r="B63" s="137" t="s">
        <v>319</v>
      </c>
      <c r="C63" s="182"/>
      <c r="D63" s="128"/>
      <c r="E63" s="128"/>
      <c r="F63" s="128"/>
      <c r="G63" s="128"/>
      <c r="H63" s="128"/>
      <c r="I63" s="128"/>
      <c r="J63" s="128"/>
      <c r="K63" s="131"/>
      <c r="L63" s="176">
        <f t="shared" si="17"/>
        <v>0</v>
      </c>
      <c r="M63" s="196"/>
      <c r="N63" s="147"/>
      <c r="O63" s="147"/>
      <c r="P63" s="147"/>
      <c r="Q63" s="147"/>
      <c r="R63" s="147"/>
      <c r="S63" s="147"/>
      <c r="T63" s="147"/>
      <c r="U63" s="189"/>
      <c r="V63" s="176">
        <f>SUM(M63:U63)</f>
        <v>0</v>
      </c>
      <c r="W63" s="204"/>
      <c r="X63" s="204"/>
      <c r="Y63" s="204"/>
      <c r="Z63" s="214">
        <f t="shared" si="20"/>
        <v>0</v>
      </c>
      <c r="AA63" s="215">
        <f>C63+D63+F63+K63+M63+N63+P63+U63</f>
        <v>0</v>
      </c>
    </row>
    <row r="64" spans="1:28" x14ac:dyDescent="0.25">
      <c r="A64" s="136" t="s">
        <v>134</v>
      </c>
      <c r="B64" s="137" t="s">
        <v>320</v>
      </c>
      <c r="C64" s="182"/>
      <c r="D64" s="128"/>
      <c r="E64" s="128"/>
      <c r="F64" s="128"/>
      <c r="G64" s="128"/>
      <c r="H64" s="128"/>
      <c r="I64" s="128"/>
      <c r="J64" s="128"/>
      <c r="K64" s="131"/>
      <c r="L64" s="176">
        <f t="shared" si="17"/>
        <v>0</v>
      </c>
      <c r="M64" s="196"/>
      <c r="N64" s="147"/>
      <c r="O64" s="147"/>
      <c r="P64" s="147"/>
      <c r="Q64" s="147"/>
      <c r="R64" s="147"/>
      <c r="S64" s="147"/>
      <c r="T64" s="147"/>
      <c r="U64" s="189"/>
      <c r="V64" s="176">
        <f>SUM(M64:U64)</f>
        <v>0</v>
      </c>
      <c r="W64" s="204">
        <v>179</v>
      </c>
      <c r="X64" s="204"/>
      <c r="Y64" s="204"/>
      <c r="Z64" s="214">
        <f t="shared" si="20"/>
        <v>179</v>
      </c>
      <c r="AA64" s="215">
        <f>C64+D64+F64+K64+M64+N64+P64+U64</f>
        <v>0</v>
      </c>
      <c r="AB64" s="511" t="s">
        <v>499</v>
      </c>
    </row>
    <row r="65" spans="1:28" x14ac:dyDescent="0.25">
      <c r="A65" s="136" t="s">
        <v>145</v>
      </c>
      <c r="B65" s="137" t="s">
        <v>309</v>
      </c>
      <c r="C65" s="182"/>
      <c r="D65" s="128"/>
      <c r="E65" s="128"/>
      <c r="F65" s="128"/>
      <c r="G65" s="128"/>
      <c r="H65" s="128"/>
      <c r="I65" s="128"/>
      <c r="J65" s="128"/>
      <c r="K65" s="131"/>
      <c r="L65" s="176">
        <f t="shared" si="17"/>
        <v>0</v>
      </c>
      <c r="M65" s="196"/>
      <c r="N65" s="147"/>
      <c r="O65" s="147"/>
      <c r="P65" s="147"/>
      <c r="Q65" s="147"/>
      <c r="R65" s="147"/>
      <c r="S65" s="147"/>
      <c r="T65" s="147"/>
      <c r="U65" s="189"/>
      <c r="V65" s="176">
        <f t="shared" si="18"/>
        <v>0</v>
      </c>
      <c r="W65" s="204"/>
      <c r="X65" s="204"/>
      <c r="Y65" s="204"/>
      <c r="Z65" s="214">
        <f t="shared" si="20"/>
        <v>0</v>
      </c>
      <c r="AA65" s="215">
        <f t="shared" si="19"/>
        <v>0</v>
      </c>
    </row>
    <row r="66" spans="1:28" x14ac:dyDescent="0.25">
      <c r="A66" s="136" t="s">
        <v>149</v>
      </c>
      <c r="B66" s="137" t="s">
        <v>353</v>
      </c>
      <c r="C66" s="182"/>
      <c r="D66" s="128"/>
      <c r="E66" s="128"/>
      <c r="F66" s="128"/>
      <c r="G66" s="128"/>
      <c r="H66" s="128"/>
      <c r="I66" s="128"/>
      <c r="J66" s="128"/>
      <c r="K66" s="131"/>
      <c r="L66" s="176">
        <f t="shared" si="17"/>
        <v>0</v>
      </c>
      <c r="M66" s="196"/>
      <c r="N66" s="147"/>
      <c r="O66" s="147"/>
      <c r="P66" s="147"/>
      <c r="Q66" s="147"/>
      <c r="R66" s="147"/>
      <c r="S66" s="147"/>
      <c r="T66" s="147"/>
      <c r="U66" s="189"/>
      <c r="V66" s="176">
        <f t="shared" ref="V66:V71" si="21">SUM(M66:U66)</f>
        <v>0</v>
      </c>
      <c r="W66" s="204"/>
      <c r="X66" s="204"/>
      <c r="Y66" s="204"/>
      <c r="Z66" s="214">
        <f t="shared" si="20"/>
        <v>0</v>
      </c>
      <c r="AA66" s="215">
        <f t="shared" ref="AA66:AA71" si="22">C66+D66+F66+K66+M66+N66+P66+U66</f>
        <v>0</v>
      </c>
    </row>
    <row r="67" spans="1:28" x14ac:dyDescent="0.25">
      <c r="A67" s="136" t="s">
        <v>182</v>
      </c>
      <c r="B67" s="137" t="s">
        <v>357</v>
      </c>
      <c r="C67" s="182"/>
      <c r="D67" s="128"/>
      <c r="E67" s="128"/>
      <c r="F67" s="128"/>
      <c r="G67" s="128"/>
      <c r="H67" s="128"/>
      <c r="I67" s="128"/>
      <c r="J67" s="128"/>
      <c r="K67" s="131"/>
      <c r="L67" s="176">
        <f t="shared" si="17"/>
        <v>0</v>
      </c>
      <c r="M67" s="196"/>
      <c r="N67" s="147"/>
      <c r="O67" s="147"/>
      <c r="P67" s="147"/>
      <c r="Q67" s="147"/>
      <c r="R67" s="147"/>
      <c r="S67" s="147"/>
      <c r="T67" s="147"/>
      <c r="U67" s="189"/>
      <c r="V67" s="176">
        <f t="shared" si="21"/>
        <v>0</v>
      </c>
      <c r="W67" s="204"/>
      <c r="X67" s="204"/>
      <c r="Y67" s="204"/>
      <c r="Z67" s="214">
        <f t="shared" si="20"/>
        <v>0</v>
      </c>
      <c r="AA67" s="215">
        <f t="shared" si="22"/>
        <v>0</v>
      </c>
      <c r="AB67" s="142">
        <f>L67+V67</f>
        <v>0</v>
      </c>
    </row>
    <row r="68" spans="1:28" x14ac:dyDescent="0.25">
      <c r="A68" s="136" t="s">
        <v>185</v>
      </c>
      <c r="B68" s="137" t="s">
        <v>310</v>
      </c>
      <c r="C68" s="182"/>
      <c r="D68" s="128"/>
      <c r="E68" s="128"/>
      <c r="F68" s="128"/>
      <c r="G68" s="128"/>
      <c r="H68" s="128"/>
      <c r="I68" s="128"/>
      <c r="J68" s="128"/>
      <c r="K68" s="131"/>
      <c r="L68" s="176">
        <f t="shared" si="17"/>
        <v>0</v>
      </c>
      <c r="M68" s="196"/>
      <c r="N68" s="147"/>
      <c r="O68" s="147"/>
      <c r="P68" s="147"/>
      <c r="Q68" s="147"/>
      <c r="R68" s="147"/>
      <c r="S68" s="147"/>
      <c r="T68" s="147"/>
      <c r="U68" s="189"/>
      <c r="V68" s="176">
        <f t="shared" si="21"/>
        <v>0</v>
      </c>
      <c r="W68" s="204">
        <v>775</v>
      </c>
      <c r="X68" s="204"/>
      <c r="Y68" s="204"/>
      <c r="Z68" s="214">
        <f t="shared" si="20"/>
        <v>775</v>
      </c>
      <c r="AA68" s="215">
        <f t="shared" si="22"/>
        <v>0</v>
      </c>
    </row>
    <row r="69" spans="1:28" x14ac:dyDescent="0.25">
      <c r="A69" s="136" t="s">
        <v>188</v>
      </c>
      <c r="B69" s="137" t="s">
        <v>311</v>
      </c>
      <c r="C69" s="182"/>
      <c r="D69" s="128"/>
      <c r="E69" s="128"/>
      <c r="F69" s="128"/>
      <c r="G69" s="128"/>
      <c r="H69" s="128"/>
      <c r="I69" s="128"/>
      <c r="J69" s="128"/>
      <c r="K69" s="131"/>
      <c r="L69" s="176">
        <f t="shared" si="17"/>
        <v>0</v>
      </c>
      <c r="M69" s="196"/>
      <c r="N69" s="147"/>
      <c r="O69" s="147"/>
      <c r="P69" s="147"/>
      <c r="Q69" s="147"/>
      <c r="R69" s="147"/>
      <c r="S69" s="147"/>
      <c r="T69" s="147"/>
      <c r="U69" s="189"/>
      <c r="V69" s="176">
        <f t="shared" si="21"/>
        <v>0</v>
      </c>
      <c r="W69" s="209"/>
      <c r="X69" s="209"/>
      <c r="Y69" s="209"/>
      <c r="Z69" s="214">
        <f t="shared" si="20"/>
        <v>0</v>
      </c>
      <c r="AA69" s="215">
        <f t="shared" si="22"/>
        <v>0</v>
      </c>
    </row>
    <row r="70" spans="1:28" x14ac:dyDescent="0.25">
      <c r="A70" s="136" t="s">
        <v>192</v>
      </c>
      <c r="B70" s="137" t="s">
        <v>312</v>
      </c>
      <c r="C70" s="182"/>
      <c r="D70" s="128"/>
      <c r="E70" s="128"/>
      <c r="F70" s="128"/>
      <c r="G70" s="128"/>
      <c r="H70" s="128"/>
      <c r="I70" s="128"/>
      <c r="J70" s="128"/>
      <c r="K70" s="131"/>
      <c r="L70" s="176">
        <f t="shared" si="17"/>
        <v>0</v>
      </c>
      <c r="M70" s="196"/>
      <c r="N70" s="147"/>
      <c r="O70" s="147"/>
      <c r="P70" s="147"/>
      <c r="Q70" s="147"/>
      <c r="R70" s="147"/>
      <c r="S70" s="147"/>
      <c r="T70" s="147"/>
      <c r="U70" s="189"/>
      <c r="V70" s="176">
        <f t="shared" si="21"/>
        <v>0</v>
      </c>
      <c r="W70" s="209"/>
      <c r="X70" s="209"/>
      <c r="Y70" s="209"/>
      <c r="Z70" s="214">
        <f t="shared" si="20"/>
        <v>0</v>
      </c>
      <c r="AA70" s="217">
        <f t="shared" si="22"/>
        <v>0</v>
      </c>
    </row>
    <row r="71" spans="1:28" ht="13.8" thickBot="1" x14ac:dyDescent="0.3">
      <c r="A71" s="136" t="s">
        <v>193</v>
      </c>
      <c r="B71" s="137" t="s">
        <v>325</v>
      </c>
      <c r="C71" s="183"/>
      <c r="D71" s="130"/>
      <c r="E71" s="130"/>
      <c r="F71" s="130"/>
      <c r="G71" s="130"/>
      <c r="H71" s="130"/>
      <c r="I71" s="130"/>
      <c r="J71" s="130"/>
      <c r="K71" s="144"/>
      <c r="L71" s="184">
        <f t="shared" si="17"/>
        <v>0</v>
      </c>
      <c r="M71" s="200"/>
      <c r="N71" s="160"/>
      <c r="O71" s="160"/>
      <c r="P71" s="160"/>
      <c r="Q71" s="160"/>
      <c r="R71" s="160"/>
      <c r="S71" s="160"/>
      <c r="T71" s="160"/>
      <c r="U71" s="193"/>
      <c r="V71" s="184">
        <f t="shared" si="21"/>
        <v>0</v>
      </c>
      <c r="W71" s="209"/>
      <c r="X71" s="209"/>
      <c r="Y71" s="209"/>
      <c r="Z71" s="214">
        <f t="shared" si="20"/>
        <v>0</v>
      </c>
      <c r="AA71" s="217">
        <f t="shared" si="22"/>
        <v>0</v>
      </c>
      <c r="AB71" s="142">
        <f>L71+V71</f>
        <v>0</v>
      </c>
    </row>
    <row r="72" spans="1:28" s="109" customFormat="1" ht="14.4" thickBot="1" x14ac:dyDescent="0.3">
      <c r="A72" s="134"/>
      <c r="B72" s="159" t="s">
        <v>460</v>
      </c>
      <c r="C72" s="179">
        <f t="shared" ref="C72:AA72" si="23">SUM(C56:C71)</f>
        <v>0</v>
      </c>
      <c r="D72" s="157">
        <f t="shared" si="23"/>
        <v>0</v>
      </c>
      <c r="E72" s="157">
        <f t="shared" si="23"/>
        <v>0</v>
      </c>
      <c r="F72" s="157">
        <f t="shared" si="23"/>
        <v>0</v>
      </c>
      <c r="G72" s="157">
        <f t="shared" si="23"/>
        <v>0</v>
      </c>
      <c r="H72" s="157">
        <f t="shared" si="23"/>
        <v>0</v>
      </c>
      <c r="I72" s="157">
        <f t="shared" si="23"/>
        <v>0</v>
      </c>
      <c r="J72" s="157">
        <f t="shared" si="23"/>
        <v>0</v>
      </c>
      <c r="K72" s="166">
        <f t="shared" si="23"/>
        <v>0</v>
      </c>
      <c r="L72" s="180">
        <f t="shared" si="23"/>
        <v>0</v>
      </c>
      <c r="M72" s="198">
        <f t="shared" si="23"/>
        <v>0</v>
      </c>
      <c r="N72" s="158">
        <f t="shared" si="23"/>
        <v>0</v>
      </c>
      <c r="O72" s="158">
        <f t="shared" si="23"/>
        <v>0</v>
      </c>
      <c r="P72" s="158">
        <f t="shared" si="23"/>
        <v>0</v>
      </c>
      <c r="Q72" s="158">
        <f t="shared" si="23"/>
        <v>0</v>
      </c>
      <c r="R72" s="158">
        <f t="shared" si="23"/>
        <v>0</v>
      </c>
      <c r="S72" s="158">
        <f t="shared" si="23"/>
        <v>0</v>
      </c>
      <c r="T72" s="158">
        <f t="shared" si="23"/>
        <v>0</v>
      </c>
      <c r="U72" s="191">
        <f t="shared" si="23"/>
        <v>0</v>
      </c>
      <c r="V72" s="180">
        <f t="shared" si="23"/>
        <v>0</v>
      </c>
      <c r="W72" s="210">
        <f t="shared" si="23"/>
        <v>954</v>
      </c>
      <c r="X72" s="210">
        <f t="shared" si="23"/>
        <v>0</v>
      </c>
      <c r="Y72" s="210">
        <f t="shared" si="23"/>
        <v>0</v>
      </c>
      <c r="Z72" s="210">
        <f t="shared" si="23"/>
        <v>954</v>
      </c>
      <c r="AA72" s="210">
        <f t="shared" si="23"/>
        <v>0</v>
      </c>
    </row>
    <row r="73" spans="1:28" x14ac:dyDescent="0.25">
      <c r="A73" s="136" t="s">
        <v>65</v>
      </c>
      <c r="B73" s="137" t="s">
        <v>326</v>
      </c>
      <c r="C73" s="181"/>
      <c r="D73" s="155"/>
      <c r="E73" s="155"/>
      <c r="F73" s="155"/>
      <c r="G73" s="155"/>
      <c r="H73" s="155"/>
      <c r="I73" s="155"/>
      <c r="J73" s="155"/>
      <c r="K73" s="165"/>
      <c r="L73" s="174">
        <f>SUM(C73:K73)</f>
        <v>0</v>
      </c>
      <c r="M73" s="199"/>
      <c r="N73" s="156"/>
      <c r="O73" s="156"/>
      <c r="P73" s="156"/>
      <c r="Q73" s="156"/>
      <c r="R73" s="156"/>
      <c r="S73" s="156"/>
      <c r="T73" s="156"/>
      <c r="U73" s="192"/>
      <c r="V73" s="174">
        <f>SUM(M73:U73)</f>
        <v>0</v>
      </c>
      <c r="W73" s="211"/>
      <c r="X73" s="211"/>
      <c r="Y73" s="211"/>
      <c r="Z73" s="214">
        <f>L73+V73+W73+X73+Y73</f>
        <v>0</v>
      </c>
      <c r="AA73" s="218">
        <f>C73+D73+F73+K73+M73+N73+P73+U73</f>
        <v>0</v>
      </c>
    </row>
    <row r="74" spans="1:28" x14ac:dyDescent="0.25">
      <c r="A74" s="136" t="s">
        <v>81</v>
      </c>
      <c r="B74" s="137" t="s">
        <v>327</v>
      </c>
      <c r="C74" s="182"/>
      <c r="D74" s="128"/>
      <c r="E74" s="128"/>
      <c r="F74" s="128"/>
      <c r="G74" s="128"/>
      <c r="H74" s="128"/>
      <c r="I74" s="128"/>
      <c r="J74" s="128"/>
      <c r="K74" s="131"/>
      <c r="L74" s="176">
        <f>SUM(C74:K74)</f>
        <v>0</v>
      </c>
      <c r="M74" s="196"/>
      <c r="N74" s="147"/>
      <c r="O74" s="147"/>
      <c r="P74" s="147"/>
      <c r="Q74" s="147"/>
      <c r="R74" s="147"/>
      <c r="S74" s="147"/>
      <c r="T74" s="147"/>
      <c r="U74" s="189"/>
      <c r="V74" s="176">
        <f>SUM(M74:U74)</f>
        <v>0</v>
      </c>
      <c r="W74" s="204"/>
      <c r="X74" s="204"/>
      <c r="Y74" s="204"/>
      <c r="Z74" s="214">
        <f t="shared" ref="Z74:Z88" si="24">L74+V74+W74+X74+Y74</f>
        <v>0</v>
      </c>
      <c r="AA74" s="215">
        <f>C74+D74+F74+K74+M74+N74+P74+U74</f>
        <v>0</v>
      </c>
    </row>
    <row r="75" spans="1:28" x14ac:dyDescent="0.25">
      <c r="A75" s="136" t="s">
        <v>87</v>
      </c>
      <c r="B75" s="137" t="s">
        <v>292</v>
      </c>
      <c r="C75" s="182"/>
      <c r="D75" s="128"/>
      <c r="E75" s="128"/>
      <c r="F75" s="128"/>
      <c r="G75" s="128"/>
      <c r="H75" s="128"/>
      <c r="I75" s="128"/>
      <c r="J75" s="128"/>
      <c r="K75" s="131"/>
      <c r="L75" s="176">
        <f t="shared" ref="L75:L88" si="25">SUM(C75:K75)</f>
        <v>0</v>
      </c>
      <c r="M75" s="196"/>
      <c r="N75" s="147"/>
      <c r="O75" s="147"/>
      <c r="P75" s="147"/>
      <c r="Q75" s="147"/>
      <c r="R75" s="147"/>
      <c r="S75" s="147"/>
      <c r="T75" s="147"/>
      <c r="U75" s="189"/>
      <c r="V75" s="176">
        <f t="shared" ref="V75:V88" si="26">SUM(M75:U75)</f>
        <v>0</v>
      </c>
      <c r="W75" s="204"/>
      <c r="X75" s="204"/>
      <c r="Y75" s="204"/>
      <c r="Z75" s="214">
        <f t="shared" si="24"/>
        <v>0</v>
      </c>
      <c r="AA75" s="215">
        <f t="shared" ref="AA75:AA88" si="27">C75+D75+F75+K75+M75+N75+P75+U75</f>
        <v>0</v>
      </c>
    </row>
    <row r="76" spans="1:28" x14ac:dyDescent="0.25">
      <c r="A76" s="136" t="s">
        <v>92</v>
      </c>
      <c r="B76" s="137" t="s">
        <v>328</v>
      </c>
      <c r="C76" s="182"/>
      <c r="D76" s="128"/>
      <c r="E76" s="128"/>
      <c r="F76" s="128"/>
      <c r="G76" s="128"/>
      <c r="H76" s="128"/>
      <c r="I76" s="128"/>
      <c r="J76" s="128"/>
      <c r="K76" s="131"/>
      <c r="L76" s="176">
        <f t="shared" si="25"/>
        <v>0</v>
      </c>
      <c r="M76" s="196"/>
      <c r="N76" s="147"/>
      <c r="O76" s="147"/>
      <c r="P76" s="147"/>
      <c r="Q76" s="147"/>
      <c r="R76" s="147"/>
      <c r="S76" s="147"/>
      <c r="T76" s="147"/>
      <c r="U76" s="189"/>
      <c r="V76" s="176">
        <f t="shared" si="26"/>
        <v>0</v>
      </c>
      <c r="W76" s="204"/>
      <c r="X76" s="204"/>
      <c r="Y76" s="204"/>
      <c r="Z76" s="214">
        <f t="shared" si="24"/>
        <v>0</v>
      </c>
      <c r="AA76" s="215">
        <f t="shared" si="27"/>
        <v>0</v>
      </c>
    </row>
    <row r="77" spans="1:28" x14ac:dyDescent="0.25">
      <c r="A77" s="136" t="s">
        <v>96</v>
      </c>
      <c r="B77" s="137" t="s">
        <v>293</v>
      </c>
      <c r="C77" s="182"/>
      <c r="D77" s="128"/>
      <c r="E77" s="128"/>
      <c r="F77" s="128"/>
      <c r="G77" s="128"/>
      <c r="H77" s="128"/>
      <c r="I77" s="128"/>
      <c r="J77" s="128"/>
      <c r="K77" s="131"/>
      <c r="L77" s="176">
        <f t="shared" si="25"/>
        <v>0</v>
      </c>
      <c r="M77" s="196"/>
      <c r="N77" s="147"/>
      <c r="O77" s="147"/>
      <c r="P77" s="147"/>
      <c r="Q77" s="147"/>
      <c r="R77" s="147"/>
      <c r="S77" s="147"/>
      <c r="T77" s="147"/>
      <c r="U77" s="189"/>
      <c r="V77" s="176">
        <f t="shared" si="26"/>
        <v>0</v>
      </c>
      <c r="W77" s="204"/>
      <c r="X77" s="204"/>
      <c r="Y77" s="204"/>
      <c r="Z77" s="214">
        <f t="shared" si="24"/>
        <v>0</v>
      </c>
      <c r="AA77" s="215">
        <f t="shared" si="27"/>
        <v>0</v>
      </c>
    </row>
    <row r="78" spans="1:28" x14ac:dyDescent="0.25">
      <c r="A78" s="136" t="s">
        <v>100</v>
      </c>
      <c r="B78" s="137" t="s">
        <v>295</v>
      </c>
      <c r="C78" s="182"/>
      <c r="D78" s="128"/>
      <c r="E78" s="128"/>
      <c r="F78" s="128"/>
      <c r="G78" s="128"/>
      <c r="H78" s="128"/>
      <c r="I78" s="128"/>
      <c r="J78" s="128"/>
      <c r="K78" s="131"/>
      <c r="L78" s="176">
        <f t="shared" si="25"/>
        <v>0</v>
      </c>
      <c r="M78" s="196"/>
      <c r="N78" s="147"/>
      <c r="O78" s="147"/>
      <c r="P78" s="147"/>
      <c r="Q78" s="147"/>
      <c r="R78" s="147"/>
      <c r="S78" s="147"/>
      <c r="T78" s="147"/>
      <c r="U78" s="189"/>
      <c r="V78" s="176">
        <f t="shared" si="26"/>
        <v>0</v>
      </c>
      <c r="W78" s="204"/>
      <c r="X78" s="204"/>
      <c r="Y78" s="204"/>
      <c r="Z78" s="214">
        <f t="shared" si="24"/>
        <v>0</v>
      </c>
      <c r="AA78" s="215">
        <f t="shared" si="27"/>
        <v>0</v>
      </c>
    </row>
    <row r="79" spans="1:28" x14ac:dyDescent="0.25">
      <c r="A79" s="136" t="s">
        <v>108</v>
      </c>
      <c r="B79" s="137" t="s">
        <v>296</v>
      </c>
      <c r="C79" s="182"/>
      <c r="D79" s="128"/>
      <c r="E79" s="128"/>
      <c r="F79" s="128"/>
      <c r="G79" s="128"/>
      <c r="H79" s="128"/>
      <c r="I79" s="128"/>
      <c r="J79" s="128"/>
      <c r="K79" s="131"/>
      <c r="L79" s="176">
        <f t="shared" si="25"/>
        <v>0</v>
      </c>
      <c r="M79" s="196"/>
      <c r="N79" s="147"/>
      <c r="O79" s="147"/>
      <c r="P79" s="147"/>
      <c r="Q79" s="147"/>
      <c r="R79" s="147"/>
      <c r="S79" s="147"/>
      <c r="T79" s="147"/>
      <c r="U79" s="189"/>
      <c r="V79" s="176">
        <f t="shared" si="26"/>
        <v>0</v>
      </c>
      <c r="W79" s="204"/>
      <c r="X79" s="204"/>
      <c r="Y79" s="204"/>
      <c r="Z79" s="214">
        <f t="shared" si="24"/>
        <v>0</v>
      </c>
      <c r="AA79" s="215">
        <f t="shared" si="27"/>
        <v>0</v>
      </c>
    </row>
    <row r="80" spans="1:28" x14ac:dyDescent="0.25">
      <c r="A80" s="136" t="s">
        <v>109</v>
      </c>
      <c r="B80" s="137" t="s">
        <v>329</v>
      </c>
      <c r="C80" s="182"/>
      <c r="D80" s="128"/>
      <c r="E80" s="128"/>
      <c r="F80" s="128"/>
      <c r="G80" s="128"/>
      <c r="H80" s="128"/>
      <c r="I80" s="128"/>
      <c r="J80" s="128"/>
      <c r="K80" s="131"/>
      <c r="L80" s="176">
        <f t="shared" si="25"/>
        <v>0</v>
      </c>
      <c r="M80" s="196"/>
      <c r="N80" s="147"/>
      <c r="O80" s="147"/>
      <c r="P80" s="147"/>
      <c r="Q80" s="147"/>
      <c r="R80" s="147"/>
      <c r="S80" s="147"/>
      <c r="T80" s="147"/>
      <c r="U80" s="189"/>
      <c r="V80" s="176">
        <f t="shared" si="26"/>
        <v>0</v>
      </c>
      <c r="W80" s="204"/>
      <c r="X80" s="204"/>
      <c r="Y80" s="204"/>
      <c r="Z80" s="214">
        <f t="shared" si="24"/>
        <v>0</v>
      </c>
      <c r="AA80" s="215">
        <f t="shared" si="27"/>
        <v>0</v>
      </c>
    </row>
    <row r="81" spans="1:28" x14ac:dyDescent="0.25">
      <c r="A81" s="136" t="s">
        <v>124</v>
      </c>
      <c r="B81" s="137" t="s">
        <v>330</v>
      </c>
      <c r="C81" s="182"/>
      <c r="D81" s="128"/>
      <c r="E81" s="128"/>
      <c r="F81" s="128"/>
      <c r="G81" s="128"/>
      <c r="H81" s="128"/>
      <c r="I81" s="128"/>
      <c r="J81" s="128"/>
      <c r="K81" s="131"/>
      <c r="L81" s="176">
        <f t="shared" si="25"/>
        <v>0</v>
      </c>
      <c r="M81" s="196"/>
      <c r="N81" s="147"/>
      <c r="O81" s="147"/>
      <c r="P81" s="147"/>
      <c r="Q81" s="147"/>
      <c r="R81" s="147"/>
      <c r="S81" s="147"/>
      <c r="T81" s="147"/>
      <c r="U81" s="189"/>
      <c r="V81" s="176">
        <f t="shared" si="26"/>
        <v>0</v>
      </c>
      <c r="W81" s="204"/>
      <c r="X81" s="204"/>
      <c r="Y81" s="204"/>
      <c r="Z81" s="214">
        <f t="shared" si="24"/>
        <v>0</v>
      </c>
      <c r="AA81" s="215">
        <f t="shared" si="27"/>
        <v>0</v>
      </c>
    </row>
    <row r="82" spans="1:28" x14ac:dyDescent="0.25">
      <c r="A82" s="136" t="s">
        <v>126</v>
      </c>
      <c r="B82" s="137" t="s">
        <v>331</v>
      </c>
      <c r="C82" s="182"/>
      <c r="D82" s="128"/>
      <c r="E82" s="128"/>
      <c r="F82" s="128"/>
      <c r="G82" s="128"/>
      <c r="H82" s="128"/>
      <c r="I82" s="128"/>
      <c r="J82" s="128"/>
      <c r="K82" s="131"/>
      <c r="L82" s="176">
        <f t="shared" si="25"/>
        <v>0</v>
      </c>
      <c r="M82" s="196"/>
      <c r="N82" s="147"/>
      <c r="O82" s="147"/>
      <c r="P82" s="147"/>
      <c r="Q82" s="147"/>
      <c r="R82" s="147"/>
      <c r="S82" s="147"/>
      <c r="T82" s="147"/>
      <c r="U82" s="189"/>
      <c r="V82" s="176">
        <f t="shared" si="26"/>
        <v>0</v>
      </c>
      <c r="W82" s="204"/>
      <c r="X82" s="204"/>
      <c r="Y82" s="204"/>
      <c r="Z82" s="214">
        <f t="shared" si="24"/>
        <v>0</v>
      </c>
      <c r="AA82" s="215">
        <f t="shared" si="27"/>
        <v>0</v>
      </c>
    </row>
    <row r="83" spans="1:28" x14ac:dyDescent="0.25">
      <c r="A83" s="136" t="s">
        <v>132</v>
      </c>
      <c r="B83" s="137" t="s">
        <v>298</v>
      </c>
      <c r="C83" s="182"/>
      <c r="D83" s="128"/>
      <c r="E83" s="128"/>
      <c r="F83" s="128"/>
      <c r="G83" s="128"/>
      <c r="H83" s="128"/>
      <c r="I83" s="128"/>
      <c r="J83" s="128"/>
      <c r="K83" s="131"/>
      <c r="L83" s="176">
        <f t="shared" si="25"/>
        <v>0</v>
      </c>
      <c r="M83" s="196"/>
      <c r="N83" s="147"/>
      <c r="O83" s="147"/>
      <c r="P83" s="147"/>
      <c r="Q83" s="147"/>
      <c r="R83" s="147"/>
      <c r="S83" s="147"/>
      <c r="T83" s="147"/>
      <c r="U83" s="189"/>
      <c r="V83" s="176">
        <f t="shared" si="26"/>
        <v>0</v>
      </c>
      <c r="W83" s="204"/>
      <c r="X83" s="204"/>
      <c r="Y83" s="204"/>
      <c r="Z83" s="214">
        <f t="shared" si="24"/>
        <v>0</v>
      </c>
      <c r="AA83" s="215">
        <f t="shared" si="27"/>
        <v>0</v>
      </c>
    </row>
    <row r="84" spans="1:28" x14ac:dyDescent="0.25">
      <c r="A84" s="136" t="s">
        <v>137</v>
      </c>
      <c r="B84" s="137" t="s">
        <v>299</v>
      </c>
      <c r="C84" s="182"/>
      <c r="D84" s="128"/>
      <c r="E84" s="128"/>
      <c r="F84" s="128"/>
      <c r="G84" s="128"/>
      <c r="H84" s="128"/>
      <c r="I84" s="128"/>
      <c r="J84" s="128"/>
      <c r="K84" s="131"/>
      <c r="L84" s="176">
        <f t="shared" si="25"/>
        <v>0</v>
      </c>
      <c r="M84" s="196"/>
      <c r="N84" s="147"/>
      <c r="O84" s="147"/>
      <c r="P84" s="147"/>
      <c r="Q84" s="147"/>
      <c r="R84" s="147"/>
      <c r="S84" s="147"/>
      <c r="T84" s="147"/>
      <c r="U84" s="189"/>
      <c r="V84" s="176">
        <f t="shared" si="26"/>
        <v>0</v>
      </c>
      <c r="W84" s="204"/>
      <c r="X84" s="204"/>
      <c r="Y84" s="204"/>
      <c r="Z84" s="214">
        <f t="shared" si="24"/>
        <v>0</v>
      </c>
      <c r="AA84" s="215">
        <f t="shared" si="27"/>
        <v>0</v>
      </c>
    </row>
    <row r="85" spans="1:28" x14ac:dyDescent="0.25">
      <c r="A85" s="136" t="s">
        <v>148</v>
      </c>
      <c r="B85" s="137" t="s">
        <v>300</v>
      </c>
      <c r="C85" s="182"/>
      <c r="D85" s="128"/>
      <c r="E85" s="128"/>
      <c r="F85" s="128"/>
      <c r="G85" s="128"/>
      <c r="H85" s="128"/>
      <c r="I85" s="128"/>
      <c r="J85" s="128"/>
      <c r="K85" s="131"/>
      <c r="L85" s="176">
        <f t="shared" si="25"/>
        <v>0</v>
      </c>
      <c r="M85" s="196"/>
      <c r="N85" s="147"/>
      <c r="O85" s="147"/>
      <c r="P85" s="147"/>
      <c r="Q85" s="147"/>
      <c r="R85" s="147"/>
      <c r="S85" s="147"/>
      <c r="T85" s="147"/>
      <c r="U85" s="189"/>
      <c r="V85" s="176">
        <f t="shared" si="26"/>
        <v>0</v>
      </c>
      <c r="W85" s="204"/>
      <c r="X85" s="204"/>
      <c r="Y85" s="204"/>
      <c r="Z85" s="214">
        <f t="shared" si="24"/>
        <v>0</v>
      </c>
      <c r="AA85" s="215">
        <f t="shared" si="27"/>
        <v>0</v>
      </c>
    </row>
    <row r="86" spans="1:28" x14ac:dyDescent="0.25">
      <c r="A86" s="136" t="s">
        <v>169</v>
      </c>
      <c r="B86" s="137" t="s">
        <v>301</v>
      </c>
      <c r="C86" s="182"/>
      <c r="D86" s="128"/>
      <c r="E86" s="128"/>
      <c r="F86" s="128"/>
      <c r="G86" s="128"/>
      <c r="H86" s="128"/>
      <c r="I86" s="128"/>
      <c r="J86" s="128"/>
      <c r="K86" s="131"/>
      <c r="L86" s="176">
        <f t="shared" si="25"/>
        <v>0</v>
      </c>
      <c r="M86" s="196"/>
      <c r="N86" s="147"/>
      <c r="O86" s="147"/>
      <c r="P86" s="147"/>
      <c r="Q86" s="147"/>
      <c r="R86" s="147"/>
      <c r="S86" s="147"/>
      <c r="T86" s="147"/>
      <c r="U86" s="189"/>
      <c r="V86" s="176">
        <f t="shared" si="26"/>
        <v>0</v>
      </c>
      <c r="W86" s="205"/>
      <c r="X86" s="204"/>
      <c r="Y86" s="204"/>
      <c r="Z86" s="214">
        <f t="shared" si="24"/>
        <v>0</v>
      </c>
      <c r="AA86" s="215">
        <f t="shared" si="27"/>
        <v>0</v>
      </c>
    </row>
    <row r="87" spans="1:28" x14ac:dyDescent="0.25">
      <c r="A87" s="136" t="s">
        <v>172</v>
      </c>
      <c r="B87" s="137" t="s">
        <v>333</v>
      </c>
      <c r="C87" s="182"/>
      <c r="D87" s="128"/>
      <c r="E87" s="128"/>
      <c r="F87" s="128"/>
      <c r="G87" s="128"/>
      <c r="H87" s="128"/>
      <c r="I87" s="128"/>
      <c r="J87" s="128"/>
      <c r="K87" s="131"/>
      <c r="L87" s="176">
        <f t="shared" si="25"/>
        <v>0</v>
      </c>
      <c r="M87" s="196"/>
      <c r="N87" s="147"/>
      <c r="O87" s="147"/>
      <c r="P87" s="147"/>
      <c r="Q87" s="147"/>
      <c r="R87" s="147"/>
      <c r="S87" s="147"/>
      <c r="T87" s="147"/>
      <c r="U87" s="189"/>
      <c r="V87" s="176">
        <f t="shared" si="26"/>
        <v>0</v>
      </c>
      <c r="W87" s="206"/>
      <c r="X87" s="209"/>
      <c r="Y87" s="209"/>
      <c r="Z87" s="214">
        <f t="shared" si="24"/>
        <v>0</v>
      </c>
      <c r="AA87" s="215">
        <f t="shared" si="27"/>
        <v>0</v>
      </c>
    </row>
    <row r="88" spans="1:28" ht="13.8" thickBot="1" x14ac:dyDescent="0.3">
      <c r="A88" s="136" t="s">
        <v>175</v>
      </c>
      <c r="B88" s="137" t="s">
        <v>334</v>
      </c>
      <c r="C88" s="183"/>
      <c r="D88" s="130"/>
      <c r="E88" s="130"/>
      <c r="F88" s="130"/>
      <c r="G88" s="130"/>
      <c r="H88" s="130"/>
      <c r="I88" s="130"/>
      <c r="J88" s="130"/>
      <c r="K88" s="144"/>
      <c r="L88" s="184">
        <f t="shared" si="25"/>
        <v>0</v>
      </c>
      <c r="M88" s="200"/>
      <c r="N88" s="160"/>
      <c r="O88" s="160"/>
      <c r="P88" s="160"/>
      <c r="Q88" s="160"/>
      <c r="R88" s="160"/>
      <c r="S88" s="160"/>
      <c r="T88" s="160"/>
      <c r="U88" s="193"/>
      <c r="V88" s="184">
        <f t="shared" si="26"/>
        <v>0</v>
      </c>
      <c r="W88" s="209"/>
      <c r="X88" s="209"/>
      <c r="Y88" s="209"/>
      <c r="Z88" s="214">
        <f t="shared" si="24"/>
        <v>0</v>
      </c>
      <c r="AA88" s="215">
        <f t="shared" si="27"/>
        <v>0</v>
      </c>
    </row>
    <row r="89" spans="1:28" s="109" customFormat="1" ht="14.4" thickBot="1" x14ac:dyDescent="0.3">
      <c r="A89" s="134"/>
      <c r="B89" s="159" t="s">
        <v>461</v>
      </c>
      <c r="C89" s="179">
        <f t="shared" ref="C89:AA89" si="28">SUM(C73:C88)</f>
        <v>0</v>
      </c>
      <c r="D89" s="157">
        <f t="shared" si="28"/>
        <v>0</v>
      </c>
      <c r="E89" s="157">
        <f t="shared" si="28"/>
        <v>0</v>
      </c>
      <c r="F89" s="157">
        <f t="shared" si="28"/>
        <v>0</v>
      </c>
      <c r="G89" s="157">
        <f t="shared" si="28"/>
        <v>0</v>
      </c>
      <c r="H89" s="157">
        <f t="shared" si="28"/>
        <v>0</v>
      </c>
      <c r="I89" s="157">
        <f t="shared" si="28"/>
        <v>0</v>
      </c>
      <c r="J89" s="157">
        <f t="shared" si="28"/>
        <v>0</v>
      </c>
      <c r="K89" s="166">
        <f t="shared" si="28"/>
        <v>0</v>
      </c>
      <c r="L89" s="180">
        <f t="shared" si="28"/>
        <v>0</v>
      </c>
      <c r="M89" s="198">
        <f t="shared" si="28"/>
        <v>0</v>
      </c>
      <c r="N89" s="158">
        <f t="shared" si="28"/>
        <v>0</v>
      </c>
      <c r="O89" s="158">
        <f t="shared" si="28"/>
        <v>0</v>
      </c>
      <c r="P89" s="158">
        <f t="shared" si="28"/>
        <v>0</v>
      </c>
      <c r="Q89" s="158">
        <f t="shared" si="28"/>
        <v>0</v>
      </c>
      <c r="R89" s="158">
        <f t="shared" si="28"/>
        <v>0</v>
      </c>
      <c r="S89" s="158">
        <f t="shared" si="28"/>
        <v>0</v>
      </c>
      <c r="T89" s="158">
        <f t="shared" si="28"/>
        <v>0</v>
      </c>
      <c r="U89" s="191">
        <f t="shared" si="28"/>
        <v>0</v>
      </c>
      <c r="V89" s="180">
        <f t="shared" si="28"/>
        <v>0</v>
      </c>
      <c r="W89" s="210">
        <f t="shared" si="28"/>
        <v>0</v>
      </c>
      <c r="X89" s="210">
        <f t="shared" si="28"/>
        <v>0</v>
      </c>
      <c r="Y89" s="210">
        <f t="shared" si="28"/>
        <v>0</v>
      </c>
      <c r="Z89" s="210">
        <f t="shared" si="28"/>
        <v>0</v>
      </c>
      <c r="AA89" s="210">
        <f t="shared" si="28"/>
        <v>0</v>
      </c>
    </row>
    <row r="90" spans="1:28" x14ac:dyDescent="0.25">
      <c r="A90" s="136" t="s">
        <v>67</v>
      </c>
      <c r="B90" s="137" t="s">
        <v>346</v>
      </c>
      <c r="C90" s="181"/>
      <c r="D90" s="155"/>
      <c r="E90" s="155"/>
      <c r="F90" s="155"/>
      <c r="G90" s="155"/>
      <c r="H90" s="155"/>
      <c r="I90" s="155"/>
      <c r="J90" s="155"/>
      <c r="K90" s="165"/>
      <c r="L90" s="174">
        <f t="shared" ref="L90:L105" si="29">SUM(C90:K90)</f>
        <v>0</v>
      </c>
      <c r="M90" s="199"/>
      <c r="N90" s="156"/>
      <c r="O90" s="156"/>
      <c r="P90" s="156"/>
      <c r="Q90" s="156"/>
      <c r="R90" s="156"/>
      <c r="S90" s="156"/>
      <c r="T90" s="156"/>
      <c r="U90" s="192"/>
      <c r="V90" s="174">
        <f t="shared" ref="V90:V105" si="30">SUM(M90:U90)</f>
        <v>0</v>
      </c>
      <c r="W90" s="211"/>
      <c r="X90" s="211"/>
      <c r="Y90" s="211"/>
      <c r="Z90" s="214">
        <f>L90+V90+W90+X90+Y90</f>
        <v>0</v>
      </c>
      <c r="AA90" s="215">
        <f t="shared" ref="AA90:AA103" si="31">C90+D90+F90+K90+M90+N90+P90+U90</f>
        <v>0</v>
      </c>
    </row>
    <row r="91" spans="1:28" x14ac:dyDescent="0.25">
      <c r="A91" s="136" t="s">
        <v>76</v>
      </c>
      <c r="B91" s="137" t="s">
        <v>290</v>
      </c>
      <c r="C91" s="182"/>
      <c r="D91" s="128"/>
      <c r="E91" s="128"/>
      <c r="F91" s="128"/>
      <c r="G91" s="128"/>
      <c r="H91" s="128"/>
      <c r="I91" s="128"/>
      <c r="J91" s="128"/>
      <c r="K91" s="131"/>
      <c r="L91" s="176">
        <f t="shared" si="29"/>
        <v>0</v>
      </c>
      <c r="M91" s="196"/>
      <c r="N91" s="147"/>
      <c r="O91" s="147"/>
      <c r="P91" s="147"/>
      <c r="Q91" s="147"/>
      <c r="R91" s="147"/>
      <c r="S91" s="147"/>
      <c r="T91" s="147"/>
      <c r="U91" s="189"/>
      <c r="V91" s="176">
        <f t="shared" si="30"/>
        <v>0</v>
      </c>
      <c r="W91" s="204"/>
      <c r="X91" s="204"/>
      <c r="Y91" s="204"/>
      <c r="Z91" s="214">
        <f t="shared" ref="Z91:Z105" si="32">L91+V91+W91+X91+Y91</f>
        <v>0</v>
      </c>
      <c r="AA91" s="215">
        <f t="shared" si="31"/>
        <v>0</v>
      </c>
      <c r="AB91" s="142">
        <f>L91+V91</f>
        <v>0</v>
      </c>
    </row>
    <row r="92" spans="1:28" x14ac:dyDescent="0.25">
      <c r="A92" s="136" t="s">
        <v>79</v>
      </c>
      <c r="B92" s="137" t="s">
        <v>347</v>
      </c>
      <c r="C92" s="182"/>
      <c r="D92" s="128"/>
      <c r="E92" s="128"/>
      <c r="F92" s="128"/>
      <c r="G92" s="128"/>
      <c r="H92" s="128"/>
      <c r="I92" s="128"/>
      <c r="J92" s="128"/>
      <c r="K92" s="131"/>
      <c r="L92" s="176">
        <f t="shared" si="29"/>
        <v>0</v>
      </c>
      <c r="M92" s="196"/>
      <c r="N92" s="147"/>
      <c r="O92" s="147"/>
      <c r="P92" s="147"/>
      <c r="Q92" s="147"/>
      <c r="R92" s="147"/>
      <c r="S92" s="147"/>
      <c r="T92" s="147"/>
      <c r="U92" s="189"/>
      <c r="V92" s="176">
        <f t="shared" si="30"/>
        <v>0</v>
      </c>
      <c r="W92" s="204"/>
      <c r="X92" s="204"/>
      <c r="Y92" s="204"/>
      <c r="Z92" s="214">
        <f t="shared" si="32"/>
        <v>0</v>
      </c>
      <c r="AA92" s="215">
        <f t="shared" si="31"/>
        <v>0</v>
      </c>
    </row>
    <row r="93" spans="1:28" x14ac:dyDescent="0.25">
      <c r="A93" s="136" t="s">
        <v>83</v>
      </c>
      <c r="B93" s="137" t="s">
        <v>291</v>
      </c>
      <c r="C93" s="182"/>
      <c r="D93" s="128"/>
      <c r="E93" s="128"/>
      <c r="F93" s="128"/>
      <c r="G93" s="128"/>
      <c r="H93" s="128"/>
      <c r="I93" s="128"/>
      <c r="J93" s="128"/>
      <c r="K93" s="131"/>
      <c r="L93" s="176">
        <f t="shared" si="29"/>
        <v>0</v>
      </c>
      <c r="M93" s="196"/>
      <c r="N93" s="147"/>
      <c r="O93" s="147"/>
      <c r="P93" s="147"/>
      <c r="Q93" s="147"/>
      <c r="R93" s="147"/>
      <c r="S93" s="147"/>
      <c r="T93" s="147"/>
      <c r="U93" s="189"/>
      <c r="V93" s="176">
        <f t="shared" si="30"/>
        <v>0</v>
      </c>
      <c r="W93" s="205"/>
      <c r="X93" s="204"/>
      <c r="Y93" s="204"/>
      <c r="Z93" s="214">
        <f t="shared" si="32"/>
        <v>0</v>
      </c>
      <c r="AA93" s="215">
        <f t="shared" si="31"/>
        <v>0</v>
      </c>
    </row>
    <row r="94" spans="1:28" x14ac:dyDescent="0.25">
      <c r="A94" s="136" t="s">
        <v>89</v>
      </c>
      <c r="B94" s="137" t="s">
        <v>348</v>
      </c>
      <c r="C94" s="182"/>
      <c r="D94" s="128"/>
      <c r="E94" s="128"/>
      <c r="F94" s="128"/>
      <c r="G94" s="128"/>
      <c r="H94" s="128"/>
      <c r="I94" s="128"/>
      <c r="J94" s="128"/>
      <c r="K94" s="131"/>
      <c r="L94" s="176">
        <f t="shared" si="29"/>
        <v>0</v>
      </c>
      <c r="M94" s="196"/>
      <c r="N94" s="147"/>
      <c r="O94" s="147"/>
      <c r="P94" s="147"/>
      <c r="Q94" s="147"/>
      <c r="R94" s="147"/>
      <c r="S94" s="147"/>
      <c r="T94" s="147"/>
      <c r="U94" s="189"/>
      <c r="V94" s="176">
        <f t="shared" si="30"/>
        <v>0</v>
      </c>
      <c r="W94" s="204"/>
      <c r="X94" s="204"/>
      <c r="Y94" s="204"/>
      <c r="Z94" s="214">
        <f t="shared" si="32"/>
        <v>0</v>
      </c>
      <c r="AA94" s="215">
        <f t="shared" si="31"/>
        <v>0</v>
      </c>
    </row>
    <row r="95" spans="1:28" x14ac:dyDescent="0.25">
      <c r="A95" s="136" t="s">
        <v>90</v>
      </c>
      <c r="B95" s="137" t="s">
        <v>349</v>
      </c>
      <c r="C95" s="182"/>
      <c r="D95" s="128"/>
      <c r="E95" s="128"/>
      <c r="F95" s="128"/>
      <c r="G95" s="128"/>
      <c r="H95" s="128"/>
      <c r="I95" s="128"/>
      <c r="J95" s="128"/>
      <c r="K95" s="131"/>
      <c r="L95" s="176">
        <f t="shared" si="29"/>
        <v>0</v>
      </c>
      <c r="M95" s="196"/>
      <c r="N95" s="147"/>
      <c r="O95" s="147"/>
      <c r="P95" s="147"/>
      <c r="Q95" s="147"/>
      <c r="R95" s="147"/>
      <c r="S95" s="147"/>
      <c r="T95" s="147"/>
      <c r="U95" s="189"/>
      <c r="V95" s="176">
        <f t="shared" si="30"/>
        <v>0</v>
      </c>
      <c r="W95" s="204"/>
      <c r="X95" s="204"/>
      <c r="Y95" s="204"/>
      <c r="Z95" s="214">
        <f t="shared" si="32"/>
        <v>0</v>
      </c>
      <c r="AA95" s="215">
        <f t="shared" si="31"/>
        <v>0</v>
      </c>
    </row>
    <row r="96" spans="1:28" x14ac:dyDescent="0.25">
      <c r="A96" s="136" t="s">
        <v>93</v>
      </c>
      <c r="B96" s="137" t="s">
        <v>359</v>
      </c>
      <c r="C96" s="182"/>
      <c r="D96" s="128"/>
      <c r="E96" s="128"/>
      <c r="F96" s="128"/>
      <c r="G96" s="128"/>
      <c r="H96" s="128"/>
      <c r="I96" s="128"/>
      <c r="J96" s="128"/>
      <c r="K96" s="131"/>
      <c r="L96" s="176">
        <f t="shared" si="29"/>
        <v>0</v>
      </c>
      <c r="M96" s="196"/>
      <c r="N96" s="147"/>
      <c r="O96" s="147"/>
      <c r="P96" s="147"/>
      <c r="Q96" s="147"/>
      <c r="R96" s="147"/>
      <c r="S96" s="147"/>
      <c r="T96" s="147"/>
      <c r="U96" s="189"/>
      <c r="V96" s="176">
        <f t="shared" si="30"/>
        <v>0</v>
      </c>
      <c r="W96" s="204"/>
      <c r="X96" s="204"/>
      <c r="Y96" s="204"/>
      <c r="Z96" s="214">
        <f t="shared" si="32"/>
        <v>0</v>
      </c>
      <c r="AA96" s="215">
        <f t="shared" si="31"/>
        <v>0</v>
      </c>
    </row>
    <row r="97" spans="1:28" x14ac:dyDescent="0.25">
      <c r="A97" s="136" t="s">
        <v>97</v>
      </c>
      <c r="B97" s="137" t="s">
        <v>294</v>
      </c>
      <c r="C97" s="182"/>
      <c r="D97" s="128"/>
      <c r="E97" s="128"/>
      <c r="F97" s="128"/>
      <c r="G97" s="128"/>
      <c r="H97" s="128"/>
      <c r="I97" s="128"/>
      <c r="J97" s="128"/>
      <c r="K97" s="131"/>
      <c r="L97" s="176">
        <f t="shared" si="29"/>
        <v>0</v>
      </c>
      <c r="M97" s="196"/>
      <c r="N97" s="147"/>
      <c r="O97" s="147"/>
      <c r="P97" s="147"/>
      <c r="Q97" s="147"/>
      <c r="R97" s="147"/>
      <c r="S97" s="147"/>
      <c r="T97" s="147"/>
      <c r="U97" s="189"/>
      <c r="V97" s="176">
        <f t="shared" si="30"/>
        <v>0</v>
      </c>
      <c r="W97" s="204"/>
      <c r="X97" s="204"/>
      <c r="Y97" s="204"/>
      <c r="Z97" s="214">
        <f t="shared" si="32"/>
        <v>0</v>
      </c>
      <c r="AA97" s="215">
        <f t="shared" si="31"/>
        <v>0</v>
      </c>
    </row>
    <row r="98" spans="1:28" x14ac:dyDescent="0.25">
      <c r="A98" s="136" t="s">
        <v>125</v>
      </c>
      <c r="B98" s="137" t="s">
        <v>350</v>
      </c>
      <c r="C98" s="182"/>
      <c r="D98" s="128"/>
      <c r="E98" s="128"/>
      <c r="F98" s="128"/>
      <c r="G98" s="128"/>
      <c r="H98" s="128"/>
      <c r="I98" s="128"/>
      <c r="J98" s="128"/>
      <c r="K98" s="131"/>
      <c r="L98" s="176">
        <f t="shared" si="29"/>
        <v>0</v>
      </c>
      <c r="M98" s="196"/>
      <c r="N98" s="147"/>
      <c r="O98" s="147"/>
      <c r="P98" s="147"/>
      <c r="Q98" s="147"/>
      <c r="R98" s="147"/>
      <c r="S98" s="147"/>
      <c r="T98" s="147"/>
      <c r="U98" s="189"/>
      <c r="V98" s="176">
        <f t="shared" si="30"/>
        <v>0</v>
      </c>
      <c r="W98" s="204"/>
      <c r="X98" s="204"/>
      <c r="Y98" s="204"/>
      <c r="Z98" s="214">
        <f t="shared" si="32"/>
        <v>0</v>
      </c>
      <c r="AA98" s="215">
        <f t="shared" si="31"/>
        <v>0</v>
      </c>
    </row>
    <row r="99" spans="1:28" x14ac:dyDescent="0.25">
      <c r="A99" s="136" t="s">
        <v>135</v>
      </c>
      <c r="B99" s="137" t="s">
        <v>351</v>
      </c>
      <c r="C99" s="182"/>
      <c r="D99" s="128"/>
      <c r="E99" s="128"/>
      <c r="F99" s="128"/>
      <c r="G99" s="128"/>
      <c r="H99" s="128"/>
      <c r="I99" s="128"/>
      <c r="J99" s="128"/>
      <c r="K99" s="131"/>
      <c r="L99" s="176">
        <f t="shared" si="29"/>
        <v>0</v>
      </c>
      <c r="M99" s="196"/>
      <c r="N99" s="147"/>
      <c r="O99" s="147"/>
      <c r="P99" s="147"/>
      <c r="Q99" s="147"/>
      <c r="R99" s="147"/>
      <c r="S99" s="147"/>
      <c r="T99" s="147"/>
      <c r="U99" s="189"/>
      <c r="V99" s="176">
        <f t="shared" si="30"/>
        <v>0</v>
      </c>
      <c r="W99" s="204"/>
      <c r="X99" s="204"/>
      <c r="Y99" s="204"/>
      <c r="Z99" s="214">
        <f t="shared" si="32"/>
        <v>0</v>
      </c>
      <c r="AA99" s="215">
        <f t="shared" si="31"/>
        <v>0</v>
      </c>
    </row>
    <row r="100" spans="1:28" x14ac:dyDescent="0.25">
      <c r="A100" s="136" t="s">
        <v>144</v>
      </c>
      <c r="B100" s="137" t="s">
        <v>352</v>
      </c>
      <c r="C100" s="182"/>
      <c r="D100" s="128"/>
      <c r="E100" s="128"/>
      <c r="F100" s="128"/>
      <c r="G100" s="128"/>
      <c r="H100" s="128"/>
      <c r="I100" s="128"/>
      <c r="J100" s="128"/>
      <c r="K100" s="131"/>
      <c r="L100" s="176">
        <f t="shared" si="29"/>
        <v>0</v>
      </c>
      <c r="M100" s="196"/>
      <c r="N100" s="147"/>
      <c r="O100" s="147"/>
      <c r="P100" s="147"/>
      <c r="Q100" s="147"/>
      <c r="R100" s="147"/>
      <c r="S100" s="147"/>
      <c r="T100" s="147"/>
      <c r="U100" s="189"/>
      <c r="V100" s="176">
        <f t="shared" si="30"/>
        <v>0</v>
      </c>
      <c r="W100" s="204"/>
      <c r="X100" s="204"/>
      <c r="Y100" s="204"/>
      <c r="Z100" s="214">
        <f t="shared" si="32"/>
        <v>0</v>
      </c>
      <c r="AA100" s="215">
        <f t="shared" si="31"/>
        <v>0</v>
      </c>
    </row>
    <row r="101" spans="1:28" x14ac:dyDescent="0.25">
      <c r="A101" s="136" t="s">
        <v>176</v>
      </c>
      <c r="B101" s="137" t="s">
        <v>354</v>
      </c>
      <c r="C101" s="182"/>
      <c r="D101" s="128"/>
      <c r="E101" s="128"/>
      <c r="F101" s="128"/>
      <c r="G101" s="128"/>
      <c r="H101" s="128"/>
      <c r="I101" s="128"/>
      <c r="J101" s="128"/>
      <c r="K101" s="131"/>
      <c r="L101" s="176">
        <f t="shared" si="29"/>
        <v>0</v>
      </c>
      <c r="M101" s="196"/>
      <c r="N101" s="147"/>
      <c r="O101" s="147"/>
      <c r="P101" s="147"/>
      <c r="Q101" s="147"/>
      <c r="R101" s="147"/>
      <c r="S101" s="147"/>
      <c r="T101" s="147"/>
      <c r="U101" s="189"/>
      <c r="V101" s="176">
        <f t="shared" si="30"/>
        <v>0</v>
      </c>
      <c r="W101" s="204"/>
      <c r="X101" s="204"/>
      <c r="Y101" s="204"/>
      <c r="Z101" s="214">
        <f t="shared" si="32"/>
        <v>0</v>
      </c>
      <c r="AA101" s="215">
        <f t="shared" si="31"/>
        <v>0</v>
      </c>
    </row>
    <row r="102" spans="1:28" x14ac:dyDescent="0.25">
      <c r="A102" s="136" t="s">
        <v>363</v>
      </c>
      <c r="B102" s="137" t="s">
        <v>303</v>
      </c>
      <c r="C102" s="182"/>
      <c r="D102" s="128"/>
      <c r="E102" s="128"/>
      <c r="F102" s="128"/>
      <c r="G102" s="128"/>
      <c r="H102" s="128"/>
      <c r="I102" s="128"/>
      <c r="J102" s="128"/>
      <c r="K102" s="131"/>
      <c r="L102" s="176">
        <f t="shared" si="29"/>
        <v>0</v>
      </c>
      <c r="M102" s="196"/>
      <c r="N102" s="147"/>
      <c r="O102" s="147"/>
      <c r="P102" s="147"/>
      <c r="Q102" s="147"/>
      <c r="R102" s="147"/>
      <c r="S102" s="147"/>
      <c r="T102" s="147"/>
      <c r="U102" s="189"/>
      <c r="V102" s="176">
        <f t="shared" si="30"/>
        <v>0</v>
      </c>
      <c r="W102" s="204">
        <v>-20507</v>
      </c>
      <c r="X102" s="204"/>
      <c r="Y102" s="204"/>
      <c r="Z102" s="214">
        <f t="shared" si="32"/>
        <v>-20507</v>
      </c>
      <c r="AA102" s="215">
        <f t="shared" si="31"/>
        <v>0</v>
      </c>
      <c r="AB102" s="511" t="s">
        <v>498</v>
      </c>
    </row>
    <row r="103" spans="1:28" x14ac:dyDescent="0.25">
      <c r="A103" s="136" t="s">
        <v>177</v>
      </c>
      <c r="B103" s="137" t="s">
        <v>302</v>
      </c>
      <c r="C103" s="182"/>
      <c r="D103" s="128"/>
      <c r="E103" s="128"/>
      <c r="F103" s="128"/>
      <c r="G103" s="128"/>
      <c r="H103" s="128"/>
      <c r="I103" s="128"/>
      <c r="J103" s="128"/>
      <c r="K103" s="131"/>
      <c r="L103" s="176">
        <f t="shared" si="29"/>
        <v>0</v>
      </c>
      <c r="M103" s="196"/>
      <c r="N103" s="147"/>
      <c r="O103" s="147"/>
      <c r="P103" s="147"/>
      <c r="Q103" s="147"/>
      <c r="R103" s="147"/>
      <c r="S103" s="147"/>
      <c r="T103" s="147"/>
      <c r="U103" s="189"/>
      <c r="V103" s="176">
        <f t="shared" si="30"/>
        <v>0</v>
      </c>
      <c r="W103" s="204"/>
      <c r="X103" s="204"/>
      <c r="Y103" s="204"/>
      <c r="Z103" s="214">
        <f t="shared" si="32"/>
        <v>0</v>
      </c>
      <c r="AA103" s="215">
        <f t="shared" si="31"/>
        <v>0</v>
      </c>
    </row>
    <row r="104" spans="1:28" x14ac:dyDescent="0.25">
      <c r="A104" s="136" t="s">
        <v>178</v>
      </c>
      <c r="B104" s="137" t="s">
        <v>304</v>
      </c>
      <c r="C104" s="182"/>
      <c r="D104" s="128"/>
      <c r="E104" s="128"/>
      <c r="F104" s="128"/>
      <c r="G104" s="128"/>
      <c r="H104" s="128"/>
      <c r="I104" s="128"/>
      <c r="J104" s="128"/>
      <c r="K104" s="131"/>
      <c r="L104" s="176">
        <f t="shared" si="29"/>
        <v>0</v>
      </c>
      <c r="M104" s="196"/>
      <c r="N104" s="147"/>
      <c r="O104" s="147"/>
      <c r="P104" s="147"/>
      <c r="Q104" s="147"/>
      <c r="R104" s="147"/>
      <c r="S104" s="147"/>
      <c r="T104" s="147"/>
      <c r="U104" s="189"/>
      <c r="V104" s="176">
        <f t="shared" si="30"/>
        <v>0</v>
      </c>
      <c r="W104" s="209"/>
      <c r="X104" s="209"/>
      <c r="Y104" s="209"/>
      <c r="Z104" s="214">
        <f t="shared" si="32"/>
        <v>0</v>
      </c>
      <c r="AA104" s="217">
        <f>C104+D104+F104+K104+M104+N104+P104+U104</f>
        <v>0</v>
      </c>
    </row>
    <row r="105" spans="1:28" ht="13.8" thickBot="1" x14ac:dyDescent="0.3">
      <c r="A105" s="136" t="s">
        <v>190</v>
      </c>
      <c r="B105" s="143" t="s">
        <v>364</v>
      </c>
      <c r="C105" s="183"/>
      <c r="D105" s="130"/>
      <c r="E105" s="130"/>
      <c r="F105" s="130"/>
      <c r="G105" s="130"/>
      <c r="H105" s="130"/>
      <c r="I105" s="130"/>
      <c r="J105" s="130"/>
      <c r="K105" s="144"/>
      <c r="L105" s="184">
        <f t="shared" si="29"/>
        <v>0</v>
      </c>
      <c r="M105" s="200"/>
      <c r="N105" s="160"/>
      <c r="O105" s="160"/>
      <c r="P105" s="160"/>
      <c r="Q105" s="160"/>
      <c r="R105" s="160"/>
      <c r="S105" s="160"/>
      <c r="T105" s="160"/>
      <c r="U105" s="193"/>
      <c r="V105" s="178">
        <f t="shared" si="30"/>
        <v>0</v>
      </c>
      <c r="W105" s="209"/>
      <c r="X105" s="209"/>
      <c r="Y105" s="209"/>
      <c r="Z105" s="214">
        <f t="shared" si="32"/>
        <v>0</v>
      </c>
      <c r="AA105" s="217">
        <f>C105+D105+F105+K105+M105+N105+P105+U105</f>
        <v>0</v>
      </c>
    </row>
    <row r="106" spans="1:28" s="109" customFormat="1" ht="14.4" thickBot="1" x14ac:dyDescent="0.3">
      <c r="A106" s="134"/>
      <c r="B106" s="159" t="s">
        <v>462</v>
      </c>
      <c r="C106" s="185">
        <f t="shared" ref="C106:AA106" si="33">SUM(C90:C105)</f>
        <v>0</v>
      </c>
      <c r="D106" s="157">
        <f t="shared" si="33"/>
        <v>0</v>
      </c>
      <c r="E106" s="157">
        <f t="shared" si="33"/>
        <v>0</v>
      </c>
      <c r="F106" s="157">
        <f t="shared" si="33"/>
        <v>0</v>
      </c>
      <c r="G106" s="157">
        <f t="shared" si="33"/>
        <v>0</v>
      </c>
      <c r="H106" s="157">
        <f t="shared" si="33"/>
        <v>0</v>
      </c>
      <c r="I106" s="157">
        <f t="shared" si="33"/>
        <v>0</v>
      </c>
      <c r="J106" s="157">
        <f t="shared" si="33"/>
        <v>0</v>
      </c>
      <c r="K106" s="166">
        <f t="shared" si="33"/>
        <v>0</v>
      </c>
      <c r="L106" s="180">
        <f t="shared" ref="L106" si="34">SUM(L90:L105)</f>
        <v>0</v>
      </c>
      <c r="M106" s="198">
        <f t="shared" si="33"/>
        <v>0</v>
      </c>
      <c r="N106" s="158">
        <f t="shared" si="33"/>
        <v>0</v>
      </c>
      <c r="O106" s="158">
        <f t="shared" si="33"/>
        <v>0</v>
      </c>
      <c r="P106" s="158">
        <f t="shared" si="33"/>
        <v>0</v>
      </c>
      <c r="Q106" s="158">
        <f t="shared" si="33"/>
        <v>0</v>
      </c>
      <c r="R106" s="158">
        <f t="shared" si="33"/>
        <v>0</v>
      </c>
      <c r="S106" s="158">
        <f t="shared" si="33"/>
        <v>0</v>
      </c>
      <c r="T106" s="158">
        <f t="shared" si="33"/>
        <v>0</v>
      </c>
      <c r="U106" s="158">
        <f t="shared" si="33"/>
        <v>0</v>
      </c>
      <c r="V106" s="201">
        <f t="shared" si="33"/>
        <v>0</v>
      </c>
      <c r="W106" s="210">
        <f t="shared" si="33"/>
        <v>-20507</v>
      </c>
      <c r="X106" s="210">
        <f>SUM(X90:X105)</f>
        <v>0</v>
      </c>
      <c r="Y106" s="210">
        <f>SUM(Y90:Y105)</f>
        <v>0</v>
      </c>
      <c r="Z106" s="210">
        <f t="shared" si="33"/>
        <v>-20507</v>
      </c>
      <c r="AA106" s="210">
        <f t="shared" si="33"/>
        <v>0</v>
      </c>
    </row>
    <row r="107" spans="1:28" ht="18" thickBot="1" x14ac:dyDescent="0.35">
      <c r="A107" s="135"/>
      <c r="B107" s="169" t="s">
        <v>463</v>
      </c>
      <c r="C107" s="186">
        <f t="shared" ref="C107:AA107" si="35">C106+C89+C72+C55+C37+C23</f>
        <v>0</v>
      </c>
      <c r="D107" s="162">
        <f t="shared" si="35"/>
        <v>0</v>
      </c>
      <c r="E107" s="162">
        <f t="shared" si="35"/>
        <v>0</v>
      </c>
      <c r="F107" s="162">
        <f t="shared" si="35"/>
        <v>0</v>
      </c>
      <c r="G107" s="162">
        <f t="shared" si="35"/>
        <v>0</v>
      </c>
      <c r="H107" s="162">
        <f t="shared" si="35"/>
        <v>0</v>
      </c>
      <c r="I107" s="162">
        <f t="shared" si="35"/>
        <v>0</v>
      </c>
      <c r="J107" s="162">
        <f t="shared" si="35"/>
        <v>0</v>
      </c>
      <c r="K107" s="163">
        <f t="shared" si="35"/>
        <v>0</v>
      </c>
      <c r="L107" s="187">
        <f t="shared" si="35"/>
        <v>0</v>
      </c>
      <c r="M107" s="186">
        <f t="shared" si="35"/>
        <v>0</v>
      </c>
      <c r="N107" s="162">
        <f t="shared" si="35"/>
        <v>0</v>
      </c>
      <c r="O107" s="162">
        <f t="shared" si="35"/>
        <v>0</v>
      </c>
      <c r="P107" s="162">
        <f t="shared" si="35"/>
        <v>0</v>
      </c>
      <c r="Q107" s="162">
        <f t="shared" si="35"/>
        <v>0</v>
      </c>
      <c r="R107" s="162">
        <f t="shared" si="35"/>
        <v>0</v>
      </c>
      <c r="S107" s="162">
        <f t="shared" si="35"/>
        <v>0</v>
      </c>
      <c r="T107" s="162">
        <f t="shared" si="35"/>
        <v>0</v>
      </c>
      <c r="U107" s="163">
        <f t="shared" si="35"/>
        <v>0</v>
      </c>
      <c r="V107" s="187">
        <f t="shared" si="35"/>
        <v>0</v>
      </c>
      <c r="W107" s="212">
        <f t="shared" si="35"/>
        <v>-19553</v>
      </c>
      <c r="X107" s="212">
        <f t="shared" si="35"/>
        <v>4729</v>
      </c>
      <c r="Y107" s="212">
        <f t="shared" si="35"/>
        <v>722</v>
      </c>
      <c r="Z107" s="212">
        <f t="shared" si="35"/>
        <v>-14102</v>
      </c>
      <c r="AA107" s="212">
        <f t="shared" si="35"/>
        <v>0</v>
      </c>
    </row>
    <row r="109" spans="1:28" x14ac:dyDescent="0.25">
      <c r="C109">
        <f>C107</f>
        <v>0</v>
      </c>
      <c r="D109">
        <f t="shared" ref="D109:AA109" si="36">D107</f>
        <v>0</v>
      </c>
      <c r="E109">
        <f t="shared" si="36"/>
        <v>0</v>
      </c>
      <c r="F109">
        <f t="shared" si="36"/>
        <v>0</v>
      </c>
      <c r="G109">
        <f t="shared" si="36"/>
        <v>0</v>
      </c>
      <c r="H109">
        <f t="shared" si="36"/>
        <v>0</v>
      </c>
      <c r="I109">
        <f t="shared" si="36"/>
        <v>0</v>
      </c>
      <c r="J109">
        <f t="shared" si="36"/>
        <v>0</v>
      </c>
      <c r="K109">
        <f t="shared" si="36"/>
        <v>0</v>
      </c>
      <c r="L109">
        <f t="shared" si="36"/>
        <v>0</v>
      </c>
      <c r="M109">
        <f t="shared" si="36"/>
        <v>0</v>
      </c>
      <c r="N109">
        <f t="shared" si="36"/>
        <v>0</v>
      </c>
      <c r="O109">
        <f t="shared" si="36"/>
        <v>0</v>
      </c>
      <c r="P109">
        <f t="shared" si="36"/>
        <v>0</v>
      </c>
      <c r="Q109">
        <f t="shared" si="36"/>
        <v>0</v>
      </c>
      <c r="R109">
        <f t="shared" si="36"/>
        <v>0</v>
      </c>
      <c r="S109">
        <f t="shared" si="36"/>
        <v>0</v>
      </c>
      <c r="T109">
        <f t="shared" si="36"/>
        <v>0</v>
      </c>
      <c r="U109">
        <f t="shared" si="36"/>
        <v>0</v>
      </c>
      <c r="V109">
        <f t="shared" si="36"/>
        <v>0</v>
      </c>
      <c r="W109">
        <f t="shared" si="36"/>
        <v>-19553</v>
      </c>
      <c r="X109">
        <f t="shared" si="36"/>
        <v>4729</v>
      </c>
      <c r="Y109">
        <f t="shared" si="36"/>
        <v>722</v>
      </c>
      <c r="Z109">
        <f t="shared" si="36"/>
        <v>-14102</v>
      </c>
      <c r="AA109">
        <f t="shared" si="36"/>
        <v>0</v>
      </c>
    </row>
    <row r="112" spans="1:28" x14ac:dyDescent="0.25">
      <c r="V112" s="512" t="s">
        <v>498</v>
      </c>
      <c r="W112" t="s">
        <v>491</v>
      </c>
    </row>
    <row r="113" spans="22:29" x14ac:dyDescent="0.25">
      <c r="W113" t="s">
        <v>495</v>
      </c>
    </row>
    <row r="115" spans="22:29" x14ac:dyDescent="0.25">
      <c r="W115" s="109" t="s">
        <v>492</v>
      </c>
      <c r="X115" s="109"/>
    </row>
    <row r="116" spans="22:29" x14ac:dyDescent="0.25">
      <c r="W116" s="109" t="s">
        <v>493</v>
      </c>
      <c r="X116" s="109"/>
    </row>
    <row r="117" spans="22:29" x14ac:dyDescent="0.25">
      <c r="W117" s="505">
        <v>43040</v>
      </c>
      <c r="X117" s="505"/>
      <c r="Y117" s="504"/>
      <c r="Z117" s="504"/>
      <c r="AA117" s="504"/>
    </row>
    <row r="119" spans="22:29" x14ac:dyDescent="0.25">
      <c r="W119" t="s">
        <v>494</v>
      </c>
      <c r="X119" s="244">
        <v>45288.443181818198</v>
      </c>
    </row>
    <row r="120" spans="22:29" x14ac:dyDescent="0.25">
      <c r="W120" s="506" t="s">
        <v>496</v>
      </c>
      <c r="X120" s="507">
        <v>24781.142857142855</v>
      </c>
      <c r="Y120" s="244"/>
    </row>
    <row r="121" spans="22:29" x14ac:dyDescent="0.25">
      <c r="W121" s="506" t="s">
        <v>497</v>
      </c>
      <c r="X121" s="507">
        <v>-20507.3003246753</v>
      </c>
    </row>
    <row r="123" spans="22:29" x14ac:dyDescent="0.25">
      <c r="X123" s="244"/>
    </row>
    <row r="124" spans="22:29" x14ac:dyDescent="0.25">
      <c r="V124" s="512" t="s">
        <v>499</v>
      </c>
      <c r="W124" t="s">
        <v>500</v>
      </c>
    </row>
    <row r="125" spans="22:29" x14ac:dyDescent="0.25">
      <c r="W125" t="s">
        <v>495</v>
      </c>
    </row>
    <row r="127" spans="22:29" x14ac:dyDescent="0.25">
      <c r="W127" s="109" t="s">
        <v>508</v>
      </c>
      <c r="X127" s="109"/>
    </row>
    <row r="128" spans="22:29" ht="14.4" x14ac:dyDescent="0.25">
      <c r="W128" s="513"/>
      <c r="X128" s="514" t="s">
        <v>501</v>
      </c>
      <c r="Y128" s="514" t="s">
        <v>502</v>
      </c>
      <c r="Z128" s="514" t="s">
        <v>503</v>
      </c>
      <c r="AA128" s="513"/>
      <c r="AB128" s="513"/>
      <c r="AC128" s="513"/>
    </row>
    <row r="129" spans="23:29" ht="14.4" x14ac:dyDescent="0.25">
      <c r="W129" s="514" t="s">
        <v>504</v>
      </c>
      <c r="X129" s="515">
        <v>287</v>
      </c>
      <c r="Y129" s="515">
        <v>9</v>
      </c>
      <c r="Z129" s="515">
        <v>143</v>
      </c>
      <c r="AA129" s="513"/>
      <c r="AB129" s="513"/>
      <c r="AC129" s="513"/>
    </row>
    <row r="130" spans="23:29" ht="14.4" x14ac:dyDescent="0.25">
      <c r="W130" s="514" t="s">
        <v>505</v>
      </c>
      <c r="X130" s="515">
        <v>503</v>
      </c>
      <c r="Y130" s="515">
        <v>0</v>
      </c>
      <c r="Z130" s="515">
        <v>115</v>
      </c>
      <c r="AA130" s="513"/>
      <c r="AB130" s="513"/>
      <c r="AC130" s="513"/>
    </row>
    <row r="131" spans="23:29" ht="14.4" x14ac:dyDescent="0.25">
      <c r="W131" s="514" t="s">
        <v>506</v>
      </c>
      <c r="X131" s="515">
        <v>216</v>
      </c>
      <c r="Y131" s="515">
        <v>-9</v>
      </c>
      <c r="Z131" s="515">
        <v>-28</v>
      </c>
      <c r="AA131" s="516">
        <v>179</v>
      </c>
      <c r="AB131" s="517" t="s">
        <v>507</v>
      </c>
      <c r="AC131" s="513"/>
    </row>
    <row r="132" spans="23:29" x14ac:dyDescent="0.25">
      <c r="W132" s="513"/>
      <c r="X132" s="513"/>
      <c r="Y132" s="513"/>
      <c r="Z132" s="513"/>
      <c r="AA132" s="513"/>
      <c r="AB132" s="513"/>
      <c r="AC132" s="513"/>
    </row>
    <row r="133" spans="23:29" x14ac:dyDescent="0.25">
      <c r="W133" s="506"/>
      <c r="X133" s="507"/>
    </row>
  </sheetData>
  <mergeCells count="5">
    <mergeCell ref="B1:B3"/>
    <mergeCell ref="C4:L4"/>
    <mergeCell ref="M4:V4"/>
    <mergeCell ref="C1:Z1"/>
    <mergeCell ref="C2:Z2"/>
  </mergeCells>
  <conditionalFormatting sqref="W6:Y22 W24:Y36 W38:Y54 W56:Y71 W73:Y88">
    <cfRule type="cellIs" dxfId="7" priority="2" stopIfTrue="1" operator="notBetween">
      <formula>-2000</formula>
      <formula>2000</formula>
    </cfRule>
  </conditionalFormatting>
  <conditionalFormatting sqref="V3">
    <cfRule type="cellIs" dxfId="6" priority="5" stopIfTrue="1" operator="greaterThan">
      <formula>10</formula>
    </cfRule>
    <cfRule type="cellIs" dxfId="5" priority="6" stopIfTrue="1" operator="lessThan">
      <formula>10</formula>
    </cfRule>
  </conditionalFormatting>
  <conditionalFormatting sqref="W90:Y90 W92:Y105 X91:Y91">
    <cfRule type="cellIs" dxfId="4" priority="4" stopIfTrue="1" operator="notBetween">
      <formula>-2000</formula>
      <formula>2000</formula>
    </cfRule>
  </conditionalFormatting>
  <conditionalFormatting sqref="W18:Y18">
    <cfRule type="cellIs" dxfId="3" priority="3" stopIfTrue="1" operator="notBetween">
      <formula>-2000</formula>
      <formula>2000</formula>
    </cfRule>
  </conditionalFormatting>
  <conditionalFormatting sqref="W91">
    <cfRule type="cellIs" dxfId="2" priority="1" stopIfTrue="1" operator="notBetween">
      <formula>-2000</formula>
      <formula>2000</formula>
    </cfRule>
  </conditionalFormatting>
  <pageMargins left="0.7" right="0.7" top="0.75" bottom="0.75" header="0.3" footer="0.3"/>
  <ignoredErrors>
    <ignoredError sqref="V23:AA23 Z37:AA37 Z55:AA55 Z72:AA72 Z89:AA89 L9:L106 V22:Y22 AA22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pageSetUpPr fitToPage="1"/>
  </sheetPr>
  <dimension ref="A1:AL113"/>
  <sheetViews>
    <sheetView tabSelected="1" zoomScale="78" zoomScaleNormal="78" zoomScaleSheetLayoutView="50" workbookViewId="0">
      <pane xSplit="2" ySplit="5" topLeftCell="S70" activePane="bottomRight" state="frozen"/>
      <selection activeCell="W6" sqref="W6"/>
      <selection pane="topRight" activeCell="W6" sqref="W6"/>
      <selection pane="bottomLeft" activeCell="W6" sqref="W6"/>
      <selection pane="bottomRight" activeCell="Z113" sqref="Z113"/>
    </sheetView>
  </sheetViews>
  <sheetFormatPr defaultRowHeight="13.2" x14ac:dyDescent="0.25"/>
  <cols>
    <col min="1" max="1" width="6.33203125" hidden="1" customWidth="1"/>
    <col min="2" max="2" width="41.6640625" customWidth="1"/>
    <col min="3" max="3" width="15.5546875" bestFit="1" customWidth="1"/>
    <col min="4" max="5" width="13.109375" bestFit="1" customWidth="1"/>
    <col min="6" max="7" width="12.6640625" bestFit="1" customWidth="1"/>
    <col min="8" max="8" width="11.44140625" customWidth="1"/>
    <col min="9" max="9" width="13.5546875" customWidth="1"/>
    <col min="10" max="10" width="13.109375" bestFit="1" customWidth="1"/>
    <col min="11" max="11" width="14" customWidth="1"/>
    <col min="12" max="12" width="15.5546875" style="109" bestFit="1" customWidth="1"/>
    <col min="13" max="13" width="12.33203125" customWidth="1"/>
    <col min="14" max="15" width="13.109375" bestFit="1" customWidth="1"/>
    <col min="16" max="16" width="12.6640625" bestFit="1" customWidth="1"/>
    <col min="17" max="17" width="12.33203125" customWidth="1"/>
    <col min="18" max="18" width="11.5546875" bestFit="1" customWidth="1"/>
    <col min="19" max="19" width="10.109375" customWidth="1"/>
    <col min="20" max="20" width="11.5546875" bestFit="1" customWidth="1"/>
    <col min="21" max="21" width="14.109375" bestFit="1" customWidth="1"/>
    <col min="22" max="22" width="15.5546875" style="109" bestFit="1" customWidth="1"/>
    <col min="23" max="23" width="15.5546875" bestFit="1" customWidth="1"/>
    <col min="24" max="25" width="15.5546875" customWidth="1"/>
    <col min="26" max="27" width="15.5546875" bestFit="1" customWidth="1"/>
    <col min="28" max="28" width="5.88671875" customWidth="1"/>
    <col min="29" max="29" width="10.5546875" customWidth="1"/>
  </cols>
  <sheetData>
    <row r="1" spans="1:38" s="111" customFormat="1" ht="22.8" x14ac:dyDescent="0.35">
      <c r="B1" s="544"/>
      <c r="C1" s="546" t="s">
        <v>263</v>
      </c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6"/>
      <c r="S1" s="546"/>
      <c r="T1" s="546"/>
      <c r="U1" s="546"/>
      <c r="V1" s="546"/>
      <c r="W1" s="546"/>
      <c r="X1" s="546"/>
      <c r="Y1" s="546"/>
      <c r="Z1" s="546"/>
    </row>
    <row r="2" spans="1:38" s="111" customFormat="1" ht="22.8" x14ac:dyDescent="0.35">
      <c r="B2" s="544"/>
      <c r="C2" s="546" t="s">
        <v>489</v>
      </c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  <c r="O2" s="546"/>
      <c r="P2" s="546"/>
      <c r="Q2" s="546"/>
      <c r="R2" s="546"/>
      <c r="S2" s="546"/>
      <c r="T2" s="546"/>
      <c r="U2" s="546"/>
      <c r="V2" s="546"/>
      <c r="W2" s="546"/>
      <c r="X2" s="546"/>
      <c r="Y2" s="546"/>
      <c r="Z2" s="546"/>
    </row>
    <row r="3" spans="1:38" s="111" customFormat="1" ht="21" thickBot="1" x14ac:dyDescent="0.4">
      <c r="B3" s="545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38" ht="21" customHeight="1" thickTop="1" thickBot="1" x14ac:dyDescent="0.3">
      <c r="A4" s="148"/>
      <c r="B4" s="222"/>
      <c r="C4" s="556" t="s">
        <v>253</v>
      </c>
      <c r="D4" s="557"/>
      <c r="E4" s="557"/>
      <c r="F4" s="557"/>
      <c r="G4" s="557"/>
      <c r="H4" s="557"/>
      <c r="I4" s="557"/>
      <c r="J4" s="557"/>
      <c r="K4" s="557"/>
      <c r="L4" s="555"/>
      <c r="M4" s="556" t="s">
        <v>262</v>
      </c>
      <c r="N4" s="557"/>
      <c r="O4" s="557"/>
      <c r="P4" s="557"/>
      <c r="Q4" s="557"/>
      <c r="R4" s="557"/>
      <c r="S4" s="557"/>
      <c r="T4" s="557"/>
      <c r="U4" s="557"/>
      <c r="V4" s="555"/>
      <c r="W4" s="225"/>
      <c r="X4" s="225"/>
      <c r="Y4" s="225" t="s">
        <v>472</v>
      </c>
      <c r="Z4" s="225"/>
      <c r="AA4" s="225"/>
    </row>
    <row r="5" spans="1:38" ht="45" customHeight="1" thickBot="1" x14ac:dyDescent="0.3">
      <c r="A5" s="125" t="s">
        <v>360</v>
      </c>
      <c r="B5" s="221" t="s">
        <v>456</v>
      </c>
      <c r="C5" s="170" t="s">
        <v>254</v>
      </c>
      <c r="D5" s="149" t="s">
        <v>219</v>
      </c>
      <c r="E5" s="150" t="s">
        <v>255</v>
      </c>
      <c r="F5" s="151" t="s">
        <v>256</v>
      </c>
      <c r="G5" s="151" t="s">
        <v>257</v>
      </c>
      <c r="H5" s="151" t="s">
        <v>258</v>
      </c>
      <c r="I5" s="151" t="s">
        <v>259</v>
      </c>
      <c r="J5" s="151" t="s">
        <v>260</v>
      </c>
      <c r="K5" s="224" t="s">
        <v>261</v>
      </c>
      <c r="L5" s="223" t="s">
        <v>208</v>
      </c>
      <c r="M5" s="194" t="s">
        <v>254</v>
      </c>
      <c r="N5" s="149" t="s">
        <v>219</v>
      </c>
      <c r="O5" s="150" t="s">
        <v>255</v>
      </c>
      <c r="P5" s="151" t="s">
        <v>256</v>
      </c>
      <c r="Q5" s="151" t="s">
        <v>257</v>
      </c>
      <c r="R5" s="151" t="s">
        <v>258</v>
      </c>
      <c r="S5" s="151" t="s">
        <v>259</v>
      </c>
      <c r="T5" s="151" t="s">
        <v>260</v>
      </c>
      <c r="U5" s="152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  <c r="AC5" s="122"/>
      <c r="AD5" s="122"/>
      <c r="AE5" s="372"/>
      <c r="AF5" s="372"/>
      <c r="AG5" s="372"/>
      <c r="AH5" s="372"/>
      <c r="AI5" s="372"/>
      <c r="AJ5" s="372"/>
      <c r="AK5" s="372"/>
      <c r="AL5" s="122"/>
    </row>
    <row r="6" spans="1:38" x14ac:dyDescent="0.25">
      <c r="A6" s="117" t="s">
        <v>68</v>
      </c>
      <c r="B6" s="139" t="s">
        <v>268</v>
      </c>
      <c r="C6" s="220">
        <f>September!C6+October!C6+November!C6+December!C6+January!C6+February!C6+March!C6+April!C6+May!C6+June!C6+July!C6+August!C6+Adj!C6</f>
        <v>10506</v>
      </c>
      <c r="D6" s="220">
        <f>September!D6+October!D6+November!D6+December!D6+January!D6+February!D6+March!D6+April!D6+May!D6+June!D6+July!D6+August!D6+Adj!D6</f>
        <v>4467</v>
      </c>
      <c r="E6" s="220">
        <f>September!E6+October!E6+November!E6+December!E6+January!E6+February!E6+March!E6+April!E6+May!E6+June!E6+July!E6+August!E6+Adj!E6</f>
        <v>3647</v>
      </c>
      <c r="F6" s="220">
        <f>September!F6+October!F6+November!F6+December!F6+January!F6+February!F6+March!F6+April!F6+May!F6+June!F6+July!F6+August!F6+Adj!F6</f>
        <v>279</v>
      </c>
      <c r="G6" s="220">
        <f>September!G6+October!G6+November!G6+December!G6+January!G6+February!G6+March!G6+April!G6+May!G6+June!G6+July!G6+August!G6+Adj!G6</f>
        <v>207</v>
      </c>
      <c r="H6" s="220">
        <f>September!H6+October!H6+November!H6+December!H6+January!H6+February!H6+March!H6+April!H6+May!H6+June!H6+July!H6+August!H6+Adj!H6</f>
        <v>7</v>
      </c>
      <c r="I6" s="220">
        <f>September!I6+October!I6+November!I6+December!I6+January!I6+February!I6+March!I6+April!I6+May!I6+June!I6+July!I6+August!I6+Adj!I6</f>
        <v>83</v>
      </c>
      <c r="J6" s="220">
        <f>September!J6+October!J6+November!J6+December!J6+January!J6+February!J6+March!J6+April!J6+May!J6+June!J6+July!J6+August!J6+Adj!J6</f>
        <v>2194</v>
      </c>
      <c r="K6" s="220">
        <f>September!K6+October!K6+November!K6+December!K6+January!K6+February!K6+March!K6+April!K6+May!K6+June!K6+July!K6+August!K6+Adj!K6</f>
        <v>0</v>
      </c>
      <c r="L6" s="288">
        <f>September!L6+October!L6+November!L6+December!L6+January!L6+February!L6+March!L6+April!L6+May!L6+June!L6+July!L6+August!L6+Adj!L6</f>
        <v>21390</v>
      </c>
      <c r="M6" s="220">
        <f>September!M6+October!M6+November!M6+December!M6+January!M6+February!M6+March!M6+April!M6+May!M6+June!M6+July!M6+August!M6+Adj!M6</f>
        <v>169</v>
      </c>
      <c r="N6" s="220">
        <f>September!N6+October!N6+November!N6+December!N6+January!N6+February!N6+March!N6+April!N6+May!N6+June!N6+July!N6+August!N6+Adj!N6</f>
        <v>139</v>
      </c>
      <c r="O6" s="220">
        <f>September!O6+October!O6+November!O6+December!O6+January!O6+February!O6+March!O6+April!O6+May!O6+June!O6+July!O6+August!O6+Adj!O6</f>
        <v>60</v>
      </c>
      <c r="P6" s="220">
        <f>September!P6+October!P6+November!P6+December!P6+January!P6+February!P6+March!P6+April!P6+May!P6+June!P6+July!P6+August!P6+Adj!P6</f>
        <v>13</v>
      </c>
      <c r="Q6" s="220">
        <f>September!Q6+October!Q6+November!Q6+December!Q6+January!Q6+February!Q6+March!Q6+April!Q6+May!Q6+June!Q6+July!Q6+August!Q6+Adj!Q6</f>
        <v>0</v>
      </c>
      <c r="R6" s="220">
        <f>September!R6+October!R6+November!R6+December!R6+January!R6+February!R6+March!R6+April!R6+May!R6+June!R6+July!R6+August!R6+Adj!R6</f>
        <v>48</v>
      </c>
      <c r="S6" s="220">
        <f>September!S6+October!S6+November!S6+December!S6+January!S6+February!S6+March!S6+April!S6+May!S6+June!S6+July!S6+August!S6+Adj!S6</f>
        <v>0</v>
      </c>
      <c r="T6" s="343">
        <f>September!T6+October!T6+November!T6+December!T6+January!T6+February!T6+March!T6+April!T6+May!T6+June!T6+July!T6+August!T6+Adj!T6</f>
        <v>167</v>
      </c>
      <c r="U6" s="220">
        <f>September!U6+October!U6+November!U6+December!U6+January!U6+February!U6+March!U6+April!U6+May!U6+June!U6+July!U6+August!U6+Adj!U6</f>
        <v>0</v>
      </c>
      <c r="V6" s="288">
        <f>September!V6+October!V6+November!V6+December!V6+January!V6+February!V6+March!V6+April!V6+May!V6+June!V6+July!V6+August!V6+Adj!V6</f>
        <v>596</v>
      </c>
      <c r="W6" s="220">
        <f>September!W6+October!W6+November!W6+December!W6+January!W6+February!W6+March!W6+April!W6+May!W6+June!W6+July!W6+August!W6+Adj!W6</f>
        <v>9702</v>
      </c>
      <c r="X6" s="220">
        <f>September!X6+October!X6+November!X6+December!X6+January!X6+February!X6+March!X6+April!X6+May!X6+June!X6+July!X6+August!X6+Adj!X6</f>
        <v>0</v>
      </c>
      <c r="Y6" s="220">
        <f>September!Y6+October!Y6+November!Y6+December!Y6+January!Y6+February!Y6+March!Y6+April!Y6+May!Y6+June!Y6+July!Y6+August!Y6+Adj!Y6</f>
        <v>0</v>
      </c>
      <c r="Z6" s="220">
        <f>September!Z6+October!Z6+November!Z6+December!Z6+January!Z6+February!Z6+March!Z6+April!Z6+May!Z6+June!Z6+July!Z6+August!Z6+Adj!Z6</f>
        <v>31688</v>
      </c>
      <c r="AA6" s="220">
        <f>September!AA6+October!AA6+November!AA6+December!AA6+January!AA6+February!AA6+March!AA6+April!AA6+May!AA6+June!AA6+July!AA6+August!AA6+Adj!AA6</f>
        <v>15573</v>
      </c>
      <c r="AC6" s="122"/>
      <c r="AD6" s="122"/>
      <c r="AE6" s="122"/>
      <c r="AF6" s="122"/>
      <c r="AG6" s="122"/>
      <c r="AH6" s="122"/>
      <c r="AI6" s="122"/>
      <c r="AJ6" s="122"/>
      <c r="AK6" s="122"/>
      <c r="AL6" s="255"/>
    </row>
    <row r="7" spans="1:38" x14ac:dyDescent="0.25">
      <c r="A7" s="117" t="s">
        <v>69</v>
      </c>
      <c r="B7" s="137" t="s">
        <v>269</v>
      </c>
      <c r="C7" s="220">
        <f>September!C7+October!C7+November!C7+December!C7+January!C7+February!C7+March!C7+April!C7+May!C7+June!C7+July!C7+August!C7+Adj!C7</f>
        <v>6115</v>
      </c>
      <c r="D7" s="220">
        <f>September!D7+October!D7+November!D7+December!D7+January!D7+February!D7+March!D7+April!D7+May!D7+June!D7+July!D7+August!D7+Adj!D7</f>
        <v>3572</v>
      </c>
      <c r="E7" s="220">
        <f>September!E7+October!E7+November!E7+December!E7+January!E7+February!E7+March!E7+April!E7+May!E7+June!E7+July!E7+August!E7+Adj!E7</f>
        <v>755</v>
      </c>
      <c r="F7" s="220">
        <f>September!F7+October!F7+November!F7+December!F7+January!F7+February!F7+March!F7+April!F7+May!F7+June!F7+July!F7+August!F7+Adj!F7</f>
        <v>163</v>
      </c>
      <c r="G7" s="220">
        <f>September!G7+October!G7+November!G7+December!G7+January!G7+February!G7+March!G7+April!G7+May!G7+June!G7+July!G7+August!G7+Adj!G7</f>
        <v>86</v>
      </c>
      <c r="H7" s="220">
        <f>September!H7+October!H7+November!H7+December!H7+January!H7+February!H7+March!H7+April!H7+May!H7+June!H7+July!H7+August!H7+Adj!H7</f>
        <v>0</v>
      </c>
      <c r="I7" s="220">
        <f>September!I7+October!I7+November!I7+December!I7+January!I7+February!I7+March!I7+April!I7+May!I7+June!I7+July!I7+August!I7+Adj!I7</f>
        <v>565</v>
      </c>
      <c r="J7" s="220">
        <f>September!J7+October!J7+November!J7+December!J7+January!J7+February!J7+March!J7+April!J7+May!J7+June!J7+July!J7+August!J7+Adj!J7</f>
        <v>4450</v>
      </c>
      <c r="K7" s="220">
        <f>September!K7+October!K7+November!K7+December!K7+January!K7+February!K7+March!K7+April!K7+May!K7+June!K7+July!K7+August!K7+Adj!K7</f>
        <v>3</v>
      </c>
      <c r="L7" s="288">
        <f>September!L7+October!L7+November!L7+December!L7+January!L7+February!L7+March!L7+April!L7+May!L7+June!L7+July!L7+August!L7+Adj!L7</f>
        <v>15709</v>
      </c>
      <c r="M7" s="220">
        <f>September!M7+October!M7+November!M7+December!M7+January!M7+February!M7+March!M7+April!M7+May!M7+June!M7+July!M7+August!M7+Adj!M7</f>
        <v>2418</v>
      </c>
      <c r="N7" s="220">
        <f>September!N7+October!N7+November!N7+December!N7+January!N7+February!N7+March!N7+April!N7+May!N7+June!N7+July!N7+August!N7+Adj!N7</f>
        <v>1683</v>
      </c>
      <c r="O7" s="220">
        <f>September!O7+October!O7+November!O7+December!O7+January!O7+February!O7+March!O7+April!O7+May!O7+June!O7+July!O7+August!O7+Adj!O7</f>
        <v>591</v>
      </c>
      <c r="P7" s="220">
        <f>September!P7+October!P7+November!P7+December!P7+January!P7+February!P7+March!P7+April!P7+May!P7+June!P7+July!P7+August!P7+Adj!P7</f>
        <v>24</v>
      </c>
      <c r="Q7" s="220">
        <f>September!Q7+October!Q7+November!Q7+December!Q7+January!Q7+February!Q7+March!Q7+April!Q7+May!Q7+June!Q7+July!Q7+August!Q7+Adj!Q7</f>
        <v>31</v>
      </c>
      <c r="R7" s="220">
        <f>September!R7+October!R7+November!R7+December!R7+January!R7+February!R7+March!R7+April!R7+May!R7+June!R7+July!R7+August!R7+Adj!R7</f>
        <v>8</v>
      </c>
      <c r="S7" s="220">
        <f>September!S7+October!S7+November!S7+December!S7+January!S7+February!S7+March!S7+April!S7+May!S7+June!S7+July!S7+August!S7+Adj!S7</f>
        <v>141</v>
      </c>
      <c r="T7" s="343">
        <f>September!T7+October!T7+November!T7+December!T7+January!T7+February!T7+March!T7+April!T7+May!T7+June!T7+July!T7+August!T7+Adj!T7</f>
        <v>245</v>
      </c>
      <c r="U7" s="220">
        <f>September!U7+October!U7+November!U7+December!U7+January!U7+February!U7+March!U7+April!U7+May!U7+June!U7+July!U7+August!U7+Adj!U7</f>
        <v>0</v>
      </c>
      <c r="V7" s="288">
        <f>September!V7+October!V7+November!V7+December!V7+January!V7+February!V7+March!V7+April!V7+May!V7+June!V7+July!V7+August!V7+Adj!V7</f>
        <v>5141</v>
      </c>
      <c r="W7" s="220">
        <f>September!W7+October!W7+November!W7+December!W7+January!W7+February!W7+March!W7+April!W7+May!W7+June!W7+July!W7+August!W7+Adj!W7</f>
        <v>0</v>
      </c>
      <c r="X7" s="220">
        <f>September!X7+October!X7+November!X7+December!X7+January!X7+February!X7+March!X7+April!X7+May!X7+June!X7+July!X7+August!X7+Adj!X7</f>
        <v>6571</v>
      </c>
      <c r="Y7" s="220">
        <f>September!Y7+October!Y7+November!Y7+December!Y7+January!Y7+February!Y7+March!Y7+April!Y7+May!Y7+June!Y7+July!Y7+August!Y7+Adj!Y7</f>
        <v>990</v>
      </c>
      <c r="Z7" s="220">
        <f>September!Z7+October!Z7+November!Z7+December!Z7+January!Z7+February!Z7+March!Z7+April!Z7+May!Z7+June!Z7+July!Z7+August!Z7+Adj!Z7</f>
        <v>28411</v>
      </c>
      <c r="AA7" s="220">
        <f>September!AA7+October!AA7+November!AA7+December!AA7+January!AA7+February!AA7+March!AA7+April!AA7+May!AA7+June!AA7+July!AA7+August!AA7+Adj!AA7</f>
        <v>13978</v>
      </c>
      <c r="AC7" s="122"/>
      <c r="AD7" s="122"/>
      <c r="AE7" s="122"/>
      <c r="AF7" s="122"/>
      <c r="AG7" s="122"/>
      <c r="AH7" s="122"/>
      <c r="AI7" s="122"/>
      <c r="AJ7" s="122"/>
      <c r="AK7" s="122"/>
      <c r="AL7" s="255"/>
    </row>
    <row r="8" spans="1:38" x14ac:dyDescent="0.25">
      <c r="A8" s="117" t="s">
        <v>73</v>
      </c>
      <c r="B8" s="137" t="s">
        <v>270</v>
      </c>
      <c r="C8" s="220">
        <f>September!C8+October!C8+November!C8+December!C8+January!C8+February!C8+March!C8+April!C8+May!C8+June!C8+July!C8+August!C8+Adj!C8</f>
        <v>274</v>
      </c>
      <c r="D8" s="220">
        <f>September!D8+October!D8+November!D8+December!D8+January!D8+February!D8+March!D8+April!D8+May!D8+June!D8+July!D8+August!D8+Adj!D8</f>
        <v>182</v>
      </c>
      <c r="E8" s="220">
        <f>September!E8+October!E8+November!E8+December!E8+January!E8+February!E8+March!E8+April!E8+May!E8+June!E8+July!E8+August!E8+Adj!E8</f>
        <v>25</v>
      </c>
      <c r="F8" s="220">
        <f>September!F8+October!F8+November!F8+December!F8+January!F8+February!F8+March!F8+April!F8+May!F8+June!F8+July!F8+August!F8+Adj!F8</f>
        <v>9</v>
      </c>
      <c r="G8" s="220">
        <f>September!G8+October!G8+November!G8+December!G8+January!G8+February!G8+March!G8+April!G8+May!G8+June!G8+July!G8+August!G8+Adj!G8</f>
        <v>0</v>
      </c>
      <c r="H8" s="220">
        <f>September!H8+October!H8+November!H8+December!H8+January!H8+February!H8+March!H8+April!H8+May!H8+June!H8+July!H8+August!H8+Adj!H8</f>
        <v>0</v>
      </c>
      <c r="I8" s="220">
        <f>September!I8+October!I8+November!I8+December!I8+January!I8+February!I8+March!I8+April!I8+May!I8+June!I8+July!I8+August!I8+Adj!I8</f>
        <v>25</v>
      </c>
      <c r="J8" s="220">
        <f>September!J8+October!J8+November!J8+December!J8+January!J8+February!J8+March!J8+April!J8+May!J8+June!J8+July!J8+August!J8+Adj!J8</f>
        <v>182</v>
      </c>
      <c r="K8" s="220">
        <f>September!K8+October!K8+November!K8+December!K8+January!K8+February!K8+March!K8+April!K8+May!K8+June!K8+July!K8+August!K8+Adj!K8</f>
        <v>1</v>
      </c>
      <c r="L8" s="288">
        <f>September!L8+October!L8+November!L8+December!L8+January!L8+February!L8+March!L8+April!L8+May!L8+June!L8+July!L8+August!L8+Adj!L8</f>
        <v>698</v>
      </c>
      <c r="M8" s="220">
        <f>September!M8+October!M8+November!M8+December!M8+January!M8+February!M8+March!M8+April!M8+May!M8+June!M8+July!M8+August!M8+Adj!M8</f>
        <v>2739</v>
      </c>
      <c r="N8" s="220">
        <f>September!N8+October!N8+November!N8+December!N8+January!N8+February!N8+March!N8+April!N8+May!N8+June!N8+July!N8+August!N8+Adj!N8</f>
        <v>2684</v>
      </c>
      <c r="O8" s="220">
        <f>September!O8+October!O8+November!O8+December!O8+January!O8+February!O8+March!O8+April!O8+May!O8+June!O8+July!O8+August!O8+Adj!O8</f>
        <v>353</v>
      </c>
      <c r="P8" s="220">
        <f>September!P8+October!P8+November!P8+December!P8+January!P8+February!P8+March!P8+April!P8+May!P8+June!P8+July!P8+August!P8+Adj!P8</f>
        <v>93</v>
      </c>
      <c r="Q8" s="220">
        <f>September!Q8+October!Q8+November!Q8+December!Q8+January!Q8+February!Q8+March!Q8+April!Q8+May!Q8+June!Q8+July!Q8+August!Q8+Adj!Q8</f>
        <v>78</v>
      </c>
      <c r="R8" s="220">
        <f>September!R8+October!R8+November!R8+December!R8+January!R8+February!R8+March!R8+April!R8+May!R8+June!R8+July!R8+August!R8+Adj!R8</f>
        <v>0</v>
      </c>
      <c r="S8" s="220">
        <f>September!S8+October!S8+November!S8+December!S8+January!S8+February!S8+March!S8+April!S8+May!S8+June!S8+July!S8+August!S8+Adj!S8</f>
        <v>367</v>
      </c>
      <c r="T8" s="343">
        <f>September!T8+October!T8+November!T8+December!T8+January!T8+February!T8+March!T8+April!T8+May!T8+June!T8+July!T8+August!T8+Adj!T8</f>
        <v>568</v>
      </c>
      <c r="U8" s="220">
        <f>September!U8+October!U8+November!U8+December!U8+January!U8+February!U8+March!U8+April!U8+May!U8+June!U8+July!U8+August!U8+Adj!U8</f>
        <v>0</v>
      </c>
      <c r="V8" s="288">
        <f>September!V8+October!V8+November!V8+December!V8+January!V8+February!V8+March!V8+April!V8+May!V8+June!V8+July!V8+August!V8+Adj!V8</f>
        <v>6882</v>
      </c>
      <c r="W8" s="220">
        <f>September!W8+October!W8+November!W8+December!W8+January!W8+February!W8+March!W8+April!W8+May!W8+June!W8+July!W8+August!W8+Adj!W8</f>
        <v>0</v>
      </c>
      <c r="X8" s="220">
        <f>September!X8+October!X8+November!X8+December!X8+January!X8+February!X8+March!X8+April!X8+May!X8+June!X8+July!X8+August!X8+Adj!X8</f>
        <v>0</v>
      </c>
      <c r="Y8" s="220">
        <f>September!Y8+October!Y8+November!Y8+December!Y8+January!Y8+February!Y8+March!Y8+April!Y8+May!Y8+June!Y8+July!Y8+August!Y8+Adj!Y8</f>
        <v>0</v>
      </c>
      <c r="Z8" s="220">
        <f>September!Z8+October!Z8+November!Z8+December!Z8+January!Z8+February!Z8+March!Z8+April!Z8+May!Z8+June!Z8+July!Z8+August!Z8+Adj!Z8</f>
        <v>7580</v>
      </c>
      <c r="AA8" s="220">
        <f>September!AA8+October!AA8+November!AA8+December!AA8+January!AA8+February!AA8+March!AA8+April!AA8+May!AA8+June!AA8+July!AA8+August!AA8+Adj!AA8</f>
        <v>5982</v>
      </c>
      <c r="AC8" s="122"/>
      <c r="AD8" s="122"/>
      <c r="AE8" s="122"/>
      <c r="AF8" s="122"/>
      <c r="AG8" s="122"/>
      <c r="AH8" s="122"/>
      <c r="AI8" s="122"/>
      <c r="AJ8" s="122"/>
      <c r="AK8" s="122"/>
      <c r="AL8" s="255"/>
    </row>
    <row r="9" spans="1:38" x14ac:dyDescent="0.25">
      <c r="A9" s="117" t="s">
        <v>74</v>
      </c>
      <c r="B9" s="137" t="s">
        <v>358</v>
      </c>
      <c r="C9" s="220">
        <f>September!C9+October!C9+November!C9+December!C9+January!C9+February!C9+March!C9+April!C9+May!C9+June!C9+July!C9+August!C9+Adj!C9</f>
        <v>0</v>
      </c>
      <c r="D9" s="220">
        <f>September!D9+October!D9+November!D9+December!D9+January!D9+February!D9+March!D9+April!D9+May!D9+June!D9+July!D9+August!D9+Adj!D9</f>
        <v>0</v>
      </c>
      <c r="E9" s="220">
        <f>September!E9+October!E9+November!E9+December!E9+January!E9+February!E9+March!E9+April!E9+May!E9+June!E9+July!E9+August!E9+Adj!E9</f>
        <v>0</v>
      </c>
      <c r="F9" s="220">
        <f>September!F9+October!F9+November!F9+December!F9+January!F9+February!F9+March!F9+April!F9+May!F9+June!F9+July!F9+August!F9+Adj!F9</f>
        <v>0</v>
      </c>
      <c r="G9" s="220">
        <f>September!G9+October!G9+November!G9+December!G9+January!G9+February!G9+March!G9+April!G9+May!G9+June!G9+July!G9+August!G9+Adj!G9</f>
        <v>0</v>
      </c>
      <c r="H9" s="220">
        <f>September!H9+October!H9+November!H9+December!H9+January!H9+February!H9+March!H9+April!H9+May!H9+June!H9+July!H9+August!H9+Adj!H9</f>
        <v>0</v>
      </c>
      <c r="I9" s="220">
        <f>September!I9+October!I9+November!I9+December!I9+January!I9+February!I9+March!I9+April!I9+May!I9+June!I9+July!I9+August!I9+Adj!I9</f>
        <v>0</v>
      </c>
      <c r="J9" s="220">
        <f>September!J9+October!J9+November!J9+December!J9+January!J9+February!J9+March!J9+April!J9+May!J9+June!J9+July!J9+August!J9+Adj!J9</f>
        <v>0</v>
      </c>
      <c r="K9" s="220">
        <f>September!K9+October!K9+November!K9+December!K9+January!K9+February!K9+March!K9+April!K9+May!K9+June!K9+July!K9+August!K9+Adj!K9</f>
        <v>0</v>
      </c>
      <c r="L9" s="288">
        <f>September!L9+October!L9+November!L9+December!L9+January!L9+February!L9+March!L9+April!L9+May!L9+June!L9+July!L9+August!L9+Adj!L9</f>
        <v>0</v>
      </c>
      <c r="M9" s="220">
        <f>September!M9+October!M9+November!M9+December!M9+January!M9+February!M9+March!M9+April!M9+May!M9+June!M9+July!M9+August!M9+Adj!M9</f>
        <v>0</v>
      </c>
      <c r="N9" s="220">
        <f>September!N9+October!N9+November!N9+December!N9+January!N9+February!N9+March!N9+April!N9+May!N9+June!N9+July!N9+August!N9+Adj!N9</f>
        <v>0</v>
      </c>
      <c r="O9" s="220">
        <f>September!O9+October!O9+November!O9+December!O9+January!O9+February!O9+March!O9+April!O9+May!O9+June!O9+July!O9+August!O9+Adj!O9</f>
        <v>0</v>
      </c>
      <c r="P9" s="220">
        <f>September!P9+October!P9+November!P9+December!P9+January!P9+February!P9+March!P9+April!P9+May!P9+June!P9+July!P9+August!P9+Adj!P9</f>
        <v>0</v>
      </c>
      <c r="Q9" s="220">
        <f>September!Q9+October!Q9+November!Q9+December!Q9+January!Q9+February!Q9+March!Q9+April!Q9+May!Q9+June!Q9+July!Q9+August!Q9+Adj!Q9</f>
        <v>0</v>
      </c>
      <c r="R9" s="220">
        <f>September!R9+October!R9+November!R9+December!R9+January!R9+February!R9+March!R9+April!R9+May!R9+June!R9+July!R9+August!R9+Adj!R9</f>
        <v>0</v>
      </c>
      <c r="S9" s="220">
        <f>September!S9+October!S9+November!S9+December!S9+January!S9+February!S9+March!S9+April!S9+May!S9+June!S9+July!S9+August!S9+Adj!S9</f>
        <v>0</v>
      </c>
      <c r="T9" s="343">
        <f>September!T9+October!T9+November!T9+December!T9+January!T9+February!T9+March!T9+April!T9+May!T9+June!T9+July!T9+August!T9+Adj!T9</f>
        <v>0</v>
      </c>
      <c r="U9" s="220">
        <f>September!U9+October!U9+November!U9+December!U9+January!U9+February!U9+March!U9+April!U9+May!U9+June!U9+July!U9+August!U9+Adj!U9</f>
        <v>0</v>
      </c>
      <c r="V9" s="288">
        <f>September!V9+October!V9+November!V9+December!V9+January!V9+February!V9+March!V9+April!V9+May!V9+June!V9+July!V9+August!V9+Adj!V9</f>
        <v>0</v>
      </c>
      <c r="W9" s="220">
        <f>September!W9+October!W9+November!W9+December!W9+January!W9+February!W9+March!W9+April!W9+May!W9+June!W9+July!W9+August!W9+Adj!W9</f>
        <v>129201</v>
      </c>
      <c r="X9" s="220">
        <f>September!X9+October!X9+November!X9+December!X9+January!X9+February!X9+March!X9+April!X9+May!X9+June!X9+July!X9+August!X9+Adj!X9</f>
        <v>0</v>
      </c>
      <c r="Y9" s="220">
        <f>September!Y9+October!Y9+November!Y9+December!Y9+January!Y9+February!Y9+March!Y9+April!Y9+May!Y9+June!Y9+July!Y9+August!Y9+Adj!Y9</f>
        <v>0</v>
      </c>
      <c r="Z9" s="220">
        <f>September!Z9+October!Z9+November!Z9+December!Z9+January!Z9+February!Z9+March!Z9+April!Z9+May!Z9+June!Z9+July!Z9+August!Z9+Adj!Z9</f>
        <v>129201</v>
      </c>
      <c r="AA9" s="220">
        <f>September!AA9+October!AA9+November!AA9+December!AA9+January!AA9+February!AA9+March!AA9+April!AA9+May!AA9+June!AA9+July!AA9+August!AA9+Adj!AA9</f>
        <v>0</v>
      </c>
      <c r="AC9" s="122"/>
      <c r="AD9" s="122"/>
      <c r="AE9" s="122"/>
      <c r="AF9" s="122"/>
      <c r="AG9" s="122"/>
      <c r="AH9" s="122"/>
      <c r="AI9" s="122"/>
      <c r="AJ9" s="122"/>
      <c r="AK9" s="122"/>
      <c r="AL9" s="255"/>
    </row>
    <row r="10" spans="1:38" x14ac:dyDescent="0.25">
      <c r="A10" s="117" t="s">
        <v>94</v>
      </c>
      <c r="B10" s="137" t="s">
        <v>271</v>
      </c>
      <c r="C10" s="220">
        <f>September!C10+October!C10+November!C10+December!C10+January!C10+February!C10+March!C10+April!C10+May!C10+June!C10+July!C10+August!C10+Adj!C10</f>
        <v>10427</v>
      </c>
      <c r="D10" s="220">
        <f>September!D10+October!D10+November!D10+December!D10+January!D10+February!D10+March!D10+April!D10+May!D10+June!D10+July!D10+August!D10+Adj!D10</f>
        <v>6798</v>
      </c>
      <c r="E10" s="220">
        <f>September!E10+October!E10+November!E10+December!E10+January!E10+February!E10+March!E10+April!E10+May!E10+June!E10+July!E10+August!E10+Adj!E10</f>
        <v>2396</v>
      </c>
      <c r="F10" s="220">
        <f>September!F10+October!F10+November!F10+December!F10+January!F10+February!F10+March!F10+April!F10+May!F10+June!F10+July!F10+August!F10+Adj!F10</f>
        <v>877</v>
      </c>
      <c r="G10" s="220">
        <f>September!G10+October!G10+November!G10+December!G10+January!G10+February!G10+March!G10+April!G10+May!G10+June!G10+July!G10+August!G10+Adj!G10</f>
        <v>312</v>
      </c>
      <c r="H10" s="220">
        <f>September!H10+October!H10+November!H10+December!H10+January!H10+February!H10+March!H10+April!H10+May!H10+June!H10+July!H10+August!H10+Adj!H10</f>
        <v>66</v>
      </c>
      <c r="I10" s="220">
        <f>September!I10+October!I10+November!I10+December!I10+January!I10+February!I10+March!I10+April!I10+May!I10+June!I10+July!I10+August!I10+Adj!I10</f>
        <v>264</v>
      </c>
      <c r="J10" s="220">
        <f>September!J10+October!J10+November!J10+December!J10+January!J10+February!J10+March!J10+April!J10+May!J10+June!J10+July!J10+August!J10+Adj!J10</f>
        <v>1159</v>
      </c>
      <c r="K10" s="220">
        <f>September!K10+October!K10+November!K10+December!K10+January!K10+February!K10+March!K10+April!K10+May!K10+June!K10+July!K10+August!K10+Adj!K10</f>
        <v>21</v>
      </c>
      <c r="L10" s="288">
        <f>September!L10+October!L10+November!L10+December!L10+January!L10+February!L10+March!L10+April!L10+May!L10+June!L10+July!L10+August!L10+Adj!L10</f>
        <v>22320</v>
      </c>
      <c r="M10" s="343">
        <f>September!M10+October!M10+November!M10+December!M10+January!M10+February!M10+March!M10+April!M10+May!M10+June!M10+July!M10+August!M10+Adj!M10</f>
        <v>11401</v>
      </c>
      <c r="N10" s="343">
        <f>September!N10+October!N10+November!N10+December!N10+January!N10+February!N10+March!N10+April!N10+May!N10+June!N10+July!N10+August!N10+Adj!N10</f>
        <v>27138</v>
      </c>
      <c r="O10" s="343">
        <f>September!O10+October!O10+November!O10+December!O10+January!O10+February!O10+March!O10+April!O10+May!O10+June!O10+July!O10+August!O10+Adj!O10</f>
        <v>6291</v>
      </c>
      <c r="P10" s="343">
        <f>September!P10+October!P10+November!P10+December!P10+January!P10+February!P10+March!P10+April!P10+May!P10+June!P10+July!P10+August!P10+Adj!P10</f>
        <v>1539</v>
      </c>
      <c r="Q10" s="343">
        <f>September!Q10+October!Q10+November!Q10+December!Q10+January!Q10+February!Q10+March!Q10+April!Q10+May!Q10+June!Q10+July!Q10+August!Q10+Adj!Q10</f>
        <v>867</v>
      </c>
      <c r="R10" s="343">
        <f>September!R10+October!R10+November!R10+December!R10+January!R10+February!R10+March!R10+April!R10+May!R10+June!R10+July!R10+August!R10+Adj!R10</f>
        <v>963</v>
      </c>
      <c r="S10" s="343">
        <f>September!S10+October!S10+November!S10+December!S10+January!S10+February!S10+March!S10+April!S10+May!S10+June!S10+July!S10+August!S10+Adj!S10</f>
        <v>635</v>
      </c>
      <c r="T10" s="343">
        <f>September!T10+October!T10+November!T10+December!T10+January!T10+February!T10+March!T10+April!T10+May!T10+June!T10+July!T10+August!T10+Adj!T10</f>
        <v>1133</v>
      </c>
      <c r="U10" s="343">
        <f>September!U10+October!U10+November!U10+December!U10+January!U10+February!U10+March!U10+April!U10+May!U10+June!U10+July!U10+August!U10+Adj!U10</f>
        <v>0</v>
      </c>
      <c r="V10" s="288">
        <f>September!V10+October!V10+November!V10+December!V10+January!V10+February!V10+March!V10+April!V10+May!V10+June!V10+July!V10+August!V10+Adj!V10</f>
        <v>49967</v>
      </c>
      <c r="W10" s="220">
        <f>September!W10+October!W10+November!W10+December!W10+January!W10+February!W10+March!W10+April!W10+May!W10+June!W10+July!W10+August!W10+Adj!W10</f>
        <v>20199</v>
      </c>
      <c r="X10" s="220">
        <f>September!X10+October!X10+November!X10+December!X10+January!X10+February!X10+March!X10+April!X10+May!X10+June!X10+July!X10+August!X10+Adj!X10</f>
        <v>0</v>
      </c>
      <c r="Y10" s="220">
        <f>September!Y10+October!Y10+November!Y10+December!Y10+January!Y10+February!Y10+March!Y10+April!Y10+May!Y10+June!Y10+July!Y10+August!Y10+Adj!Y10</f>
        <v>0</v>
      </c>
      <c r="Z10" s="220">
        <f>September!Z10+October!Z10+November!Z10+December!Z10+January!Z10+February!Z10+March!Z10+April!Z10+May!Z10+June!Z10+July!Z10+August!Z10+Adj!Z10</f>
        <v>92486</v>
      </c>
      <c r="AA10" s="220">
        <f>September!AA10+October!AA10+November!AA10+December!AA10+January!AA10+February!AA10+March!AA10+April!AA10+May!AA10+June!AA10+July!AA10+August!AA10+Adj!AA10</f>
        <v>58201</v>
      </c>
      <c r="AC10" s="122"/>
      <c r="AD10" s="122"/>
      <c r="AE10" s="122"/>
      <c r="AF10" s="122"/>
      <c r="AG10" s="122"/>
      <c r="AH10" s="122"/>
      <c r="AI10" s="122"/>
      <c r="AJ10" s="122"/>
      <c r="AK10" s="122"/>
      <c r="AL10" s="255"/>
    </row>
    <row r="11" spans="1:38" x14ac:dyDescent="0.25">
      <c r="A11" s="117" t="s">
        <v>95</v>
      </c>
      <c r="B11" s="137" t="s">
        <v>272</v>
      </c>
      <c r="C11" s="220">
        <f>September!C11+October!C11+November!C11+December!C11+January!C11+February!C11+March!C11+April!C11+May!C11+June!C11+July!C11+August!C11+Adj!C11</f>
        <v>0</v>
      </c>
      <c r="D11" s="220">
        <f>September!D11+October!D11+November!D11+December!D11+January!D11+February!D11+March!D11+April!D11+May!D11+June!D11+July!D11+August!D11+Adj!D11</f>
        <v>0</v>
      </c>
      <c r="E11" s="220">
        <f>September!E11+October!E11+November!E11+December!E11+January!E11+February!E11+March!E11+April!E11+May!E11+June!E11+July!E11+August!E11+Adj!E11</f>
        <v>168</v>
      </c>
      <c r="F11" s="220">
        <f>September!F11+October!F11+November!F11+December!F11+January!F11+February!F11+March!F11+April!F11+May!F11+June!F11+July!F11+August!F11+Adj!F11</f>
        <v>0</v>
      </c>
      <c r="G11" s="220">
        <f>September!G11+October!G11+November!G11+December!G11+January!G11+February!G11+March!G11+April!G11+May!G11+June!G11+July!G11+August!G11+Adj!G11</f>
        <v>16</v>
      </c>
      <c r="H11" s="220">
        <f>September!H11+October!H11+November!H11+December!H11+January!H11+February!H11+March!H11+April!H11+May!H11+June!H11+July!H11+August!H11+Adj!H11</f>
        <v>0</v>
      </c>
      <c r="I11" s="220">
        <f>September!I11+October!I11+November!I11+December!I11+January!I11+February!I11+March!I11+April!I11+May!I11+June!I11+July!I11+August!I11+Adj!I11</f>
        <v>0</v>
      </c>
      <c r="J11" s="220">
        <f>September!J11+October!J11+November!J11+December!J11+January!J11+February!J11+March!J11+April!J11+May!J11+June!J11+July!J11+August!J11+Adj!J11</f>
        <v>1697</v>
      </c>
      <c r="K11" s="220">
        <f>September!K11+October!K11+November!K11+December!K11+January!K11+February!K11+March!K11+April!K11+May!K11+June!K11+July!K11+August!K11+Adj!K11</f>
        <v>0</v>
      </c>
      <c r="L11" s="288">
        <f>September!L11+October!L11+November!L11+December!L11+January!L11+February!L11+March!L11+April!L11+May!L11+June!L11+July!L11+August!L11+Adj!L11</f>
        <v>1881</v>
      </c>
      <c r="M11" s="220">
        <f>September!M11+October!M11+November!M11+December!M11+January!M11+February!M11+March!M11+April!M11+May!M11+June!M11+July!M11+August!M11+Adj!M11</f>
        <v>0</v>
      </c>
      <c r="N11" s="220">
        <f>September!N11+October!N11+November!N11+December!N11+January!N11+February!N11+March!N11+April!N11+May!N11+June!N11+July!N11+August!N11+Adj!N11</f>
        <v>0</v>
      </c>
      <c r="O11" s="220">
        <f>September!O11+October!O11+November!O11+December!O11+January!O11+February!O11+March!O11+April!O11+May!O11+June!O11+July!O11+August!O11+Adj!O11</f>
        <v>122</v>
      </c>
      <c r="P11" s="220">
        <f>September!P11+October!P11+November!P11+December!P11+January!P11+February!P11+March!P11+April!P11+May!P11+June!P11+July!P11+August!P11+Adj!P11</f>
        <v>0</v>
      </c>
      <c r="Q11" s="220">
        <f>September!Q11+October!Q11+November!Q11+December!Q11+January!Q11+February!Q11+March!Q11+April!Q11+May!Q11+June!Q11+July!Q11+August!Q11+Adj!Q11</f>
        <v>0</v>
      </c>
      <c r="R11" s="220">
        <f>September!R11+October!R11+November!R11+December!R11+January!R11+February!R11+March!R11+April!R11+May!R11+June!R11+July!R11+August!R11+Adj!R11</f>
        <v>0</v>
      </c>
      <c r="S11" s="220">
        <f>September!S11+October!S11+November!S11+December!S11+January!S11+February!S11+March!S11+April!S11+May!S11+June!S11+July!S11+August!S11+Adj!S11</f>
        <v>0</v>
      </c>
      <c r="T11" s="343">
        <f>September!T11+October!T11+November!T11+December!T11+January!T11+February!T11+March!T11+April!T11+May!T11+June!T11+July!T11+August!T11+Adj!T11</f>
        <v>2776</v>
      </c>
      <c r="U11" s="220">
        <f>September!U11+October!U11+November!U11+December!U11+January!U11+February!U11+March!U11+April!U11+May!U11+June!U11+July!U11+August!U11+Adj!U11</f>
        <v>0</v>
      </c>
      <c r="V11" s="288">
        <f>September!V11+October!V11+November!V11+December!V11+January!V11+February!V11+March!V11+April!V11+May!V11+June!V11+July!V11+August!V11+Adj!V11</f>
        <v>2898</v>
      </c>
      <c r="W11" s="220">
        <f>September!W11+October!W11+November!W11+December!W11+January!W11+February!W11+March!W11+April!W11+May!W11+June!W11+July!W11+August!W11+Adj!W11</f>
        <v>0</v>
      </c>
      <c r="X11" s="220">
        <f>September!X11+October!X11+November!X11+December!X11+January!X11+February!X11+March!X11+April!X11+May!X11+June!X11+July!X11+August!X11+Adj!X11</f>
        <v>0</v>
      </c>
      <c r="Y11" s="220">
        <f>September!Y11+October!Y11+November!Y11+December!Y11+January!Y11+February!Y11+March!Y11+April!Y11+May!Y11+June!Y11+July!Y11+August!Y11+Adj!Y11</f>
        <v>0</v>
      </c>
      <c r="Z11" s="220">
        <f>September!Z11+October!Z11+November!Z11+December!Z11+January!Z11+February!Z11+March!Z11+April!Z11+May!Z11+June!Z11+July!Z11+August!Z11+Adj!Z11</f>
        <v>4779</v>
      </c>
      <c r="AA11" s="220">
        <f>September!AA11+October!AA11+November!AA11+December!AA11+January!AA11+February!AA11+March!AA11+April!AA11+May!AA11+June!AA11+July!AA11+August!AA11+Adj!AA11</f>
        <v>0</v>
      </c>
      <c r="AC11" s="122"/>
      <c r="AD11" s="122"/>
      <c r="AE11" s="122"/>
      <c r="AF11" s="122"/>
      <c r="AG11" s="122"/>
      <c r="AH11" s="122"/>
      <c r="AI11" s="122"/>
      <c r="AJ11" s="122"/>
      <c r="AK11" s="122"/>
      <c r="AL11" s="255"/>
    </row>
    <row r="12" spans="1:38" x14ac:dyDescent="0.25">
      <c r="A12" s="117" t="s">
        <v>361</v>
      </c>
      <c r="B12" s="137" t="s">
        <v>355</v>
      </c>
      <c r="C12" s="220">
        <f>September!C12+October!C12+November!C12+December!C12+January!C12+February!C12+March!C12+April!C12+May!C12+June!C12+July!C12+August!C12+Adj!C12</f>
        <v>0</v>
      </c>
      <c r="D12" s="220">
        <f>September!D12+October!D12+November!D12+December!D12+January!D12+February!D12+March!D12+April!D12+May!D12+June!D12+July!D12+August!D12+Adj!D12</f>
        <v>0</v>
      </c>
      <c r="E12" s="220">
        <f>September!E12+October!E12+November!E12+December!E12+January!E12+February!E12+March!E12+April!E12+May!E12+June!E12+July!E12+August!E12+Adj!E12</f>
        <v>21</v>
      </c>
      <c r="F12" s="220">
        <f>September!F12+October!F12+November!F12+December!F12+January!F12+February!F12+March!F12+April!F12+May!F12+June!F12+July!F12+August!F12+Adj!F12</f>
        <v>0</v>
      </c>
      <c r="G12" s="220">
        <f>September!G12+October!G12+November!G12+December!G12+January!G12+February!G12+March!G12+April!G12+May!G12+June!G12+July!G12+August!G12+Adj!G12</f>
        <v>0</v>
      </c>
      <c r="H12" s="220">
        <f>September!H12+October!H12+November!H12+December!H12+January!H12+February!H12+March!H12+April!H12+May!H12+June!H12+July!H12+August!H12+Adj!H12</f>
        <v>0</v>
      </c>
      <c r="I12" s="220">
        <f>September!I12+October!I12+November!I12+December!I12+January!I12+February!I12+March!I12+April!I12+May!I12+June!I12+July!I12+August!I12+Adj!I12</f>
        <v>0</v>
      </c>
      <c r="J12" s="220">
        <f>September!J12+October!J12+November!J12+December!J12+January!J12+February!J12+March!J12+April!J12+May!J12+June!J12+July!J12+August!J12+Adj!J12</f>
        <v>260</v>
      </c>
      <c r="K12" s="220">
        <f>September!K12+October!K12+November!K12+December!K12+January!K12+February!K12+March!K12+April!K12+May!K12+June!K12+July!K12+August!K12+Adj!K12</f>
        <v>0</v>
      </c>
      <c r="L12" s="288">
        <f>September!L12+October!L12+November!L12+December!L12+January!L12+February!L12+March!L12+April!L12+May!L12+June!L12+July!L12+August!L12+Adj!L12</f>
        <v>281</v>
      </c>
      <c r="M12" s="220">
        <f>September!M12+October!M12+November!M12+December!M12+January!M12+February!M12+March!M12+April!M12+May!M12+June!M12+July!M12+August!M12+Adj!M12</f>
        <v>0</v>
      </c>
      <c r="N12" s="220">
        <f>September!N12+October!N12+November!N12+December!N12+January!N12+February!N12+March!N12+April!N12+May!N12+June!N12+July!N12+August!N12+Adj!N12</f>
        <v>0</v>
      </c>
      <c r="O12" s="220">
        <f>September!O12+October!O12+November!O12+December!O12+January!O12+February!O12+March!O12+April!O12+May!O12+June!O12+July!O12+August!O12+Adj!O12</f>
        <v>10</v>
      </c>
      <c r="P12" s="220">
        <f>September!P12+October!P12+November!P12+December!P12+January!P12+February!P12+March!P12+April!P12+May!P12+June!P12+July!P12+August!P12+Adj!P12</f>
        <v>0</v>
      </c>
      <c r="Q12" s="220">
        <f>September!Q12+October!Q12+November!Q12+December!Q12+January!Q12+February!Q12+March!Q12+April!Q12+May!Q12+June!Q12+July!Q12+August!Q12+Adj!Q12</f>
        <v>0</v>
      </c>
      <c r="R12" s="220">
        <f>September!R12+October!R12+November!R12+December!R12+January!R12+February!R12+March!R12+April!R12+May!R12+June!R12+July!R12+August!R12+Adj!R12</f>
        <v>0</v>
      </c>
      <c r="S12" s="220">
        <f>September!S12+October!S12+November!S12+December!S12+January!S12+February!S12+March!S12+April!S12+May!S12+June!S12+July!S12+August!S12+Adj!S12</f>
        <v>0</v>
      </c>
      <c r="T12" s="343">
        <f>September!T12+October!T12+November!T12+December!T12+January!T12+February!T12+March!T12+April!T12+May!T12+June!T12+July!T12+August!T12+Adj!T12</f>
        <v>70</v>
      </c>
      <c r="U12" s="220">
        <f>September!U12+October!U12+November!U12+December!U12+January!U12+February!U12+March!U12+April!U12+May!U12+June!U12+July!U12+August!U12+Adj!U12</f>
        <v>0</v>
      </c>
      <c r="V12" s="288">
        <f>September!V12+October!V12+November!V12+December!V12+January!V12+February!V12+March!V12+April!V12+May!V12+June!V12+July!V12+August!V12+Adj!V12</f>
        <v>80</v>
      </c>
      <c r="W12" s="220">
        <f>September!W12+October!W12+November!W12+December!W12+January!W12+February!W12+March!W12+April!W12+May!W12+June!W12+July!W12+August!W12+Adj!W12</f>
        <v>0</v>
      </c>
      <c r="X12" s="220">
        <f>September!X12+October!X12+November!X12+December!X12+January!X12+February!X12+March!X12+April!X12+May!X12+June!X12+July!X12+August!X12+Adj!X12</f>
        <v>1166</v>
      </c>
      <c r="Y12" s="220">
        <f>September!Y12+October!Y12+November!Y12+December!Y12+January!Y12+February!Y12+March!Y12+April!Y12+May!Y12+June!Y12+July!Y12+August!Y12+Adj!Y12</f>
        <v>399</v>
      </c>
      <c r="Z12" s="220">
        <f>September!Z12+October!Z12+November!Z12+December!Z12+January!Z12+February!Z12+March!Z12+April!Z12+May!Z12+June!Z12+July!Z12+August!Z12+Adj!Z12</f>
        <v>1926</v>
      </c>
      <c r="AA12" s="220">
        <f>September!AA12+October!AA12+November!AA12+December!AA12+January!AA12+February!AA12+March!AA12+April!AA12+May!AA12+June!AA12+July!AA12+August!AA12+Adj!AA12</f>
        <v>0</v>
      </c>
      <c r="AC12" s="122"/>
      <c r="AD12" s="122"/>
      <c r="AE12" s="122"/>
      <c r="AF12" s="122"/>
      <c r="AG12" s="122"/>
      <c r="AH12" s="122"/>
      <c r="AI12" s="122"/>
      <c r="AJ12" s="122"/>
      <c r="AK12" s="122"/>
      <c r="AL12" s="255"/>
    </row>
    <row r="13" spans="1:38" x14ac:dyDescent="0.25">
      <c r="A13" s="117" t="s">
        <v>106</v>
      </c>
      <c r="B13" s="137" t="s">
        <v>273</v>
      </c>
      <c r="C13" s="220">
        <f>September!C13+October!C13+November!C13+December!C13+January!C13+February!C13+March!C13+April!C13+May!C13+June!C13+July!C13+August!C13+Adj!C13</f>
        <v>2723</v>
      </c>
      <c r="D13" s="220">
        <f>September!D13+October!D13+November!D13+December!D13+January!D13+February!D13+March!D13+April!D13+May!D13+June!D13+July!D13+August!D13+Adj!D13</f>
        <v>932</v>
      </c>
      <c r="E13" s="220">
        <f>September!E13+October!E13+November!E13+December!E13+January!E13+February!E13+March!E13+April!E13+May!E13+June!E13+July!E13+August!E13+Adj!E13</f>
        <v>286</v>
      </c>
      <c r="F13" s="220">
        <f>September!F13+October!F13+November!F13+December!F13+January!F13+February!F13+March!F13+April!F13+May!F13+June!F13+July!F13+August!F13+Adj!F13</f>
        <v>76</v>
      </c>
      <c r="G13" s="220">
        <f>September!G13+October!G13+November!G13+December!G13+January!G13+February!G13+March!G13+April!G13+May!G13+June!G13+July!G13+August!G13+Adj!G13</f>
        <v>47</v>
      </c>
      <c r="H13" s="220">
        <f>September!H13+October!H13+November!H13+December!H13+January!H13+February!H13+March!H13+April!H13+May!H13+June!H13+July!H13+August!H13+Adj!H13</f>
        <v>0</v>
      </c>
      <c r="I13" s="220">
        <f>September!I13+October!I13+November!I13+December!I13+January!I13+February!I13+March!I13+April!I13+May!I13+June!I13+July!I13+August!I13+Adj!I13</f>
        <v>32</v>
      </c>
      <c r="J13" s="220">
        <f>September!J13+October!J13+November!J13+December!J13+January!J13+February!J13+March!J13+April!J13+May!J13+June!J13+July!J13+August!J13+Adj!J13</f>
        <v>749</v>
      </c>
      <c r="K13" s="220">
        <f>September!K13+October!K13+November!K13+December!K13+January!K13+February!K13+March!K13+April!K13+May!K13+June!K13+July!K13+August!K13+Adj!K13</f>
        <v>0</v>
      </c>
      <c r="L13" s="288">
        <f>September!L13+October!L13+November!L13+December!L13+January!L13+February!L13+March!L13+April!L13+May!L13+June!L13+July!L13+August!L13+Adj!L13</f>
        <v>4845</v>
      </c>
      <c r="M13" s="220">
        <f>September!M13+October!M13+November!M13+December!M13+January!M13+February!M13+March!M13+April!M13+May!M13+June!M13+July!M13+August!M13+Adj!M13</f>
        <v>0</v>
      </c>
      <c r="N13" s="220">
        <f>September!N13+October!N13+November!N13+December!N13+January!N13+February!N13+March!N13+April!N13+May!N13+June!N13+July!N13+August!N13+Adj!N13</f>
        <v>0</v>
      </c>
      <c r="O13" s="220">
        <f>September!O13+October!O13+November!O13+December!O13+January!O13+February!O13+March!O13+April!O13+May!O13+June!O13+July!O13+August!O13+Adj!O13</f>
        <v>0</v>
      </c>
      <c r="P13" s="220">
        <f>September!P13+October!P13+November!P13+December!P13+January!P13+February!P13+March!P13+April!P13+May!P13+June!P13+July!P13+August!P13+Adj!P13</f>
        <v>0</v>
      </c>
      <c r="Q13" s="220">
        <f>September!Q13+October!Q13+November!Q13+December!Q13+January!Q13+February!Q13+March!Q13+April!Q13+May!Q13+June!Q13+July!Q13+August!Q13+Adj!Q13</f>
        <v>0</v>
      </c>
      <c r="R13" s="220">
        <f>September!R13+October!R13+November!R13+December!R13+January!R13+February!R13+March!R13+April!R13+May!R13+June!R13+July!R13+August!R13+Adj!R13</f>
        <v>0</v>
      </c>
      <c r="S13" s="220">
        <f>September!S13+October!S13+November!S13+December!S13+January!S13+February!S13+March!S13+April!S13+May!S13+June!S13+July!S13+August!S13+Adj!S13</f>
        <v>0</v>
      </c>
      <c r="T13" s="220">
        <f>September!T13+October!T13+November!T13+December!T13+January!T13+February!T13+March!T13+April!T13+May!T13+June!T13+July!T13+August!T13+Adj!T13</f>
        <v>0</v>
      </c>
      <c r="U13" s="220">
        <f>September!U13+October!U13+November!U13+December!U13+January!U13+February!U13+March!U13+April!U13+May!U13+June!U13+July!U13+August!U13+Adj!U13</f>
        <v>0</v>
      </c>
      <c r="V13" s="288">
        <f>September!V13+October!V13+November!V13+December!V13+January!V13+February!V13+March!V13+April!V13+May!V13+June!V13+July!V13+August!V13+Adj!V13</f>
        <v>0</v>
      </c>
      <c r="W13" s="220">
        <f>September!W13+October!W13+November!W13+December!W13+January!W13+February!W13+March!W13+April!W13+May!W13+June!W13+July!W13+August!W13+Adj!W13</f>
        <v>0</v>
      </c>
      <c r="X13" s="220">
        <f>September!X13+October!X13+November!X13+December!X13+January!X13+February!X13+March!X13+April!X13+May!X13+June!X13+July!X13+August!X13+Adj!X13</f>
        <v>0</v>
      </c>
      <c r="Y13" s="220">
        <f>September!Y13+October!Y13+November!Y13+December!Y13+January!Y13+February!Y13+March!Y13+April!Y13+May!Y13+June!Y13+July!Y13+August!Y13+Adj!Y13</f>
        <v>0</v>
      </c>
      <c r="Z13" s="220">
        <f>September!Z13+October!Z13+November!Z13+December!Z13+January!Z13+February!Z13+March!Z13+April!Z13+May!Z13+June!Z13+July!Z13+August!Z13+Adj!Z13</f>
        <v>4845</v>
      </c>
      <c r="AA13" s="220">
        <f>September!AA13+October!AA13+November!AA13+December!AA13+January!AA13+February!AA13+March!AA13+April!AA13+May!AA13+June!AA13+July!AA13+August!AA13+Adj!AA13</f>
        <v>3731</v>
      </c>
      <c r="AC13" s="122"/>
      <c r="AD13" s="122"/>
      <c r="AE13" s="122"/>
      <c r="AF13" s="122"/>
      <c r="AG13" s="122"/>
      <c r="AH13" s="122"/>
      <c r="AI13" s="122"/>
      <c r="AJ13" s="122"/>
      <c r="AK13" s="122"/>
      <c r="AL13" s="255"/>
    </row>
    <row r="14" spans="1:38" x14ac:dyDescent="0.25">
      <c r="A14" s="117" t="s">
        <v>110</v>
      </c>
      <c r="B14" s="137" t="s">
        <v>274</v>
      </c>
      <c r="C14" s="220">
        <f>September!C14+October!C14+November!C14+December!C14+January!C14+February!C14+March!C14+April!C14+May!C14+June!C14+July!C14+August!C14+Adj!C14</f>
        <v>42338</v>
      </c>
      <c r="D14" s="220">
        <f>September!D14+October!D14+November!D14+December!D14+January!D14+February!D14+March!D14+April!D14+May!D14+June!D14+July!D14+August!D14+Adj!D14</f>
        <v>13547</v>
      </c>
      <c r="E14" s="220">
        <f>September!E14+October!E14+November!E14+December!E14+January!E14+February!E14+March!E14+April!E14+May!E14+June!E14+July!E14+August!E14+Adj!E14</f>
        <v>9628</v>
      </c>
      <c r="F14" s="220">
        <f>September!F14+October!F14+November!F14+December!F14+January!F14+February!F14+March!F14+April!F14+May!F14+June!F14+July!F14+August!F14+Adj!F14</f>
        <v>317</v>
      </c>
      <c r="G14" s="220">
        <f>September!G14+October!G14+November!G14+December!G14+January!G14+February!G14+March!G14+April!G14+May!G14+June!G14+July!G14+August!G14+Adj!G14</f>
        <v>966</v>
      </c>
      <c r="H14" s="220">
        <f>September!H14+October!H14+November!H14+December!H14+January!H14+February!H14+March!H14+April!H14+May!H14+June!H14+July!H14+August!H14+Adj!H14</f>
        <v>15</v>
      </c>
      <c r="I14" s="220">
        <f>September!I14+October!I14+November!I14+December!I14+January!I14+February!I14+March!I14+April!I14+May!I14+June!I14+July!I14+August!I14+Adj!I14</f>
        <v>847</v>
      </c>
      <c r="J14" s="220">
        <f>September!J14+October!J14+November!J14+December!J14+January!J14+February!J14+March!J14+April!J14+May!J14+June!J14+July!J14+August!J14+Adj!J14</f>
        <v>1902</v>
      </c>
      <c r="K14" s="220">
        <f>September!K14+October!K14+November!K14+December!K14+January!K14+February!K14+March!K14+April!K14+May!K14+June!K14+July!K14+August!K14+Adj!K14</f>
        <v>2</v>
      </c>
      <c r="L14" s="288">
        <f>September!L14+October!L14+November!L14+December!L14+January!L14+February!L14+March!L14+April!L14+May!L14+June!L14+July!L14+August!L14+Adj!L14</f>
        <v>69562</v>
      </c>
      <c r="M14" s="220">
        <f>September!M14+October!M14+November!M14+December!M14+January!M14+February!M14+March!M14+April!M14+May!M14+June!M14+July!M14+August!M14+Adj!M14</f>
        <v>1017</v>
      </c>
      <c r="N14" s="220">
        <f>September!N14+October!N14+November!N14+December!N14+January!N14+February!N14+March!N14+April!N14+May!N14+June!N14+July!N14+August!N14+Adj!N14</f>
        <v>545</v>
      </c>
      <c r="O14" s="220">
        <f>September!O14+October!O14+November!O14+December!O14+January!O14+February!O14+March!O14+April!O14+May!O14+June!O14+July!O14+August!O14+Adj!O14</f>
        <v>379</v>
      </c>
      <c r="P14" s="220">
        <f>September!P14+October!P14+November!P14+December!P14+January!P14+February!P14+March!P14+April!P14+May!P14+June!P14+July!P14+August!P14+Adj!P14</f>
        <v>6</v>
      </c>
      <c r="Q14" s="220">
        <f>September!Q14+October!Q14+November!Q14+December!Q14+January!Q14+February!Q14+March!Q14+April!Q14+May!Q14+June!Q14+July!Q14+August!Q14+Adj!Q14</f>
        <v>72</v>
      </c>
      <c r="R14" s="220">
        <f>September!R14+October!R14+November!R14+December!R14+January!R14+February!R14+March!R14+April!R14+May!R14+June!R14+July!R14+August!R14+Adj!R14</f>
        <v>0</v>
      </c>
      <c r="S14" s="220">
        <f>September!S14+October!S14+November!S14+December!S14+January!S14+February!S14+March!S14+April!S14+May!S14+June!S14+July!S14+August!S14+Adj!S14</f>
        <v>22</v>
      </c>
      <c r="T14" s="220">
        <f>September!T14+October!T14+November!T14+December!T14+January!T14+February!T14+March!T14+April!T14+May!T14+June!T14+July!T14+August!T14+Adj!T14</f>
        <v>31</v>
      </c>
      <c r="U14" s="220">
        <f>September!U14+October!U14+November!U14+December!U14+January!U14+February!U14+March!U14+April!U14+May!U14+June!U14+July!U14+August!U14+Adj!U14</f>
        <v>0</v>
      </c>
      <c r="V14" s="288">
        <f>September!V14+October!V14+November!V14+December!V14+January!V14+February!V14+March!V14+April!V14+May!V14+June!V14+July!V14+August!V14+Adj!V14</f>
        <v>2072</v>
      </c>
      <c r="W14" s="220">
        <f>September!W14+October!W14+November!W14+December!W14+January!W14+February!W14+March!W14+April!W14+May!W14+June!W14+July!W14+August!W14+Adj!W14</f>
        <v>0</v>
      </c>
      <c r="X14" s="220">
        <f>September!X14+October!X14+November!X14+December!X14+January!X14+February!X14+March!X14+April!X14+May!X14+June!X14+July!X14+August!X14+Adj!X14</f>
        <v>0</v>
      </c>
      <c r="Y14" s="220">
        <f>September!Y14+October!Y14+November!Y14+December!Y14+January!Y14+February!Y14+March!Y14+April!Y14+May!Y14+June!Y14+July!Y14+August!Y14+Adj!Y14</f>
        <v>0</v>
      </c>
      <c r="Z14" s="220">
        <f>September!Z14+October!Z14+November!Z14+December!Z14+January!Z14+February!Z14+March!Z14+April!Z14+May!Z14+June!Z14+July!Z14+August!Z14+Adj!Z14</f>
        <v>71634</v>
      </c>
      <c r="AA14" s="220">
        <f>September!AA14+October!AA14+November!AA14+December!AA14+January!AA14+February!AA14+March!AA14+April!AA14+May!AA14+June!AA14+July!AA14+August!AA14+Adj!AA14</f>
        <v>57772</v>
      </c>
      <c r="AC14" s="122"/>
      <c r="AD14" s="122"/>
      <c r="AE14" s="122"/>
      <c r="AF14" s="122"/>
      <c r="AG14" s="122"/>
      <c r="AH14" s="122"/>
      <c r="AI14" s="122"/>
      <c r="AJ14" s="122"/>
      <c r="AK14" s="122"/>
      <c r="AL14" s="255"/>
    </row>
    <row r="15" spans="1:38" x14ac:dyDescent="0.25">
      <c r="A15" s="117" t="s">
        <v>119</v>
      </c>
      <c r="B15" s="137" t="s">
        <v>275</v>
      </c>
      <c r="C15" s="220">
        <f>September!C15+October!C15+November!C15+December!C15+January!C15+February!C15+March!C15+April!C15+May!C15+June!C15+July!C15+August!C15+Adj!C15</f>
        <v>13318</v>
      </c>
      <c r="D15" s="220">
        <f>September!D15+October!D15+November!D15+December!D15+January!D15+February!D15+March!D15+April!D15+May!D15+June!D15+July!D15+August!D15+Adj!D15</f>
        <v>7553</v>
      </c>
      <c r="E15" s="220">
        <f>September!E15+October!E15+November!E15+December!E15+January!E15+February!E15+March!E15+April!E15+May!E15+June!E15+July!E15+August!E15+Adj!E15</f>
        <v>3034</v>
      </c>
      <c r="F15" s="220">
        <f>September!F15+October!F15+November!F15+December!F15+January!F15+February!F15+March!F15+April!F15+May!F15+June!F15+July!F15+August!F15+Adj!F15</f>
        <v>207</v>
      </c>
      <c r="G15" s="220">
        <f>September!G15+October!G15+November!G15+December!G15+January!G15+February!G15+March!G15+April!G15+May!G15+June!G15+July!G15+August!G15+Adj!G15</f>
        <v>172</v>
      </c>
      <c r="H15" s="220">
        <f>September!H15+October!H15+November!H15+December!H15+January!H15+February!H15+March!H15+April!H15+May!H15+June!H15+July!H15+August!H15+Adj!H15</f>
        <v>0</v>
      </c>
      <c r="I15" s="220">
        <f>September!I15+October!I15+November!I15+December!I15+January!I15+February!I15+March!I15+April!I15+May!I15+June!I15+July!I15+August!I15+Adj!I15</f>
        <v>307</v>
      </c>
      <c r="J15" s="220">
        <f>September!J15+October!J15+November!J15+December!J15+January!J15+February!J15+March!J15+April!J15+May!J15+June!J15+July!J15+August!J15+Adj!J15</f>
        <v>767</v>
      </c>
      <c r="K15" s="220">
        <f>September!K15+October!K15+November!K15+December!K15+January!K15+February!K15+March!K15+April!K15+May!K15+June!K15+July!K15+August!K15+Adj!K15</f>
        <v>0</v>
      </c>
      <c r="L15" s="288">
        <f>September!L15+October!L15+November!L15+December!L15+January!L15+February!L15+March!L15+April!L15+May!L15+June!L15+July!L15+August!L15+Adj!L15</f>
        <v>25358</v>
      </c>
      <c r="M15" s="220">
        <f>September!M15+October!M15+November!M15+December!M15+January!M15+February!M15+March!M15+April!M15+May!M15+June!M15+July!M15+August!M15+Adj!M15</f>
        <v>2066</v>
      </c>
      <c r="N15" s="220">
        <f>September!N15+October!N15+November!N15+December!N15+January!N15+February!N15+March!N15+April!N15+May!N15+June!N15+July!N15+August!N15+Adj!N15</f>
        <v>2407</v>
      </c>
      <c r="O15" s="220">
        <f>September!O15+October!O15+November!O15+December!O15+January!O15+February!O15+March!O15+April!O15+May!O15+June!O15+July!O15+August!O15+Adj!O15</f>
        <v>481</v>
      </c>
      <c r="P15" s="220">
        <f>September!P15+October!P15+November!P15+December!P15+January!P15+February!P15+March!P15+April!P15+May!P15+June!P15+July!P15+August!P15+Adj!P15</f>
        <v>81</v>
      </c>
      <c r="Q15" s="220">
        <f>September!Q15+October!Q15+November!Q15+December!Q15+January!Q15+February!Q15+March!Q15+April!Q15+May!Q15+June!Q15+July!Q15+August!Q15+Adj!Q15</f>
        <v>69</v>
      </c>
      <c r="R15" s="220">
        <f>September!R15+October!R15+November!R15+December!R15+January!R15+February!R15+March!R15+April!R15+May!R15+June!R15+July!R15+August!R15+Adj!R15</f>
        <v>132</v>
      </c>
      <c r="S15" s="220">
        <f>September!S15+October!S15+November!S15+December!S15+January!S15+February!S15+March!S15+April!S15+May!S15+June!S15+July!S15+August!S15+Adj!S15</f>
        <v>20</v>
      </c>
      <c r="T15" s="220">
        <f>September!T15+October!T15+November!T15+December!T15+January!T15+February!T15+March!T15+April!T15+May!T15+June!T15+July!T15+August!T15+Adj!T15</f>
        <v>78</v>
      </c>
      <c r="U15" s="220">
        <f>September!U15+October!U15+November!U15+December!U15+January!U15+February!U15+March!U15+April!U15+May!U15+June!U15+July!U15+August!U15+Adj!U15</f>
        <v>3</v>
      </c>
      <c r="V15" s="288">
        <f>September!V15+October!V15+November!V15+December!V15+January!V15+February!V15+March!V15+April!V15+May!V15+June!V15+July!V15+August!V15+Adj!V15</f>
        <v>5337</v>
      </c>
      <c r="W15" s="220">
        <f>September!W15+October!W15+November!W15+December!W15+January!W15+February!W15+March!W15+April!W15+May!W15+June!W15+July!W15+August!W15+Adj!W15</f>
        <v>0</v>
      </c>
      <c r="X15" s="220">
        <f>September!X15+October!X15+November!X15+December!X15+January!X15+February!X15+March!X15+April!X15+May!X15+June!X15+July!X15+August!X15+Adj!X15</f>
        <v>5196</v>
      </c>
      <c r="Y15" s="220">
        <f>September!Y15+October!Y15+November!Y15+December!Y15+January!Y15+February!Y15+March!Y15+April!Y15+May!Y15+June!Y15+July!Y15+August!Y15+Adj!Y15</f>
        <v>0</v>
      </c>
      <c r="Z15" s="220">
        <f>September!Z15+October!Z15+November!Z15+December!Z15+January!Z15+February!Z15+March!Z15+April!Z15+May!Z15+June!Z15+July!Z15+August!Z15+Adj!Z15</f>
        <v>35891</v>
      </c>
      <c r="AA15" s="220">
        <f>September!AA15+October!AA15+November!AA15+December!AA15+January!AA15+February!AA15+March!AA15+April!AA15+May!AA15+June!AA15+July!AA15+August!AA15+Adj!AA15</f>
        <v>25635</v>
      </c>
      <c r="AC15" s="122"/>
      <c r="AD15" s="122"/>
      <c r="AE15" s="122"/>
      <c r="AF15" s="122"/>
      <c r="AG15" s="122"/>
      <c r="AH15" s="122"/>
      <c r="AI15" s="122"/>
      <c r="AJ15" s="122"/>
      <c r="AK15" s="122"/>
      <c r="AL15" s="255"/>
    </row>
    <row r="16" spans="1:38" x14ac:dyDescent="0.25">
      <c r="A16" s="117" t="s">
        <v>121</v>
      </c>
      <c r="B16" s="137" t="s">
        <v>276</v>
      </c>
      <c r="C16" s="220">
        <f>September!C16+October!C16+November!C16+December!C16+January!C16+February!C16+March!C16+April!C16+May!C16+June!C16+July!C16+August!C16+Adj!C16</f>
        <v>0</v>
      </c>
      <c r="D16" s="220">
        <f>September!D16+October!D16+November!D16+December!D16+January!D16+February!D16+March!D16+April!D16+May!D16+June!D16+July!D16+August!D16+Adj!D16</f>
        <v>0</v>
      </c>
      <c r="E16" s="220">
        <f>September!E16+October!E16+November!E16+December!E16+January!E16+February!E16+March!E16+April!E16+May!E16+June!E16+July!E16+August!E16+Adj!E16</f>
        <v>10</v>
      </c>
      <c r="F16" s="220">
        <f>September!F16+October!F16+November!F16+December!F16+January!F16+February!F16+March!F16+April!F16+May!F16+June!F16+July!F16+August!F16+Adj!F16</f>
        <v>0</v>
      </c>
      <c r="G16" s="220">
        <f>September!G16+October!G16+November!G16+December!G16+January!G16+February!G16+March!G16+April!G16+May!G16+June!G16+July!G16+August!G16+Adj!G16</f>
        <v>0</v>
      </c>
      <c r="H16" s="220">
        <f>September!H16+October!H16+November!H16+December!H16+January!H16+February!H16+March!H16+April!H16+May!H16+June!H16+July!H16+August!H16+Adj!H16</f>
        <v>0</v>
      </c>
      <c r="I16" s="220">
        <f>September!I16+October!I16+November!I16+December!I16+January!I16+February!I16+March!I16+April!I16+May!I16+June!I16+July!I16+August!I16+Adj!I16</f>
        <v>0</v>
      </c>
      <c r="J16" s="220">
        <f>September!J16+October!J16+November!J16+December!J16+January!J16+February!J16+March!J16+April!J16+May!J16+June!J16+July!J16+August!J16+Adj!J16</f>
        <v>13907</v>
      </c>
      <c r="K16" s="220">
        <f>September!K16+October!K16+November!K16+December!K16+January!K16+February!K16+March!K16+April!K16+May!K16+June!K16+July!K16+August!K16+Adj!K16</f>
        <v>0</v>
      </c>
      <c r="L16" s="288">
        <f>September!L16+October!L16+November!L16+December!L16+January!L16+February!L16+March!L16+April!L16+May!L16+June!L16+July!L16+August!L16+Adj!L16</f>
        <v>13917</v>
      </c>
      <c r="M16" s="220">
        <f>September!M16+October!M16+November!M16+December!M16+January!M16+February!M16+March!M16+April!M16+May!M16+June!M16+July!M16+August!M16+Adj!M16</f>
        <v>0</v>
      </c>
      <c r="N16" s="220">
        <f>September!N16+October!N16+November!N16+December!N16+January!N16+February!N16+March!N16+April!N16+May!N16+June!N16+July!N16+August!N16+Adj!N16</f>
        <v>0</v>
      </c>
      <c r="O16" s="220">
        <f>September!O16+October!O16+November!O16+December!O16+January!O16+February!O16+March!O16+April!O16+May!O16+June!O16+July!O16+August!O16+Adj!O16</f>
        <v>636</v>
      </c>
      <c r="P16" s="220">
        <f>September!P16+October!P16+November!P16+December!P16+January!P16+February!P16+March!P16+April!P16+May!P16+June!P16+July!P16+August!P16+Adj!P16</f>
        <v>0</v>
      </c>
      <c r="Q16" s="220">
        <f>September!Q16+October!Q16+November!Q16+December!Q16+January!Q16+February!Q16+March!Q16+April!Q16+May!Q16+June!Q16+July!Q16+August!Q16+Adj!Q16</f>
        <v>0</v>
      </c>
      <c r="R16" s="220">
        <f>September!R16+October!R16+November!R16+December!R16+January!R16+February!R16+March!R16+April!R16+May!R16+June!R16+July!R16+August!R16+Adj!R16</f>
        <v>0</v>
      </c>
      <c r="S16" s="220">
        <f>September!S16+October!S16+November!S16+December!S16+January!S16+February!S16+March!S16+April!S16+May!S16+June!S16+July!S16+August!S16+Adj!S16</f>
        <v>0</v>
      </c>
      <c r="T16" s="220">
        <f>September!T16+October!T16+November!T16+December!T16+January!T16+February!T16+March!T16+April!T16+May!T16+June!T16+July!T16+August!T16+Adj!T16</f>
        <v>6035</v>
      </c>
      <c r="U16" s="220">
        <f>September!U16+October!U16+November!U16+December!U16+January!U16+February!U16+March!U16+April!U16+May!U16+June!U16+July!U16+August!U16+Adj!U16</f>
        <v>0</v>
      </c>
      <c r="V16" s="288">
        <f>September!V16+October!V16+November!V16+December!V16+January!V16+February!V16+March!V16+April!V16+May!V16+June!V16+July!V16+August!V16+Adj!V16</f>
        <v>6671</v>
      </c>
      <c r="W16" s="220">
        <f>September!W16+October!W16+November!W16+December!W16+January!W16+February!W16+March!W16+April!W16+May!W16+June!W16+July!W16+August!W16+Adj!W16</f>
        <v>0</v>
      </c>
      <c r="X16" s="220">
        <f>September!X16+October!X16+November!X16+December!X16+January!X16+February!X16+March!X16+April!X16+May!X16+June!X16+July!X16+August!X16+Adj!X16</f>
        <v>0</v>
      </c>
      <c r="Y16" s="220">
        <f>September!Y16+October!Y16+November!Y16+December!Y16+January!Y16+February!Y16+March!Y16+April!Y16+May!Y16+June!Y16+July!Y16+August!Y16+Adj!Y16</f>
        <v>0</v>
      </c>
      <c r="Z16" s="220">
        <f>September!Z16+October!Z16+November!Z16+December!Z16+January!Z16+February!Z16+March!Z16+April!Z16+May!Z16+June!Z16+July!Z16+August!Z16+Adj!Z16</f>
        <v>20588</v>
      </c>
      <c r="AA16" s="220">
        <f>September!AA16+October!AA16+November!AA16+December!AA16+January!AA16+February!AA16+March!AA16+April!AA16+May!AA16+June!AA16+July!AA16+August!AA16+Adj!AA16</f>
        <v>0</v>
      </c>
      <c r="AC16" s="122"/>
      <c r="AD16" s="122"/>
      <c r="AE16" s="122"/>
      <c r="AF16" s="122"/>
      <c r="AG16" s="122"/>
      <c r="AH16" s="122"/>
      <c r="AI16" s="122"/>
      <c r="AJ16" s="122"/>
      <c r="AK16" s="122"/>
      <c r="AL16" s="255"/>
    </row>
    <row r="17" spans="1:38" x14ac:dyDescent="0.25">
      <c r="A17" s="117" t="s">
        <v>123</v>
      </c>
      <c r="B17" s="137" t="s">
        <v>277</v>
      </c>
      <c r="C17" s="220">
        <f>September!C17+October!C17+November!C17+December!C17+January!C17+February!C17+March!C17+April!C17+May!C17+June!C17+July!C17+August!C17+Adj!C17</f>
        <v>687</v>
      </c>
      <c r="D17" s="220">
        <f>September!D17+October!D17+November!D17+December!D17+January!D17+February!D17+March!D17+April!D17+May!D17+June!D17+July!D17+August!D17+Adj!D17</f>
        <v>464</v>
      </c>
      <c r="E17" s="220">
        <f>September!E17+October!E17+November!E17+December!E17+January!E17+February!E17+March!E17+April!E17+May!E17+June!E17+July!E17+August!E17+Adj!E17</f>
        <v>92</v>
      </c>
      <c r="F17" s="220">
        <f>September!F17+October!F17+November!F17+December!F17+January!F17+February!F17+March!F17+April!F17+May!F17+June!F17+July!F17+August!F17+Adj!F17</f>
        <v>32</v>
      </c>
      <c r="G17" s="220">
        <f>September!G17+October!G17+November!G17+December!G17+January!G17+February!G17+March!G17+April!G17+May!G17+June!G17+July!G17+August!G17+Adj!G17</f>
        <v>35</v>
      </c>
      <c r="H17" s="220">
        <f>September!H17+October!H17+November!H17+December!H17+January!H17+February!H17+March!H17+April!H17+May!H17+June!H17+July!H17+August!H17+Adj!H17</f>
        <v>4</v>
      </c>
      <c r="I17" s="220">
        <f>September!I17+October!I17+November!I17+December!I17+January!I17+February!I17+March!I17+April!I17+May!I17+June!I17+July!I17+August!I17+Adj!I17</f>
        <v>0</v>
      </c>
      <c r="J17" s="220">
        <f>September!J17+October!J17+November!J17+December!J17+January!J17+February!J17+March!J17+April!J17+May!J17+June!J17+July!J17+August!J17+Adj!J17</f>
        <v>48</v>
      </c>
      <c r="K17" s="220">
        <f>September!K17+October!K17+November!K17+December!K17+January!K17+February!K17+March!K17+April!K17+May!K17+June!K17+July!K17+August!K17+Adj!K17</f>
        <v>0</v>
      </c>
      <c r="L17" s="288">
        <f>September!L17+October!L17+November!L17+December!L17+January!L17+February!L17+March!L17+April!L17+May!L17+June!L17+July!L17+August!L17+Adj!L17</f>
        <v>1362</v>
      </c>
      <c r="M17" s="220">
        <f>September!M17+October!M17+November!M17+December!M17+January!M17+February!M17+March!M17+April!M17+May!M17+June!M17+July!M17+August!M17+Adj!M17</f>
        <v>784</v>
      </c>
      <c r="N17" s="220">
        <f>September!N17+October!N17+November!N17+December!N17+January!N17+February!N17+March!N17+April!N17+May!N17+June!N17+July!N17+August!N17+Adj!N17</f>
        <v>1270</v>
      </c>
      <c r="O17" s="220">
        <f>September!O17+October!O17+November!O17+December!O17+January!O17+February!O17+March!O17+April!O17+May!O17+June!O17+July!O17+August!O17+Adj!O17</f>
        <v>534</v>
      </c>
      <c r="P17" s="220">
        <f>September!P17+October!P17+November!P17+December!P17+January!P17+February!P17+March!P17+April!P17+May!P17+June!P17+July!P17+August!P17+Adj!P17</f>
        <v>37</v>
      </c>
      <c r="Q17" s="220">
        <f>September!Q17+October!Q17+November!Q17+December!Q17+January!Q17+February!Q17+March!Q17+April!Q17+May!Q17+June!Q17+July!Q17+August!Q17+Adj!Q17</f>
        <v>80</v>
      </c>
      <c r="R17" s="220">
        <f>September!R17+October!R17+November!R17+December!R17+January!R17+February!R17+March!R17+April!R17+May!R17+June!R17+July!R17+August!R17+Adj!R17</f>
        <v>170</v>
      </c>
      <c r="S17" s="220">
        <f>September!S17+October!S17+November!S17+December!S17+January!S17+February!S17+March!S17+April!S17+May!S17+June!S17+July!S17+August!S17+Adj!S17</f>
        <v>16</v>
      </c>
      <c r="T17" s="220">
        <f>September!T17+October!T17+November!T17+December!T17+January!T17+February!T17+March!T17+April!T17+May!T17+June!T17+July!T17+August!T17+Adj!T17</f>
        <v>127</v>
      </c>
      <c r="U17" s="220">
        <f>September!U17+October!U17+November!U17+December!U17+January!U17+February!U17+March!U17+April!U17+May!U17+June!U17+July!U17+August!U17+Adj!U17</f>
        <v>0</v>
      </c>
      <c r="V17" s="288">
        <f>September!V17+October!V17+November!V17+December!V17+January!V17+February!V17+March!V17+April!V17+May!V17+June!V17+July!V17+August!V17+Adj!V17</f>
        <v>3018</v>
      </c>
      <c r="W17" s="220">
        <f>September!W17+October!W17+November!W17+December!W17+January!W17+February!W17+March!W17+April!W17+May!W17+June!W17+July!W17+August!W17+Adj!W17</f>
        <v>1005</v>
      </c>
      <c r="X17" s="220">
        <f>September!X17+October!X17+November!X17+December!X17+January!X17+February!X17+March!X17+April!X17+May!X17+June!X17+July!X17+August!X17+Adj!X17</f>
        <v>53</v>
      </c>
      <c r="Y17" s="220">
        <f>September!Y17+October!Y17+November!Y17+December!Y17+January!Y17+February!Y17+March!Y17+April!Y17+May!Y17+June!Y17+July!Y17+August!Y17+Adj!Y17</f>
        <v>24</v>
      </c>
      <c r="Z17" s="220">
        <f>September!Z17+October!Z17+November!Z17+December!Z17+January!Z17+February!Z17+March!Z17+April!Z17+May!Z17+June!Z17+July!Z17+August!Z17+Adj!Z17</f>
        <v>5462</v>
      </c>
      <c r="AA17" s="220">
        <f>September!AA17+October!AA17+November!AA17+December!AA17+January!AA17+February!AA17+March!AA17+April!AA17+May!AA17+June!AA17+July!AA17+August!AA17+Adj!AA17</f>
        <v>3274</v>
      </c>
      <c r="AC17" s="122"/>
      <c r="AD17" s="122"/>
      <c r="AE17" s="122"/>
      <c r="AF17" s="122"/>
      <c r="AG17" s="122"/>
      <c r="AH17" s="122"/>
      <c r="AI17" s="122"/>
      <c r="AJ17" s="122"/>
      <c r="AK17" s="122"/>
      <c r="AL17" s="255"/>
    </row>
    <row r="18" spans="1:38" x14ac:dyDescent="0.25">
      <c r="A18" s="117" t="s">
        <v>128</v>
      </c>
      <c r="B18" s="137" t="s">
        <v>332</v>
      </c>
      <c r="C18" s="220">
        <f>September!C18+October!C18+November!C18+December!C18+January!C18+February!C18+March!C18+April!C18+May!C18+June!C18+July!C18+August!C18+Adj!C18</f>
        <v>3062</v>
      </c>
      <c r="D18" s="220">
        <f>September!D18+October!D18+November!D18+December!D18+January!D18+February!D18+March!D18+April!D18+May!D18+June!D18+July!D18+August!D18+Adj!D18</f>
        <v>857</v>
      </c>
      <c r="E18" s="220">
        <f>September!E18+October!E18+November!E18+December!E18+January!E18+February!E18+March!E18+April!E18+May!E18+June!E18+July!E18+August!E18+Adj!E18</f>
        <v>1035</v>
      </c>
      <c r="F18" s="220">
        <f>September!F18+October!F18+November!F18+December!F18+January!F18+February!F18+March!F18+April!F18+May!F18+June!F18+July!F18+August!F18+Adj!F18</f>
        <v>90</v>
      </c>
      <c r="G18" s="220">
        <f>September!G18+October!G18+November!G18+December!G18+January!G18+February!G18+March!G18+April!G18+May!G18+June!G18+July!G18+August!G18+Adj!G18</f>
        <v>36</v>
      </c>
      <c r="H18" s="220">
        <f>September!H18+October!H18+November!H18+December!H18+January!H18+February!H18+March!H18+April!H18+May!H18+June!H18+July!H18+August!H18+Adj!H18</f>
        <v>7</v>
      </c>
      <c r="I18" s="220">
        <f>September!I18+October!I18+November!I18+December!I18+January!I18+February!I18+March!I18+April!I18+May!I18+June!I18+July!I18+August!I18+Adj!I18</f>
        <v>289</v>
      </c>
      <c r="J18" s="220">
        <f>September!J18+October!J18+November!J18+December!J18+January!J18+February!J18+March!J18+April!J18+May!J18+June!J18+July!J18+August!J18+Adj!J18</f>
        <v>410</v>
      </c>
      <c r="K18" s="220">
        <f>September!K18+October!K18+November!K18+December!K18+January!K18+February!K18+March!K18+April!K18+May!K18+June!K18+July!K18+August!K18+Adj!K18</f>
        <v>120</v>
      </c>
      <c r="L18" s="288">
        <f>September!L18+October!L18+November!L18+December!L18+January!L18+February!L18+March!L18+April!L18+May!L18+June!L18+July!L18+August!L18+Adj!L18</f>
        <v>5906</v>
      </c>
      <c r="M18" s="220">
        <f>September!M18+October!M18+November!M18+December!M18+January!M18+February!M18+March!M18+April!M18+May!M18+June!M18+July!M18+August!M18+Adj!M18</f>
        <v>4456</v>
      </c>
      <c r="N18" s="220">
        <f>September!N18+October!N18+November!N18+December!N18+January!N18+February!N18+March!N18+April!N18+May!N18+June!N18+July!N18+August!N18+Adj!N18</f>
        <v>4078</v>
      </c>
      <c r="O18" s="220">
        <f>September!O18+October!O18+November!O18+December!O18+January!O18+February!O18+March!O18+April!O18+May!O18+June!O18+July!O18+August!O18+Adj!O18</f>
        <v>2580</v>
      </c>
      <c r="P18" s="220">
        <f>September!P18+October!P18+November!P18+December!P18+January!P18+February!P18+March!P18+April!P18+May!P18+June!P18+July!P18+August!P18+Adj!P18</f>
        <v>210</v>
      </c>
      <c r="Q18" s="220">
        <f>September!Q18+October!Q18+November!Q18+December!Q18+January!Q18+February!Q18+March!Q18+April!Q18+May!Q18+June!Q18+July!Q18+August!Q18+Adj!Q18</f>
        <v>84</v>
      </c>
      <c r="R18" s="220">
        <f>September!R18+October!R18+November!R18+December!R18+January!R18+February!R18+March!R18+April!R18+May!R18+June!R18+July!R18+August!R18+Adj!R18</f>
        <v>112</v>
      </c>
      <c r="S18" s="220">
        <f>September!S18+October!S18+November!S18+December!S18+January!S18+February!S18+March!S18+April!S18+May!S18+June!S18+July!S18+August!S18+Adj!S18</f>
        <v>0</v>
      </c>
      <c r="T18" s="220">
        <f>September!T18+October!T18+November!T18+December!T18+January!T18+February!T18+March!T18+April!T18+May!T18+June!T18+July!T18+August!T18+Adj!T18</f>
        <v>114</v>
      </c>
      <c r="U18" s="220">
        <f>September!U18+October!U18+November!U18+December!U18+January!U18+February!U18+March!U18+April!U18+May!U18+June!U18+July!U18+August!U18+Adj!U18</f>
        <v>99</v>
      </c>
      <c r="V18" s="288">
        <f>September!V18+October!V18+November!V18+December!V18+January!V18+February!V18+March!V18+April!V18+May!V18+June!V18+July!V18+August!V18+Adj!V18</f>
        <v>11733</v>
      </c>
      <c r="W18" s="220">
        <f>September!W18+October!W18+November!W18+December!W18+January!W18+February!W18+March!W18+April!W18+May!W18+June!W18+July!W18+August!W18+Adj!W18</f>
        <v>0</v>
      </c>
      <c r="X18" s="220">
        <f>September!X18+October!X18+November!X18+December!X18+January!X18+February!X18+March!X18+April!X18+May!X18+June!X18+July!X18+August!X18+Adj!X18</f>
        <v>0</v>
      </c>
      <c r="Y18" s="220">
        <f>September!Y18+October!Y18+November!Y18+December!Y18+January!Y18+February!Y18+March!Y18+April!Y18+May!Y18+June!Y18+July!Y18+August!Y18+Adj!Y18</f>
        <v>0</v>
      </c>
      <c r="Z18" s="220">
        <f>September!Z18+October!Z18+November!Z18+December!Z18+January!Z18+February!Z18+March!Z18+April!Z18+May!Z18+June!Z18+July!Z18+August!Z18+Adj!Z18</f>
        <v>17639</v>
      </c>
      <c r="AA18" s="220">
        <f>September!AA18+October!AA18+November!AA18+December!AA18+January!AA18+February!AA18+March!AA18+April!AA18+May!AA18+June!AA18+July!AA18+August!AA18+Adj!AA18</f>
        <v>12972</v>
      </c>
      <c r="AC18" s="122"/>
      <c r="AD18" s="122"/>
      <c r="AE18" s="122"/>
      <c r="AF18" s="122"/>
      <c r="AG18" s="122"/>
      <c r="AH18" s="122"/>
      <c r="AI18" s="122"/>
      <c r="AJ18" s="122"/>
      <c r="AK18" s="122"/>
      <c r="AL18" s="255"/>
    </row>
    <row r="19" spans="1:38" x14ac:dyDescent="0.25">
      <c r="A19" s="117" t="s">
        <v>150</v>
      </c>
      <c r="B19" s="137" t="s">
        <v>278</v>
      </c>
      <c r="C19" s="220">
        <f>September!C19+October!C19+November!C19+December!C19+January!C19+February!C19+March!C19+April!C19+May!C19+June!C19+July!C19+August!C19+Adj!C19</f>
        <v>16948</v>
      </c>
      <c r="D19" s="220">
        <f>September!D19+October!D19+November!D19+December!D19+January!D19+February!D19+March!D19+April!D19+May!D19+June!D19+July!D19+August!D19+Adj!D19</f>
        <v>2794</v>
      </c>
      <c r="E19" s="220">
        <f>September!E19+October!E19+November!E19+December!E19+January!E19+February!E19+March!E19+April!E19+May!E19+June!E19+July!E19+August!E19+Adj!E19</f>
        <v>7530</v>
      </c>
      <c r="F19" s="220">
        <f>September!F19+October!F19+November!F19+December!F19+January!F19+February!F19+March!F19+April!F19+May!F19+June!F19+July!F19+August!F19+Adj!F19</f>
        <v>440</v>
      </c>
      <c r="G19" s="220">
        <f>September!G19+October!G19+November!G19+December!G19+January!G19+February!G19+March!G19+April!G19+May!G19+June!G19+July!G19+August!G19+Adj!G19</f>
        <v>136</v>
      </c>
      <c r="H19" s="220">
        <f>September!H19+October!H19+November!H19+December!H19+January!H19+February!H19+March!H19+April!H19+May!H19+June!H19+July!H19+August!H19+Adj!H19</f>
        <v>26</v>
      </c>
      <c r="I19" s="220">
        <f>September!I19+October!I19+November!I19+December!I19+January!I19+February!I19+March!I19+April!I19+May!I19+June!I19+July!I19+August!I19+Adj!I19</f>
        <v>180</v>
      </c>
      <c r="J19" s="220">
        <f>September!J19+October!J19+November!J19+December!J19+January!J19+February!J19+March!J19+April!J19+May!J19+June!J19+July!J19+August!J19+Adj!J19</f>
        <v>1925</v>
      </c>
      <c r="K19" s="220">
        <f>September!K19+October!K19+November!K19+December!K19+January!K19+February!K19+March!K19+April!K19+May!K19+June!K19+July!K19+August!K19+Adj!K19</f>
        <v>5</v>
      </c>
      <c r="L19" s="288">
        <f>September!L19+October!L19+November!L19+December!L19+January!L19+February!L19+March!L19+April!L19+May!L19+June!L19+July!L19+August!L19+Adj!L19</f>
        <v>29984</v>
      </c>
      <c r="M19" s="220">
        <f>September!M19+October!M19+November!M19+December!M19+January!M19+February!M19+March!M19+April!M19+May!M19+June!M19+July!M19+August!M19+Adj!M19</f>
        <v>5255</v>
      </c>
      <c r="N19" s="220">
        <f>September!N19+October!N19+November!N19+December!N19+January!N19+February!N19+March!N19+April!N19+May!N19+June!N19+July!N19+August!N19+Adj!N19</f>
        <v>3136</v>
      </c>
      <c r="O19" s="220">
        <f>September!O19+October!O19+November!O19+December!O19+January!O19+February!O19+March!O19+April!O19+May!O19+June!O19+July!O19+August!O19+Adj!O19</f>
        <v>1284</v>
      </c>
      <c r="P19" s="220">
        <f>September!P19+October!P19+November!P19+December!P19+January!P19+February!P19+March!P19+April!P19+May!P19+June!P19+July!P19+August!P19+Adj!P19</f>
        <v>158</v>
      </c>
      <c r="Q19" s="220">
        <f>September!Q19+October!Q19+November!Q19+December!Q19+January!Q19+February!Q19+March!Q19+April!Q19+May!Q19+June!Q19+July!Q19+August!Q19+Adj!Q19</f>
        <v>164</v>
      </c>
      <c r="R19" s="220">
        <f>September!R19+October!R19+November!R19+December!R19+January!R19+February!R19+March!R19+April!R19+May!R19+June!R19+July!R19+August!R19+Adj!R19</f>
        <v>89</v>
      </c>
      <c r="S19" s="220">
        <f>September!S19+October!S19+November!S19+December!S19+January!S19+February!S19+March!S19+April!S19+May!S19+June!S19+July!S19+August!S19+Adj!S19</f>
        <v>8</v>
      </c>
      <c r="T19" s="220">
        <f>September!T19+October!T19+November!T19+December!T19+January!T19+February!T19+March!T19+April!T19+May!T19+June!T19+July!T19+August!T19+Adj!T19</f>
        <v>137</v>
      </c>
      <c r="U19" s="220">
        <f>September!U19+October!U19+November!U19+December!U19+January!U19+February!U19+March!U19+April!U19+May!U19+June!U19+July!U19+August!U19+Adj!U19</f>
        <v>0</v>
      </c>
      <c r="V19" s="288">
        <f>September!V19+October!V19+November!V19+December!V19+January!V19+February!V19+March!V19+April!V19+May!V19+June!V19+July!V19+August!V19+Adj!V19</f>
        <v>10231</v>
      </c>
      <c r="W19" s="220">
        <f>September!W19+October!W19+November!W19+December!W19+January!W19+February!W19+March!W19+April!W19+May!W19+June!W19+July!W19+August!W19+Adj!W19</f>
        <v>5313</v>
      </c>
      <c r="X19" s="220">
        <f>September!X19+October!X19+November!X19+December!X19+January!X19+February!X19+March!X19+April!X19+May!X19+June!X19+July!X19+August!X19+Adj!X19</f>
        <v>0</v>
      </c>
      <c r="Y19" s="220">
        <f>September!Y19+October!Y19+November!Y19+December!Y19+January!Y19+February!Y19+March!Y19+April!Y19+May!Y19+June!Y19+July!Y19+August!Y19+Adj!Y19</f>
        <v>0</v>
      </c>
      <c r="Z19" s="220">
        <f>September!Z19+October!Z19+November!Z19+December!Z19+January!Z19+February!Z19+March!Z19+April!Z19+May!Z19+June!Z19+July!Z19+August!Z19+Adj!Z19</f>
        <v>45528</v>
      </c>
      <c r="AA19" s="220">
        <f>September!AA19+October!AA19+November!AA19+December!AA19+January!AA19+February!AA19+March!AA19+April!AA19+May!AA19+June!AA19+July!AA19+August!AA19+Adj!AA19</f>
        <v>28736</v>
      </c>
      <c r="AC19" s="122"/>
      <c r="AD19" s="122"/>
      <c r="AE19" s="122"/>
      <c r="AF19" s="122"/>
      <c r="AG19" s="122"/>
      <c r="AH19" s="122"/>
      <c r="AI19" s="122"/>
      <c r="AJ19" s="122"/>
      <c r="AK19" s="122"/>
      <c r="AL19" s="255"/>
    </row>
    <row r="20" spans="1:38" x14ac:dyDescent="0.25">
      <c r="A20" s="117" t="s">
        <v>181</v>
      </c>
      <c r="B20" s="137" t="s">
        <v>335</v>
      </c>
      <c r="C20" s="220">
        <f>September!C20+October!C20+November!C20+December!C20+January!C20+February!C20+March!C20+April!C20+May!C20+June!C20+July!C20+August!C20+Adj!C20</f>
        <v>12491</v>
      </c>
      <c r="D20" s="220">
        <f>September!D20+October!D20+November!D20+December!D20+January!D20+February!D20+March!D20+April!D20+May!D20+June!D20+July!D20+August!D20+Adj!D20</f>
        <v>14079</v>
      </c>
      <c r="E20" s="220">
        <f>September!E20+October!E20+November!E20+December!E20+January!E20+February!E20+March!E20+April!E20+May!E20+June!E20+July!E20+August!E20+Adj!E20</f>
        <v>3567</v>
      </c>
      <c r="F20" s="220">
        <f>September!F20+October!F20+November!F20+December!F20+January!F20+February!F20+March!F20+April!F20+May!F20+June!F20+July!F20+August!F20+Adj!F20</f>
        <v>676</v>
      </c>
      <c r="G20" s="220">
        <f>September!G20+October!G20+November!G20+December!G20+January!G20+February!G20+March!G20+April!G20+May!G20+June!G20+July!G20+August!G20+Adj!G20</f>
        <v>691</v>
      </c>
      <c r="H20" s="220">
        <f>September!H20+October!H20+November!H20+December!H20+January!H20+February!H20+March!H20+April!H20+May!H20+June!H20+July!H20+August!H20+Adj!H20</f>
        <v>0</v>
      </c>
      <c r="I20" s="220">
        <f>September!I20+October!I20+November!I20+December!I20+January!I20+February!I20+March!I20+April!I20+May!I20+June!I20+July!I20+August!I20+Adj!I20</f>
        <v>1514</v>
      </c>
      <c r="J20" s="220">
        <f>September!J20+October!J20+November!J20+December!J20+January!J20+February!J20+March!J20+April!J20+May!J20+June!J20+July!J20+August!J20+Adj!J20</f>
        <v>7812</v>
      </c>
      <c r="K20" s="220">
        <f>September!K20+October!K20+November!K20+December!K20+January!K20+February!K20+March!K20+April!K20+May!K20+June!K20+July!K20+August!K20+Adj!K20</f>
        <v>599</v>
      </c>
      <c r="L20" s="288">
        <f>September!L20+October!L20+November!L20+December!L20+January!L20+February!L20+March!L20+April!L20+May!L20+June!L20+July!L20+August!L20+Adj!L20</f>
        <v>41429</v>
      </c>
      <c r="M20" s="220">
        <f>September!M20+October!M20+November!M20+December!M20+January!M20+February!M20+March!M20+April!M20+May!M20+June!M20+July!M20+August!M20+Adj!M20</f>
        <v>6411</v>
      </c>
      <c r="N20" s="220">
        <f>September!N20+October!N20+November!N20+December!N20+January!N20+February!N20+March!N20+April!N20+May!N20+June!N20+July!N20+August!N20+Adj!N20</f>
        <v>15851</v>
      </c>
      <c r="O20" s="220">
        <f>September!O20+October!O20+November!O20+December!O20+January!O20+February!O20+March!O20+April!O20+May!O20+June!O20+July!O20+August!O20+Adj!O20</f>
        <v>3637</v>
      </c>
      <c r="P20" s="220">
        <f>September!P20+October!P20+November!P20+December!P20+January!P20+February!P20+March!P20+April!P20+May!P20+June!P20+July!P20+August!P20+Adj!P20</f>
        <v>759</v>
      </c>
      <c r="Q20" s="220">
        <f>September!Q20+October!Q20+November!Q20+December!Q20+January!Q20+February!Q20+March!Q20+April!Q20+May!Q20+June!Q20+July!Q20+August!Q20+Adj!Q20</f>
        <v>658</v>
      </c>
      <c r="R20" s="220">
        <f>September!R20+October!R20+November!R20+December!R20+January!R20+February!R20+March!R20+April!R20+May!R20+June!R20+July!R20+August!R20+Adj!R20</f>
        <v>170</v>
      </c>
      <c r="S20" s="220">
        <f>September!S20+October!S20+November!S20+December!S20+January!S20+February!S20+March!S20+April!S20+May!S20+June!S20+July!S20+August!S20+Adj!S20</f>
        <v>97</v>
      </c>
      <c r="T20" s="220">
        <f>September!T20+October!T20+November!T20+December!T20+January!T20+February!T20+March!T20+April!T20+May!T20+June!T20+July!T20+August!T20+Adj!T20</f>
        <v>329</v>
      </c>
      <c r="U20" s="220">
        <f>September!U20+October!U20+November!U20+December!U20+January!U20+February!U20+March!U20+April!U20+May!U20+June!U20+July!U20+August!U20+Adj!U20</f>
        <v>0</v>
      </c>
      <c r="V20" s="288">
        <f>September!V20+October!V20+November!V20+December!V20+January!V20+February!V20+March!V20+April!V20+May!V20+June!V20+July!V20+August!V20+Adj!V20</f>
        <v>27912</v>
      </c>
      <c r="W20" s="220">
        <f>September!W20+October!W20+November!W20+December!W20+January!W20+February!W20+March!W20+April!W20+May!W20+June!W20+July!W20+August!W20+Adj!W20</f>
        <v>0</v>
      </c>
      <c r="X20" s="220">
        <f>September!X20+October!X20+November!X20+December!X20+January!X20+February!X20+March!X20+April!X20+May!X20+June!X20+July!X20+August!X20+Adj!X20</f>
        <v>0</v>
      </c>
      <c r="Y20" s="220">
        <f>September!Y20+October!Y20+November!Y20+December!Y20+January!Y20+February!Y20+March!Y20+April!Y20+May!Y20+June!Y20+July!Y20+August!Y20+Adj!Y20</f>
        <v>0</v>
      </c>
      <c r="Z20" s="220">
        <f>September!Z20+October!Z20+November!Z20+December!Z20+January!Z20+February!Z20+March!Z20+April!Z20+May!Z20+June!Z20+July!Z20+August!Z20+Adj!Z20</f>
        <v>69341</v>
      </c>
      <c r="AA20" s="220">
        <f>September!AA20+October!AA20+November!AA20+December!AA20+January!AA20+February!AA20+March!AA20+April!AA20+May!AA20+June!AA20+July!AA20+August!AA20+Adj!AA20</f>
        <v>50866</v>
      </c>
      <c r="AC20" s="122"/>
      <c r="AD20" s="122"/>
      <c r="AE20" s="122"/>
      <c r="AF20" s="122"/>
      <c r="AG20" s="122"/>
      <c r="AH20" s="122"/>
      <c r="AI20" s="122"/>
      <c r="AJ20" s="122"/>
      <c r="AK20" s="122"/>
      <c r="AL20" s="255"/>
    </row>
    <row r="21" spans="1:38" x14ac:dyDescent="0.25">
      <c r="A21" s="117" t="s">
        <v>184</v>
      </c>
      <c r="B21" s="137" t="s">
        <v>279</v>
      </c>
      <c r="C21" s="220">
        <f>September!C21+October!C21+November!C21+December!C21+January!C21+February!C21+March!C21+April!C21+May!C21+June!C21+July!C21+August!C21+Adj!C21</f>
        <v>4035</v>
      </c>
      <c r="D21" s="220">
        <f>September!D21+October!D21+November!D21+December!D21+January!D21+February!D21+March!D21+April!D21+May!D21+June!D21+July!D21+August!D21+Adj!D21</f>
        <v>1593</v>
      </c>
      <c r="E21" s="220">
        <f>September!E21+October!E21+November!E21+December!E21+January!E21+February!E21+March!E21+April!E21+May!E21+June!E21+July!E21+August!E21+Adj!E21</f>
        <v>766</v>
      </c>
      <c r="F21" s="220">
        <f>September!F21+October!F21+November!F21+December!F21+January!F21+February!F21+March!F21+April!F21+May!F21+June!F21+July!F21+August!F21+Adj!F21</f>
        <v>215</v>
      </c>
      <c r="G21" s="220">
        <f>September!G21+October!G21+November!G21+December!G21+January!G21+February!G21+March!G21+April!G21+May!G21+June!G21+July!G21+August!G21+Adj!G21</f>
        <v>132</v>
      </c>
      <c r="H21" s="220">
        <f>September!H21+October!H21+November!H21+December!H21+January!H21+February!H21+March!H21+April!H21+May!H21+June!H21+July!H21+August!H21+Adj!H21</f>
        <v>0</v>
      </c>
      <c r="I21" s="220">
        <f>September!I21+October!I21+November!I21+December!I21+January!I21+February!I21+March!I21+April!I21+May!I21+June!I21+July!I21+August!I21+Adj!I21</f>
        <v>1300</v>
      </c>
      <c r="J21" s="220">
        <f>September!J21+October!J21+November!J21+December!J21+January!J21+February!J21+March!J21+April!J21+May!J21+June!J21+July!J21+August!J21+Adj!J21</f>
        <v>167</v>
      </c>
      <c r="K21" s="220">
        <f>September!K21+October!K21+November!K21+December!K21+January!K21+February!K21+March!K21+April!K21+May!K21+June!K21+July!K21+August!K21+Adj!K21</f>
        <v>0</v>
      </c>
      <c r="L21" s="288">
        <f>September!L21+October!L21+November!L21+December!L21+January!L21+February!L21+March!L21+April!L21+May!L21+June!L21+July!L21+August!L21+Adj!L21</f>
        <v>8208</v>
      </c>
      <c r="M21" s="220">
        <f>September!M21+October!M21+November!M21+December!M21+January!M21+February!M21+March!M21+April!M21+May!M21+June!M21+July!M21+August!M21+Adj!M21</f>
        <v>3955</v>
      </c>
      <c r="N21" s="220">
        <f>September!N21+October!N21+November!N21+December!N21+January!N21+February!N21+March!N21+April!N21+May!N21+June!N21+July!N21+August!N21+Adj!N21</f>
        <v>6727</v>
      </c>
      <c r="O21" s="220">
        <f>September!O21+October!O21+November!O21+December!O21+January!O21+February!O21+March!O21+April!O21+May!O21+June!O21+July!O21+August!O21+Adj!O21</f>
        <v>882</v>
      </c>
      <c r="P21" s="220">
        <f>September!P21+October!P21+November!P21+December!P21+January!P21+February!P21+March!P21+April!P21+May!P21+June!P21+July!P21+August!P21+Adj!P21</f>
        <v>231</v>
      </c>
      <c r="Q21" s="220">
        <f>September!Q21+October!Q21+November!Q21+December!Q21+January!Q21+February!Q21+March!Q21+April!Q21+May!Q21+June!Q21+July!Q21+August!Q21+Adj!Q21</f>
        <v>247</v>
      </c>
      <c r="R21" s="220">
        <f>September!R21+October!R21+November!R21+December!R21+January!R21+February!R21+March!R21+April!R21+May!R21+June!R21+July!R21+August!R21+Adj!R21</f>
        <v>66</v>
      </c>
      <c r="S21" s="220">
        <f>September!S21+October!S21+November!S21+December!S21+January!S21+February!S21+March!S21+April!S21+May!S21+June!S21+July!S21+August!S21+Adj!S21</f>
        <v>232</v>
      </c>
      <c r="T21" s="220">
        <f>September!T21+October!T21+November!T21+December!T21+January!T21+February!T21+March!T21+April!T21+May!T21+June!T21+July!T21+August!T21+Adj!T21</f>
        <v>211</v>
      </c>
      <c r="U21" s="220">
        <f>September!U21+October!U21+November!U21+December!U21+January!U21+February!U21+March!U21+April!U21+May!U21+June!U21+July!U21+August!U21+Adj!U21</f>
        <v>0</v>
      </c>
      <c r="V21" s="288">
        <f>September!V21+October!V21+November!V21+December!V21+January!V21+February!V21+March!V21+April!V21+May!V21+June!V21+July!V21+August!V21+Adj!V21</f>
        <v>12551</v>
      </c>
      <c r="W21" s="220">
        <f>September!W21+October!W21+November!W21+December!W21+January!W21+February!W21+March!W21+April!W21+May!W21+June!W21+July!W21+August!W21+Adj!W21</f>
        <v>2983</v>
      </c>
      <c r="X21" s="220">
        <f>September!X21+October!X21+November!X21+December!X21+January!X21+February!X21+March!X21+April!X21+May!X21+June!X21+July!X21+August!X21+Adj!X21</f>
        <v>0</v>
      </c>
      <c r="Y21" s="220">
        <f>September!Y21+October!Y21+November!Y21+December!Y21+January!Y21+February!Y21+March!Y21+April!Y21+May!Y21+June!Y21+July!Y21+August!Y21+Adj!Y21</f>
        <v>0</v>
      </c>
      <c r="Z21" s="220">
        <f>September!Z21+October!Z21+November!Z21+December!Z21+January!Z21+February!Z21+March!Z21+April!Z21+May!Z21+June!Z21+July!Z21+August!Z21+Adj!Z21</f>
        <v>23742</v>
      </c>
      <c r="AA21" s="220">
        <f>September!AA21+October!AA21+November!AA21+December!AA21+January!AA21+February!AA21+March!AA21+April!AA21+May!AA21+June!AA21+July!AA21+August!AA21+Adj!AA21</f>
        <v>16756</v>
      </c>
      <c r="AC21" s="122"/>
      <c r="AD21" s="122"/>
      <c r="AE21" s="122"/>
      <c r="AF21" s="122"/>
      <c r="AG21" s="122"/>
      <c r="AH21" s="122"/>
      <c r="AI21" s="122"/>
      <c r="AJ21" s="122"/>
      <c r="AK21" s="122"/>
      <c r="AL21" s="255"/>
    </row>
    <row r="22" spans="1:38" ht="13.8" thickBot="1" x14ac:dyDescent="0.3">
      <c r="A22" s="117" t="s">
        <v>194</v>
      </c>
      <c r="B22" s="143" t="s">
        <v>280</v>
      </c>
      <c r="C22" s="282">
        <f>September!C22+October!C22+November!C22+December!C22+January!C22+February!C22+March!C22+April!C22+May!C22+June!C22+July!C22+August!C22+Adj!C22</f>
        <v>0</v>
      </c>
      <c r="D22" s="282">
        <f>September!D22+October!D22+November!D22+December!D22+January!D22+February!D22+March!D22+April!D22+May!D22+June!D22+July!D22+August!D22+Adj!D22</f>
        <v>0</v>
      </c>
      <c r="E22" s="282">
        <f>September!E22+October!E22+November!E22+December!E22+January!E22+February!E22+March!E22+April!E22+May!E22+June!E22+July!E22+August!E22+Adj!E22</f>
        <v>9258</v>
      </c>
      <c r="F22" s="282">
        <f>September!F22+October!F22+November!F22+December!F22+January!F22+February!F22+March!F22+April!F22+May!F22+June!F22+July!F22+August!F22+Adj!F22</f>
        <v>0</v>
      </c>
      <c r="G22" s="282">
        <f>September!G22+October!G22+November!G22+December!G22+January!G22+February!G22+March!G22+April!G22+May!G22+June!G22+July!G22+August!G22+Adj!G22</f>
        <v>0</v>
      </c>
      <c r="H22" s="282">
        <f>September!H22+October!H22+November!H22+December!H22+January!H22+February!H22+March!H22+April!H22+May!H22+June!H22+July!H22+August!H22+Adj!H22</f>
        <v>0</v>
      </c>
      <c r="I22" s="282">
        <f>September!I22+October!I22+November!I22+December!I22+January!I22+February!I22+March!I22+April!I22+May!I22+June!I22+July!I22+August!I22+Adj!I22</f>
        <v>0</v>
      </c>
      <c r="J22" s="282">
        <f>September!J22+October!J22+November!J22+December!J22+January!J22+February!J22+March!J22+April!J22+May!J22+June!J22+July!J22+August!J22+Adj!J22</f>
        <v>38635</v>
      </c>
      <c r="K22" s="282">
        <f>September!K22+October!K22+November!K22+December!K22+January!K22+February!K22+March!K22+April!K22+May!K22+June!K22+July!K22+August!K22+Adj!K22</f>
        <v>0</v>
      </c>
      <c r="L22" s="289">
        <f>September!L22+October!L22+November!L22+December!L22+January!L22+February!L22+March!L22+April!L22+May!L22+June!L22+July!L22+August!L22+Adj!L22</f>
        <v>47893</v>
      </c>
      <c r="M22" s="220">
        <f>September!M22+October!M22+November!M22+December!M22+January!M22+February!M22+March!M22+April!M22+May!M22+June!M22+July!M22+August!M22+Adj!M22</f>
        <v>0</v>
      </c>
      <c r="N22" s="220">
        <f>September!N22+October!N22+November!N22+December!N22+January!N22+February!N22+March!N22+April!N22+May!N22+June!N22+July!N22+August!N22+Adj!N22</f>
        <v>0</v>
      </c>
      <c r="O22" s="220">
        <f>September!O22+October!O22+November!O22+December!O22+January!O22+February!O22+March!O22+April!O22+May!O22+June!O22+July!O22+August!O22+Adj!O22</f>
        <v>0</v>
      </c>
      <c r="P22" s="220">
        <f>September!P22+October!P22+November!P22+December!P22+January!P22+February!P22+March!P22+April!P22+May!P22+June!P22+July!P22+August!P22+Adj!P22</f>
        <v>0</v>
      </c>
      <c r="Q22" s="220">
        <f>September!Q22+October!Q22+November!Q22+December!Q22+January!Q22+February!Q22+March!Q22+April!Q22+May!Q22+June!Q22+July!Q22+August!Q22+Adj!Q22</f>
        <v>0</v>
      </c>
      <c r="R22" s="220">
        <f>September!R22+October!R22+November!R22+December!R22+January!R22+February!R22+March!R22+April!R22+May!R22+June!R22+July!R22+August!R22+Adj!R22</f>
        <v>0</v>
      </c>
      <c r="S22" s="220">
        <f>September!S22+October!S22+November!S22+December!S22+January!S22+February!S22+March!S22+April!S22+May!S22+June!S22+July!S22+August!S22+Adj!S22</f>
        <v>0</v>
      </c>
      <c r="T22" s="343">
        <f>September!T22+October!T22+November!T22+December!T22+January!T22+February!T22+March!T22+April!T22+May!T22+June!T22+July!T22+August!T22+Adj!T22</f>
        <v>0</v>
      </c>
      <c r="U22" s="220">
        <f>September!U22+October!U22+November!U22+December!U22+January!U22+February!U22+March!U22+April!U22+May!U22+June!U22+July!U22+August!U22+Adj!U22</f>
        <v>0</v>
      </c>
      <c r="V22" s="288">
        <f>September!V22+October!V22+November!V22+December!V22+January!V22+February!V22+March!V22+April!V22+May!V22+June!V22+July!V22+August!V22+Adj!V22</f>
        <v>0</v>
      </c>
      <c r="W22" s="282">
        <f>September!W22+October!W22+November!W22+December!W22+January!W22+February!W22+March!W22+April!W22+May!W22+June!W22+July!W22+August!W22+Adj!W22</f>
        <v>0</v>
      </c>
      <c r="X22" s="220">
        <f>September!X22+October!X22+November!X22+December!X22+January!X22+February!X22+March!X22+April!X22+May!X22+June!X22+July!X22+August!X22+Adj!X22</f>
        <v>0</v>
      </c>
      <c r="Y22" s="220">
        <f>September!Y22+October!Y22+November!Y22+December!Y22+January!Y22+February!Y22+March!Y22+April!Y22+May!Y22+June!Y22+July!Y22+August!Y22+Adj!Y22</f>
        <v>0</v>
      </c>
      <c r="Z22" s="220">
        <f>September!Z22+October!Z22+November!Z22+December!Z22+January!Z22+February!Z22+March!Z22+April!Z22+May!Z22+June!Z22+July!Z22+August!Z22+Adj!Z22</f>
        <v>47893</v>
      </c>
      <c r="AA22" s="220">
        <f>September!AA22+October!AA22+November!AA22+December!AA22+January!AA22+February!AA22+March!AA22+April!AA22+May!AA22+June!AA22+July!AA22+August!AA22+Adj!AA22</f>
        <v>0</v>
      </c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255"/>
    </row>
    <row r="23" spans="1:38" s="110" customFormat="1" ht="14.4" thickBot="1" x14ac:dyDescent="0.3">
      <c r="A23" s="120"/>
      <c r="B23" s="159" t="s">
        <v>457</v>
      </c>
      <c r="C23" s="283">
        <f>SUM(C6:C22)</f>
        <v>122924</v>
      </c>
      <c r="D23" s="283">
        <f>September!D23+October!D23+November!D23+December!D23+January!D23+February!D23+March!D23+April!D23+May!D23+June!D23+July!D23+August!D23+Adj!D23</f>
        <v>56838</v>
      </c>
      <c r="E23" s="283">
        <f>September!E23+October!E23+November!E23+December!E23+January!E23+February!E23+March!E23+April!E23+May!E23+June!E23+July!E23+August!E23+Adj!E23</f>
        <v>42218</v>
      </c>
      <c r="F23" s="283">
        <f>September!F23+October!F23+November!F23+December!F23+January!F23+February!F23+March!F23+April!F23+May!F23+June!F23+July!F23+August!F23+Adj!F23</f>
        <v>3381</v>
      </c>
      <c r="G23" s="283">
        <f>September!G23+October!G23+November!G23+December!G23+January!G23+February!G23+March!G23+April!G23+May!G23+June!G23+July!G23+August!G23+Adj!G23</f>
        <v>2836</v>
      </c>
      <c r="H23" s="283">
        <f>September!H23+October!H23+November!H23+December!H23+January!H23+February!H23+March!H23+April!H23+May!H23+June!H23+July!H23+August!H23+Adj!H23</f>
        <v>125</v>
      </c>
      <c r="I23" s="283">
        <f>September!I23+October!I23+November!I23+December!I23+January!I23+February!I23+March!I23+April!I23+May!I23+June!I23+July!I23+August!I23+Adj!I23</f>
        <v>5406</v>
      </c>
      <c r="J23" s="283">
        <f>September!J23+October!J23+November!J23+December!J23+January!J23+February!J23+March!J23+April!J23+May!J23+June!J23+July!J23+August!J23+Adj!J23</f>
        <v>76264</v>
      </c>
      <c r="K23" s="283">
        <f>September!K23+October!K23+November!K23+December!K23+January!K23+February!K23+March!K23+April!K23+May!K23+June!K23+July!K23+August!K23+Adj!K23</f>
        <v>751</v>
      </c>
      <c r="L23" s="283">
        <f>September!L23+October!L23+November!L23+December!L23+January!L23+February!L23+March!L23+April!L23+May!L23+June!L23+July!L23+August!L23+Adj!L23</f>
        <v>310743</v>
      </c>
      <c r="M23" s="283">
        <f>September!M23+October!M23+November!M23+December!M23+January!M23+February!M23+March!M23+April!M23+May!M23+June!M23+July!M23+August!M23+Adj!M23</f>
        <v>40671</v>
      </c>
      <c r="N23" s="283">
        <f>September!N23+October!N23+November!N23+December!N23+January!N23+February!N23+March!N23+April!N23+May!N23+June!N23+July!N23+August!N23+Adj!N23</f>
        <v>65658</v>
      </c>
      <c r="O23" s="283">
        <f>September!O23+October!O23+November!O23+December!O23+January!O23+February!O23+March!O23+April!O23+May!O23+June!O23+July!O23+August!O23+Adj!O23</f>
        <v>17840</v>
      </c>
      <c r="P23" s="283">
        <f>September!P23+October!P23+November!P23+December!P23+January!P23+February!P23+March!P23+April!P23+May!P23+June!P23+July!P23+August!P23+Adj!P23</f>
        <v>3151</v>
      </c>
      <c r="Q23" s="283">
        <f>September!Q23+October!Q23+November!Q23+December!Q23+January!Q23+February!Q23+March!Q23+April!Q23+May!Q23+June!Q23+July!Q23+August!Q23+Adj!Q23</f>
        <v>2350</v>
      </c>
      <c r="R23" s="283">
        <f>September!R23+October!R23+November!R23+December!R23+January!R23+February!R23+March!R23+April!R23+May!R23+June!R23+July!R23+August!R23+Adj!R23</f>
        <v>1758</v>
      </c>
      <c r="S23" s="283">
        <f>SUM(S6:S22)</f>
        <v>1538</v>
      </c>
      <c r="T23" s="283">
        <f>September!T23+October!T23+November!T23+December!T23+January!T23+February!T23+March!T23+April!T23+May!T23+June!T23+July!T23+August!T23+Adj!T23</f>
        <v>12021</v>
      </c>
      <c r="U23" s="283">
        <f>September!U23+October!U23+November!U23+December!U23+January!U23+February!U23+March!U23+April!U23+May!U23+June!U23+July!U23+August!U23+Adj!U23</f>
        <v>102</v>
      </c>
      <c r="V23" s="283">
        <f>September!V23+October!V23+November!V23+December!V23+January!V23+February!V23+March!V23+April!V23+May!V23+June!V23+July!V23+August!V23+Adj!V23</f>
        <v>145089</v>
      </c>
      <c r="W23" s="283">
        <f>September!W23+October!W23+November!W23+December!W23+January!W23+February!W23+March!W23+April!W23+May!W23+June!W23+July!W23+August!W23+Adj!W23</f>
        <v>168403</v>
      </c>
      <c r="X23" s="283">
        <f>SUM(X6:X22)</f>
        <v>12986</v>
      </c>
      <c r="Y23" s="283">
        <f>SUM(Y6:Y22)</f>
        <v>1413</v>
      </c>
      <c r="Z23" s="283">
        <f>SUM(Z6:Z22)</f>
        <v>638634</v>
      </c>
      <c r="AA23" s="284">
        <f>September!AA23+October!AA23+November!AA23+December!AA23+January!AA23+February!AA23+March!AA23+April!AA23+May!AA23+June!AA23+July!AA23+August!AA23+Adj!AA23</f>
        <v>293476</v>
      </c>
      <c r="AC23" s="122"/>
      <c r="AD23" s="122"/>
      <c r="AE23" s="373"/>
      <c r="AF23" s="373"/>
      <c r="AG23" s="373"/>
      <c r="AH23" s="373"/>
      <c r="AI23" s="373"/>
      <c r="AJ23" s="373"/>
      <c r="AK23" s="373"/>
      <c r="AL23" s="373"/>
    </row>
    <row r="24" spans="1:38" x14ac:dyDescent="0.25">
      <c r="A24" s="117" t="s">
        <v>72</v>
      </c>
      <c r="B24" s="279" t="s">
        <v>356</v>
      </c>
      <c r="C24" s="220">
        <f>September!C24+October!C24+November!C24+December!C24+January!C24+February!C24+March!C24+April!C24+May!C24+June!C24+July!C24+August!C24+Adj!C24</f>
        <v>8216</v>
      </c>
      <c r="D24" s="220">
        <f>September!D24+October!D24+November!D24+December!D24+January!D24+February!D24+March!D24+April!D24+May!D24+June!D24+July!D24+August!D24+Adj!D24</f>
        <v>10550</v>
      </c>
      <c r="E24" s="220">
        <f>September!E24+October!E24+November!E24+December!E24+January!E24+February!E24+March!E24+April!E24+May!E24+June!E24+July!E24+August!E24+Adj!E24</f>
        <v>2294</v>
      </c>
      <c r="F24" s="220">
        <f>September!F24+October!F24+November!F24+December!F24+January!F24+February!F24+March!F24+April!F24+May!F24+June!F24+July!F24+August!F24+Adj!F24</f>
        <v>387</v>
      </c>
      <c r="G24" s="220">
        <f>September!G24+October!G24+November!G24+December!G24+January!G24+February!G24+March!G24+April!G24+May!G24+June!G24+July!G24+August!G24+Adj!G24</f>
        <v>213</v>
      </c>
      <c r="H24" s="220">
        <f>September!H24+October!H24+November!H24+December!H24+January!H24+February!H24+March!H24+April!H24+May!H24+June!H24+July!H24+August!H24+Adj!H24</f>
        <v>1257</v>
      </c>
      <c r="I24" s="220">
        <f>September!I24+October!I24+November!I24+December!I24+January!I24+February!I24+March!I24+April!I24+May!I24+June!I24+July!I24+August!I24+Adj!I24</f>
        <v>0</v>
      </c>
      <c r="J24" s="220">
        <f>September!J24+October!J24+November!J24+December!J24+January!J24+February!J24+March!J24+April!J24+May!J24+June!J24+July!J24+August!J24+Adj!J24</f>
        <v>528</v>
      </c>
      <c r="K24" s="220">
        <f>September!K24+October!K24+November!K24+December!K24+January!K24+February!K24+March!K24+April!K24+May!K24+June!K24+July!K24+August!K24+Adj!K24</f>
        <v>882</v>
      </c>
      <c r="L24" s="288">
        <f>September!L24+October!L24+November!L24+December!L24+January!L24+February!L24+March!L24+April!L24+May!L24+June!L24+July!L24+August!L24+Adj!L24</f>
        <v>24327</v>
      </c>
      <c r="M24" s="220">
        <f>September!M24+October!M24+November!M24+December!M24+January!M24+February!M24+March!M24+April!M24+May!M24+June!M24+July!M24+August!M24+Adj!M24</f>
        <v>99</v>
      </c>
      <c r="N24" s="220">
        <f>September!N24+October!N24+November!N24+December!N24+January!N24+February!N24+March!N24+April!N24+May!N24+June!N24+July!N24+August!N24+Adj!N24</f>
        <v>124</v>
      </c>
      <c r="O24" s="220">
        <f>September!O24+October!O24+November!O24+December!O24+January!O24+February!O24+March!O24+April!O24+May!O24+June!O24+July!O24+August!O24+Adj!O24</f>
        <v>41</v>
      </c>
      <c r="P24" s="220">
        <f>September!P24+October!P24+November!P24+December!P24+January!P24+February!P24+March!P24+April!P24+May!P24+June!P24+July!P24+August!P24+Adj!P24</f>
        <v>2</v>
      </c>
      <c r="Q24" s="220">
        <f>September!Q24+October!Q24+November!Q24+December!Q24+January!Q24+February!Q24+March!Q24+April!Q24+May!Q24+June!Q24+July!Q24+August!Q24+Adj!Q24</f>
        <v>7</v>
      </c>
      <c r="R24" s="220">
        <f>September!R24+October!R24+November!R24+December!R24+January!R24+February!R24+March!R24+April!R24+May!R24+June!R24+July!R24+August!R24+Adj!R24</f>
        <v>24</v>
      </c>
      <c r="S24" s="220">
        <f>September!S24+October!S24+November!S24+December!S24+January!S24+February!S24+March!S24+April!S24+May!S24+June!S24+July!S24+August!S24+Adj!S24</f>
        <v>0</v>
      </c>
      <c r="T24" s="220">
        <f>September!T24+October!T24+November!T24+December!T24+January!T24+February!T24+March!T24+April!T24+May!T24+June!T24+July!T24+August!T24+Adj!T24</f>
        <v>38</v>
      </c>
      <c r="U24" s="220">
        <f>September!U24+October!U24+November!U24+December!U24+January!U24+February!U24+March!U24+April!U24+May!U24+June!U24+July!U24+August!U24+Adj!U24</f>
        <v>0</v>
      </c>
      <c r="V24" s="288">
        <f>September!V24+October!V24+November!V24+December!V24+January!V24+February!V24+March!V24+April!V24+May!V24+June!V24+July!V24+August!V24+Adj!V24</f>
        <v>335</v>
      </c>
      <c r="W24" s="220">
        <f>September!W24+October!W24+November!W24+December!W24+January!W24+February!W24+March!W24+April!W24+May!W24+June!W24+July!W24+August!W24+Adj!W24</f>
        <v>0</v>
      </c>
      <c r="X24" s="220">
        <f>September!X24+October!X24+November!X24+December!X24+January!X24+February!X24+March!X24+April!X24+May!X24+June!X24+July!X24+August!X24+Adj!X24</f>
        <v>0</v>
      </c>
      <c r="Y24" s="220">
        <f>September!Y24+October!Y24+November!Y24+December!Y24+January!Y24+February!Y24+March!Y24+April!Y24+May!Y24+June!Y24+July!Y24+August!Y24+Adj!Y24</f>
        <v>0</v>
      </c>
      <c r="Z24" s="220">
        <f>September!Z24+October!Z24+November!Z24+December!Z24+January!Z24+February!Z24+March!Z24+April!Z24+May!Z24+June!Z24+July!Z24+August!Z24+Adj!Z24</f>
        <v>24662</v>
      </c>
      <c r="AA24" s="220">
        <f>September!AA24+October!AA24+November!AA24+December!AA24+January!AA24+February!AA24+March!AA24+April!AA24+May!AA24+June!AA24+July!AA24+August!AA24+Adj!AA24</f>
        <v>20260</v>
      </c>
    </row>
    <row r="25" spans="1:38" x14ac:dyDescent="0.25">
      <c r="A25" s="117" t="s">
        <v>85</v>
      </c>
      <c r="B25" s="137" t="s">
        <v>281</v>
      </c>
      <c r="C25" s="220">
        <f>September!C25+October!C25+November!C25+December!C25+January!C25+February!C25+March!C25+April!C25+May!C25+June!C25+July!C25+August!C25+Adj!C25</f>
        <v>17453</v>
      </c>
      <c r="D25" s="220">
        <f>September!D25+October!D25+November!D25+December!D25+January!D25+February!D25+March!D25+April!D25+May!D25+June!D25+July!D25+August!D25+Adj!D25</f>
        <v>10614</v>
      </c>
      <c r="E25" s="220">
        <f>September!E25+October!E25+November!E25+December!E25+January!E25+February!E25+March!E25+April!E25+May!E25+June!E25+July!E25+August!E25+Adj!E25</f>
        <v>3455</v>
      </c>
      <c r="F25" s="220">
        <f>September!F25+October!F25+November!F25+December!F25+January!F25+February!F25+March!F25+April!F25+May!F25+June!F25+July!F25+August!F25+Adj!F25</f>
        <v>1056</v>
      </c>
      <c r="G25" s="220">
        <f>September!G25+October!G25+November!G25+December!G25+January!G25+February!G25+March!G25+April!G25+May!G25+June!G25+July!G25+August!G25+Adj!G25</f>
        <v>887</v>
      </c>
      <c r="H25" s="220">
        <f>September!H25+October!H25+November!H25+December!H25+January!H25+February!H25+March!H25+April!H25+May!H25+June!H25+July!H25+August!H25+Adj!H25</f>
        <v>8</v>
      </c>
      <c r="I25" s="220">
        <f>September!I25+October!I25+November!I25+December!I25+January!I25+February!I25+March!I25+April!I25+May!I25+June!I25+July!I25+August!I25+Adj!I25</f>
        <v>92</v>
      </c>
      <c r="J25" s="220">
        <f>September!J25+October!J25+November!J25+December!J25+January!J25+February!J25+March!J25+April!J25+May!J25+June!J25+July!J25+August!J25+Adj!J25</f>
        <v>766</v>
      </c>
      <c r="K25" s="220">
        <f>September!K25+October!K25+November!K25+December!K25+January!K25+February!K25+March!K25+April!K25+May!K25+June!K25+July!K25+August!K25+Adj!K25</f>
        <v>0</v>
      </c>
      <c r="L25" s="288">
        <f>September!L25+October!L25+November!L25+December!L25+January!L25+February!L25+March!L25+April!L25+May!L25+June!L25+July!L25+August!L25+Adj!L25</f>
        <v>34331</v>
      </c>
      <c r="M25" s="220">
        <f>September!M25+October!M25+November!M25+December!M25+January!M25+February!M25+March!M25+April!M25+May!M25+June!M25+July!M25+August!M25+Adj!M25</f>
        <v>7868</v>
      </c>
      <c r="N25" s="220">
        <f>September!N25+October!N25+November!N25+December!N25+January!N25+February!N25+March!N25+April!N25+May!N25+June!N25+July!N25+August!N25+Adj!N25</f>
        <v>10009</v>
      </c>
      <c r="O25" s="220">
        <f>September!O25+October!O25+November!O25+December!O25+January!O25+February!O25+March!O25+April!O25+May!O25+June!O25+July!O25+August!O25+Adj!O25</f>
        <v>4229</v>
      </c>
      <c r="P25" s="220">
        <f>September!P25+October!P25+November!P25+December!P25+January!P25+February!P25+March!P25+April!P25+May!P25+June!P25+July!P25+August!P25+Adj!P25</f>
        <v>436</v>
      </c>
      <c r="Q25" s="220">
        <f>September!Q25+October!Q25+November!Q25+December!Q25+January!Q25+February!Q25+March!Q25+April!Q25+May!Q25+June!Q25+July!Q25+August!Q25+Adj!Q25</f>
        <v>549</v>
      </c>
      <c r="R25" s="220">
        <f>September!R25+October!R25+November!R25+December!R25+January!R25+February!R25+March!R25+April!R25+May!R25+June!R25+July!R25+August!R25+Adj!R25</f>
        <v>292</v>
      </c>
      <c r="S25" s="220">
        <f>September!S25+October!S25+November!S25+December!S25+January!S25+February!S25+March!S25+April!S25+May!S25+June!S25+July!S25+August!S25+Adj!S25</f>
        <v>8</v>
      </c>
      <c r="T25" s="220">
        <f>September!T25+October!T25+November!T25+December!T25+January!T25+February!T25+March!T25+April!T25+May!T25+June!T25+July!T25+August!T25+Adj!T25</f>
        <v>768</v>
      </c>
      <c r="U25" s="220">
        <f>September!U25+October!U25+November!U25+December!U25+January!U25+February!U25+March!U25+April!U25+May!U25+June!U25+July!U25+August!U25+Adj!U25</f>
        <v>0</v>
      </c>
      <c r="V25" s="288">
        <f>September!V25+October!V25+November!V25+December!V25+January!V25+February!V25+March!V25+April!V25+May!V25+June!V25+July!V25+August!V25+Adj!V25</f>
        <v>24159</v>
      </c>
      <c r="W25" s="220">
        <f>September!W25+October!W25+November!W25+December!W25+January!W25+February!W25+March!W25+April!W25+May!W25+June!W25+July!W25+August!W25+Adj!W25</f>
        <v>6378</v>
      </c>
      <c r="X25" s="220">
        <f>September!X25+October!X25+November!X25+December!X25+January!X25+February!X25+March!X25+April!X25+May!X25+June!X25+July!X25+August!X25+Adj!X25</f>
        <v>0</v>
      </c>
      <c r="Y25" s="220">
        <f>September!Y25+October!Y25+November!Y25+December!Y25+January!Y25+February!Y25+March!Y25+April!Y25+May!Y25+June!Y25+July!Y25+August!Y25+Adj!Y25</f>
        <v>0</v>
      </c>
      <c r="Z25" s="220">
        <f>September!Z25+October!Z25+November!Z25+December!Z25+January!Z25+February!Z25+March!Z25+April!Z25+May!Z25+June!Z25+July!Z25+August!Z25+Adj!Z25</f>
        <v>64868</v>
      </c>
      <c r="AA25" s="220">
        <f>September!AA25+October!AA25+November!AA25+December!AA25+January!AA25+February!AA25+March!AA25+April!AA25+May!AA25+June!AA25+July!AA25+August!AA25+Adj!AA25</f>
        <v>47436</v>
      </c>
    </row>
    <row r="26" spans="1:38" x14ac:dyDescent="0.25">
      <c r="A26" s="117" t="s">
        <v>214</v>
      </c>
      <c r="B26" s="137" t="s">
        <v>282</v>
      </c>
      <c r="C26" s="220">
        <f>September!C26+October!C26+November!C26+December!C26+January!C26+February!C26+March!C26+April!C26+May!C26+June!C26+July!C26+August!C26+Adj!C26</f>
        <v>10819</v>
      </c>
      <c r="D26" s="220">
        <f>September!D26+October!D26+November!D26+December!D26+January!D26+February!D26+March!D26+April!D26+May!D26+June!D26+July!D26+August!D26+Adj!D26</f>
        <v>9714</v>
      </c>
      <c r="E26" s="220">
        <f>September!E26+October!E26+November!E26+December!E26+January!E26+February!E26+March!E26+April!E26+May!E26+June!E26+July!E26+August!E26+Adj!E26</f>
        <v>2244</v>
      </c>
      <c r="F26" s="220">
        <f>September!F26+October!F26+November!F26+December!F26+January!F26+February!F26+March!F26+April!F26+May!F26+June!F26+July!F26+August!F26+Adj!F26</f>
        <v>398</v>
      </c>
      <c r="G26" s="220">
        <f>September!G26+October!G26+November!G26+December!G26+January!G26+February!G26+March!G26+April!G26+May!G26+June!G26+July!G26+August!G26+Adj!G26</f>
        <v>139</v>
      </c>
      <c r="H26" s="220">
        <f>September!H26+October!H26+November!H26+December!H26+January!H26+February!H26+March!H26+April!H26+May!H26+June!H26+July!H26+August!H26+Adj!H26</f>
        <v>0</v>
      </c>
      <c r="I26" s="220">
        <f>September!I26+October!I26+November!I26+December!I26+January!I26+February!I26+March!I26+April!I26+May!I26+June!I26+July!I26+August!I26+Adj!I26</f>
        <v>7</v>
      </c>
      <c r="J26" s="220">
        <f>September!J26+October!J26+November!J26+December!J26+January!J26+February!J26+March!J26+April!J26+May!J26+June!J26+July!J26+August!J26+Adj!J26</f>
        <v>1368</v>
      </c>
      <c r="K26" s="220">
        <f>September!K26+October!K26+November!K26+December!K26+January!K26+February!K26+March!K26+April!K26+May!K26+June!K26+July!K26+August!K26+Adj!K26</f>
        <v>4</v>
      </c>
      <c r="L26" s="288">
        <f>September!L26+October!L26+November!L26+December!L26+January!L26+February!L26+March!L26+April!L26+May!L26+June!L26+July!L26+August!L26+Adj!L26</f>
        <v>24693</v>
      </c>
      <c r="M26" s="220">
        <f>September!M26+October!M26+November!M26+December!M26+January!M26+February!M26+March!M26+April!M26+May!M26+June!M26+July!M26+August!M26+Adj!M26</f>
        <v>0</v>
      </c>
      <c r="N26" s="220">
        <f>September!N26+October!N26+November!N26+December!N26+January!N26+February!N26+March!N26+April!N26+May!N26+June!N26+July!N26+August!N26+Adj!N26</f>
        <v>0</v>
      </c>
      <c r="O26" s="220">
        <f>September!O26+October!O26+November!O26+December!O26+January!O26+February!O26+March!O26+April!O26+May!O26+June!O26+July!O26+August!O26+Adj!O26</f>
        <v>15</v>
      </c>
      <c r="P26" s="220">
        <f>September!P26+October!P26+November!P26+December!P26+January!P26+February!P26+March!P26+April!P26+May!P26+June!P26+July!P26+August!P26+Adj!P26</f>
        <v>0</v>
      </c>
      <c r="Q26" s="220">
        <f>September!Q26+October!Q26+November!Q26+December!Q26+January!Q26+February!Q26+March!Q26+April!Q26+May!Q26+June!Q26+July!Q26+August!Q26+Adj!Q26</f>
        <v>0</v>
      </c>
      <c r="R26" s="220">
        <f>September!R26+October!R26+November!R26+December!R26+January!R26+February!R26+March!R26+April!R26+May!R26+June!R26+July!R26+August!R26+Adj!R26</f>
        <v>0</v>
      </c>
      <c r="S26" s="220">
        <f>September!S26+October!S26+November!S26+December!S26+January!S26+February!S26+March!S26+April!S26+May!S26+June!S26+July!S26+August!S26+Adj!S26</f>
        <v>0</v>
      </c>
      <c r="T26" s="220">
        <f>September!T26+October!T26+November!T26+December!T26+January!T26+February!T26+March!T26+April!T26+May!T26+June!T26+July!T26+August!T26+Adj!T26</f>
        <v>25</v>
      </c>
      <c r="U26" s="220">
        <f>September!U26+October!U26+November!U26+December!U26+January!U26+February!U26+March!U26+April!U26+May!U26+June!U26+July!U26+August!U26+Adj!U26</f>
        <v>0</v>
      </c>
      <c r="V26" s="288">
        <f>September!V26+October!V26+November!V26+December!V26+January!V26+February!V26+March!V26+April!V26+May!V26+June!V26+July!V26+August!V26+Adj!V26</f>
        <v>40</v>
      </c>
      <c r="W26" s="220">
        <f>September!W26+October!W26+November!W26+December!W26+January!W26+February!W26+March!W26+April!W26+May!W26+June!W26+July!W26+August!W26+Adj!W26</f>
        <v>0</v>
      </c>
      <c r="X26" s="220">
        <f>September!X26+October!X26+November!X26+December!X26+January!X26+February!X26+March!X26+April!X26+May!X26+June!X26+July!X26+August!X26+Adj!X26</f>
        <v>0</v>
      </c>
      <c r="Y26" s="220">
        <f>September!Y26+October!Y26+November!Y26+December!Y26+January!Y26+February!Y26+March!Y26+April!Y26+May!Y26+June!Y26+July!Y26+August!Y26+Adj!Y26</f>
        <v>0</v>
      </c>
      <c r="Z26" s="220">
        <f>September!Z26+October!Z26+November!Z26+December!Z26+January!Z26+February!Z26+March!Z26+April!Z26+May!Z26+June!Z26+July!Z26+August!Z26+Adj!Z26</f>
        <v>24733</v>
      </c>
      <c r="AA26" s="220">
        <f>September!AA26+October!AA26+November!AA26+December!AA26+January!AA26+February!AA26+March!AA26+April!AA26+May!AA26+June!AA26+July!AA26+August!AA26+Adj!AA26</f>
        <v>20935</v>
      </c>
    </row>
    <row r="27" spans="1:38" x14ac:dyDescent="0.25">
      <c r="A27" s="117" t="s">
        <v>101</v>
      </c>
      <c r="B27" s="137" t="s">
        <v>283</v>
      </c>
      <c r="C27" s="220">
        <f>September!C27+October!C27+November!C27+December!C27+January!C27+February!C27+March!C27+April!C27+May!C27+June!C27+July!C27+August!C27+Adj!C27</f>
        <v>33634</v>
      </c>
      <c r="D27" s="220">
        <f>September!D27+October!D27+November!D27+December!D27+January!D27+February!D27+March!D27+April!D27+May!D27+June!D27+July!D27+August!D27+Adj!D27</f>
        <v>8746</v>
      </c>
      <c r="E27" s="220">
        <f>September!E27+October!E27+November!E27+December!E27+January!E27+February!E27+March!E27+April!E27+May!E27+June!E27+July!E27+August!E27+Adj!E27</f>
        <v>8679</v>
      </c>
      <c r="F27" s="220">
        <f>September!F27+October!F27+November!F27+December!F27+January!F27+February!F27+March!F27+April!F27+May!F27+June!F27+July!F27+August!F27+Adj!F27</f>
        <v>690</v>
      </c>
      <c r="G27" s="220">
        <f>September!G27+October!G27+November!G27+December!G27+January!G27+February!G27+March!G27+April!G27+May!G27+June!G27+July!G27+August!G27+Adj!G27</f>
        <v>647</v>
      </c>
      <c r="H27" s="220">
        <f>September!H27+October!H27+November!H27+December!H27+January!H27+February!H27+March!H27+April!H27+May!H27+June!H27+July!H27+August!H27+Adj!H27</f>
        <v>8</v>
      </c>
      <c r="I27" s="220">
        <f>September!I27+October!I27+November!I27+December!I27+January!I27+February!I27+March!I27+April!I27+May!I27+June!I27+July!I27+August!I27+Adj!I27</f>
        <v>67</v>
      </c>
      <c r="J27" s="220">
        <f>September!J27+October!J27+November!J27+December!J27+January!J27+February!J27+March!J27+April!J27+May!J27+June!J27+July!J27+August!J27+Adj!J27</f>
        <v>779</v>
      </c>
      <c r="K27" s="220">
        <f>September!K27+October!K27+November!K27+December!K27+January!K27+February!K27+March!K27+April!K27+May!K27+June!K27+July!K27+August!K27+Adj!K27</f>
        <v>0</v>
      </c>
      <c r="L27" s="288">
        <f>September!L27+October!L27+November!L27+December!L27+January!L27+February!L27+March!L27+April!L27+May!L27+June!L27+July!L27+August!L27+Adj!L27</f>
        <v>53250</v>
      </c>
      <c r="M27" s="220">
        <f>September!M27+October!M27+November!M27+December!M27+January!M27+February!M27+March!M27+April!M27+May!M27+June!M27+July!M27+August!M27+Adj!M27</f>
        <v>3543</v>
      </c>
      <c r="N27" s="220">
        <f>September!N27+October!N27+November!N27+December!N27+January!N27+February!N27+March!N27+April!N27+May!N27+June!N27+July!N27+August!N27+Adj!N27</f>
        <v>10725</v>
      </c>
      <c r="O27" s="220">
        <f>September!O27+October!O27+November!O27+December!O27+January!O27+February!O27+March!O27+April!O27+May!O27+June!O27+July!O27+August!O27+Adj!O27</f>
        <v>1558</v>
      </c>
      <c r="P27" s="220">
        <f>September!P27+October!P27+November!P27+December!P27+January!P27+February!P27+March!P27+April!P27+May!P27+June!P27+July!P27+August!P27+Adj!P27</f>
        <v>96</v>
      </c>
      <c r="Q27" s="220">
        <f>September!Q27+October!Q27+November!Q27+December!Q27+January!Q27+February!Q27+March!Q27+April!Q27+May!Q27+June!Q27+July!Q27+August!Q27+Adj!Q27</f>
        <v>850</v>
      </c>
      <c r="R27" s="220">
        <f>September!R27+October!R27+November!R27+December!R27+January!R27+February!R27+March!R27+April!R27+May!R27+June!R27+July!R27+August!R27+Adj!R27</f>
        <v>0</v>
      </c>
      <c r="S27" s="220">
        <f>September!S27+October!S27+November!S27+December!S27+January!S27+February!S27+March!S27+April!S27+May!S27+June!S27+July!S27+August!S27+Adj!S27</f>
        <v>8</v>
      </c>
      <c r="T27" s="220">
        <f>September!T27+October!T27+November!T27+December!T27+January!T27+February!T27+March!T27+April!T27+May!T27+June!T27+July!T27+August!T27+Adj!T27</f>
        <v>104</v>
      </c>
      <c r="U27" s="220">
        <f>September!U27+October!U27+November!U27+December!U27+January!U27+February!U27+March!U27+April!U27+May!U27+June!U27+July!U27+August!U27+Adj!U27</f>
        <v>0</v>
      </c>
      <c r="V27" s="288">
        <f>September!V27+October!V27+November!V27+December!V27+January!V27+February!V27+March!V27+April!V27+May!V27+June!V27+July!V27+August!V27+Adj!V27</f>
        <v>16884</v>
      </c>
      <c r="W27" s="220">
        <f>September!W27+October!W27+November!W27+December!W27+January!W27+February!W27+March!W27+April!W27+May!W27+June!W27+July!W27+August!W27+Adj!W27</f>
        <v>11393</v>
      </c>
      <c r="X27" s="220">
        <f>September!X27+October!X27+November!X27+December!X27+January!X27+February!X27+March!X27+April!X27+May!X27+June!X27+July!X27+August!X27+Adj!X27</f>
        <v>0</v>
      </c>
      <c r="Y27" s="220">
        <f>September!Y27+October!Y27+November!Y27+December!Y27+January!Y27+February!Y27+March!Y27+April!Y27+May!Y27+June!Y27+July!Y27+August!Y27+Adj!Y27</f>
        <v>0</v>
      </c>
      <c r="Z27" s="220">
        <f>September!Z27+October!Z27+November!Z27+December!Z27+January!Z27+February!Z27+March!Z27+April!Z27+May!Z27+June!Z27+July!Z27+August!Z27+Adj!Z27</f>
        <v>81527</v>
      </c>
      <c r="AA27" s="220">
        <f>September!AA27+October!AA27+November!AA27+December!AA27+January!AA27+February!AA27+March!AA27+April!AA27+May!AA27+June!AA27+July!AA27+August!AA27+Adj!AA27</f>
        <v>57434</v>
      </c>
    </row>
    <row r="28" spans="1:38" x14ac:dyDescent="0.25">
      <c r="A28" s="117" t="s">
        <v>114</v>
      </c>
      <c r="B28" s="137" t="s">
        <v>284</v>
      </c>
      <c r="C28" s="220">
        <f>September!C28+October!C28+November!C28+December!C28+January!C28+February!C28+March!C28+April!C28+May!C28+June!C28+July!C28+August!C28+Adj!C28</f>
        <v>9936</v>
      </c>
      <c r="D28" s="220">
        <f>September!D28+October!D28+November!D28+December!D28+January!D28+February!D28+March!D28+April!D28+May!D28+June!D28+July!D28+August!D28+Adj!D28</f>
        <v>2844</v>
      </c>
      <c r="E28" s="220">
        <f>September!E28+October!E28+November!E28+December!E28+January!E28+February!E28+March!E28+April!E28+May!E28+June!E28+July!E28+August!E28+Adj!E28</f>
        <v>2654</v>
      </c>
      <c r="F28" s="220">
        <f>September!F28+October!F28+November!F28+December!F28+January!F28+February!F28+March!F28+April!F28+May!F28+June!F28+July!F28+August!F28+Adj!F28</f>
        <v>675</v>
      </c>
      <c r="G28" s="220">
        <f>September!G28+October!G28+November!G28+December!G28+January!G28+February!G28+March!G28+April!G28+May!G28+June!G28+July!G28+August!G28+Adj!G28</f>
        <v>485</v>
      </c>
      <c r="H28" s="220">
        <f>September!H28+October!H28+November!H28+December!H28+January!H28+February!H28+March!H28+April!H28+May!H28+June!H28+July!H28+August!H28+Adj!H28</f>
        <v>1</v>
      </c>
      <c r="I28" s="220">
        <f>September!I28+October!I28+November!I28+December!I28+January!I28+February!I28+March!I28+April!I28+May!I28+June!I28+July!I28+August!I28+Adj!I28</f>
        <v>5751</v>
      </c>
      <c r="J28" s="220">
        <f>September!J28+October!J28+November!J28+December!J28+January!J28+February!J28+March!J28+April!J28+May!J28+June!J28+July!J28+August!J28+Adj!J28</f>
        <v>1240</v>
      </c>
      <c r="K28" s="220">
        <f>September!K28+October!K28+November!K28+December!K28+January!K28+February!K28+March!K28+April!K28+May!K28+June!K28+July!K28+August!K28+Adj!K28</f>
        <v>0</v>
      </c>
      <c r="L28" s="288">
        <f>September!L28+October!L28+November!L28+December!L28+January!L28+February!L28+March!L28+April!L28+May!L28+June!L28+July!L28+August!L28+Adj!L28</f>
        <v>23586</v>
      </c>
      <c r="M28" s="220">
        <f>September!M28+October!M28+November!M28+December!M28+January!M28+February!M28+March!M28+April!M28+May!M28+June!M28+July!M28+August!M28+Adj!M28</f>
        <v>3596</v>
      </c>
      <c r="N28" s="220">
        <f>September!N28+October!N28+November!N28+December!N28+January!N28+February!N28+March!N28+April!N28+May!N28+June!N28+July!N28+August!N28+Adj!N28</f>
        <v>7098</v>
      </c>
      <c r="O28" s="220">
        <f>September!O28+October!O28+November!O28+December!O28+January!O28+February!O28+March!O28+April!O28+May!O28+June!O28+July!O28+August!O28+Adj!O28</f>
        <v>3207</v>
      </c>
      <c r="P28" s="220">
        <f>September!P28+October!P28+November!P28+December!P28+January!P28+February!P28+March!P28+April!P28+May!P28+June!P28+July!P28+August!P28+Adj!P28</f>
        <v>412</v>
      </c>
      <c r="Q28" s="220">
        <f>September!Q28+October!Q28+November!Q28+December!Q28+January!Q28+February!Q28+March!Q28+April!Q28+May!Q28+June!Q28+July!Q28+August!Q28+Adj!Q28</f>
        <v>350</v>
      </c>
      <c r="R28" s="220">
        <f>September!R28+October!R28+November!R28+December!R28+January!R28+February!R28+March!R28+April!R28+May!R28+June!R28+July!R28+August!R28+Adj!R28</f>
        <v>478</v>
      </c>
      <c r="S28" s="220">
        <f>September!S28+October!S28+November!S28+December!S28+January!S28+February!S28+March!S28+April!S28+May!S28+June!S28+July!S28+August!S28+Adj!S28</f>
        <v>6</v>
      </c>
      <c r="T28" s="220">
        <f>September!T28+October!T28+November!T28+December!T28+January!T28+February!T28+March!T28+April!T28+May!T28+June!T28+July!T28+August!T28+Adj!T28</f>
        <v>535</v>
      </c>
      <c r="U28" s="220">
        <f>September!U28+October!U28+November!U28+December!U28+January!U28+February!U28+March!U28+April!U28+May!U28+June!U28+July!U28+August!U28+Adj!U28</f>
        <v>0</v>
      </c>
      <c r="V28" s="288">
        <f>September!V28+October!V28+November!V28+December!V28+January!V28+February!V28+March!V28+April!V28+May!V28+June!V28+July!V28+August!V28+Adj!V28</f>
        <v>15682</v>
      </c>
      <c r="W28" s="220">
        <f>September!W28+October!W28+November!W28+December!W28+January!W28+February!W28+March!W28+April!W28+May!W28+June!W28+July!W28+August!W28+Adj!W28</f>
        <v>8186</v>
      </c>
      <c r="X28" s="220">
        <f>September!X28+October!X28+November!X28+December!X28+January!X28+February!X28+March!X28+April!X28+May!X28+June!X28+July!X28+August!X28+Adj!X28</f>
        <v>0</v>
      </c>
      <c r="Y28" s="220">
        <f>September!Y28+October!Y28+November!Y28+December!Y28+January!Y28+February!Y28+March!Y28+April!Y28+May!Y28+June!Y28+July!Y28+August!Y28+Adj!Y28</f>
        <v>0</v>
      </c>
      <c r="Z28" s="220">
        <f>September!Z28+October!Z28+November!Z28+December!Z28+January!Z28+February!Z28+March!Z28+April!Z28+May!Z28+June!Z28+July!Z28+August!Z28+Adj!Z28</f>
        <v>47454</v>
      </c>
      <c r="AA28" s="220">
        <f>September!AA28+October!AA28+November!AA28+December!AA28+January!AA28+February!AA28+March!AA28+April!AA28+May!AA28+June!AA28+July!AA28+August!AA28+Adj!AA28</f>
        <v>24561</v>
      </c>
    </row>
    <row r="29" spans="1:38" x14ac:dyDescent="0.25">
      <c r="A29" s="117" t="s">
        <v>115</v>
      </c>
      <c r="B29" s="137" t="s">
        <v>285</v>
      </c>
      <c r="C29" s="220">
        <f>September!C29+October!C29+November!C29+December!C29+January!C29+February!C29+March!C29+April!C29+May!C29+June!C29+July!C29+August!C29+Adj!C29</f>
        <v>11985</v>
      </c>
      <c r="D29" s="220">
        <f>September!D29+October!D29+November!D29+December!D29+January!D29+February!D29+March!D29+April!D29+May!D29+June!D29+July!D29+August!D29+Adj!D29</f>
        <v>18000</v>
      </c>
      <c r="E29" s="220">
        <f>September!E29+October!E29+November!E29+December!E29+January!E29+February!E29+March!E29+April!E29+May!E29+June!E29+July!E29+August!E29+Adj!E29</f>
        <v>1804</v>
      </c>
      <c r="F29" s="220">
        <f>September!F29+October!F29+November!F29+December!F29+January!F29+February!F29+March!F29+April!F29+May!F29+June!F29+July!F29+August!F29+Adj!F29</f>
        <v>321</v>
      </c>
      <c r="G29" s="220">
        <f>September!G29+October!G29+November!G29+December!G29+January!G29+February!G29+March!G29+April!G29+May!G29+June!G29+July!G29+August!G29+Adj!G29</f>
        <v>870</v>
      </c>
      <c r="H29" s="220">
        <f>September!H29+October!H29+November!H29+December!H29+January!H29+February!H29+March!H29+April!H29+May!H29+June!H29+July!H29+August!H29+Adj!H29</f>
        <v>11</v>
      </c>
      <c r="I29" s="220">
        <f>September!I29+October!I29+November!I29+December!I29+January!I29+February!I29+March!I29+April!I29+May!I29+June!I29+July!I29+August!I29+Adj!I29</f>
        <v>359</v>
      </c>
      <c r="J29" s="220">
        <f>September!J29+October!J29+November!J29+December!J29+January!J29+February!J29+March!J29+April!J29+May!J29+June!J29+July!J29+August!J29+Adj!J29</f>
        <v>2147</v>
      </c>
      <c r="K29" s="220">
        <f>September!K29+October!K29+November!K29+December!K29+January!K29+February!K29+March!K29+April!K29+May!K29+June!K29+July!K29+August!K29+Adj!K29</f>
        <v>0</v>
      </c>
      <c r="L29" s="288">
        <f>September!L29+October!L29+November!L29+December!L29+January!L29+February!L29+March!L29+April!L29+May!L29+June!L29+July!L29+August!L29+Adj!L29</f>
        <v>35497</v>
      </c>
      <c r="M29" s="220">
        <f>September!M29+October!M29+November!M29+December!M29+January!M29+February!M29+March!M29+April!M29+May!M29+June!M29+July!M29+August!M29+Adj!M29</f>
        <v>4249</v>
      </c>
      <c r="N29" s="220">
        <f>September!N29+October!N29+November!N29+December!N29+January!N29+February!N29+March!N29+April!N29+May!N29+June!N29+July!N29+August!N29+Adj!N29</f>
        <v>8899</v>
      </c>
      <c r="O29" s="220">
        <f>September!O29+October!O29+November!O29+December!O29+January!O29+February!O29+March!O29+April!O29+May!O29+June!O29+July!O29+August!O29+Adj!O29</f>
        <v>3054</v>
      </c>
      <c r="P29" s="220">
        <f>September!P29+October!P29+November!P29+December!P29+January!P29+February!P29+March!P29+April!P29+May!P29+June!P29+July!P29+August!P29+Adj!P29</f>
        <v>267</v>
      </c>
      <c r="Q29" s="220">
        <f>September!Q29+October!Q29+November!Q29+December!Q29+January!Q29+February!Q29+March!Q29+April!Q29+May!Q29+June!Q29+July!Q29+August!Q29+Adj!Q29</f>
        <v>297</v>
      </c>
      <c r="R29" s="220">
        <f>September!R29+October!R29+November!R29+December!R29+January!R29+February!R29+March!R29+April!R29+May!R29+June!R29+July!R29+August!R29+Adj!R29</f>
        <v>221</v>
      </c>
      <c r="S29" s="220">
        <f>September!S29+October!S29+November!S29+December!S29+January!S29+February!S29+March!S29+April!S29+May!S29+June!S29+July!S29+August!S29+Adj!S29</f>
        <v>32</v>
      </c>
      <c r="T29" s="220">
        <f>September!T29+October!T29+November!T29+December!T29+January!T29+February!T29+March!T29+April!T29+May!T29+June!T29+July!T29+August!T29+Adj!T29</f>
        <v>97</v>
      </c>
      <c r="U29" s="220">
        <f>September!U29+October!U29+November!U29+December!U29+January!U29+February!U29+March!U29+April!U29+May!U29+June!U29+July!U29+August!U29+Adj!U29</f>
        <v>0</v>
      </c>
      <c r="V29" s="288">
        <f>September!V29+October!V29+November!V29+December!V29+January!V29+February!V29+March!V29+April!V29+May!V29+June!V29+July!V29+August!V29+Adj!V29</f>
        <v>17116</v>
      </c>
      <c r="W29" s="220">
        <f>September!W29+October!W29+November!W29+December!W29+January!W29+February!W29+March!W29+April!W29+May!W29+June!W29+July!W29+August!W29+Adj!W29</f>
        <v>12151</v>
      </c>
      <c r="X29" s="220">
        <f>September!X29+October!X29+November!X29+December!X29+January!X29+February!X29+March!X29+April!X29+May!X29+June!X29+July!X29+August!X29+Adj!X29</f>
        <v>0</v>
      </c>
      <c r="Y29" s="220">
        <f>September!Y29+October!Y29+November!Y29+December!Y29+January!Y29+February!Y29+March!Y29+April!Y29+May!Y29+June!Y29+July!Y29+August!Y29+Adj!Y29</f>
        <v>0</v>
      </c>
      <c r="Z29" s="220">
        <f>September!Z29+October!Z29+November!Z29+December!Z29+January!Z29+February!Z29+March!Z29+April!Z29+May!Z29+June!Z29+July!Z29+August!Z29+Adj!Z29</f>
        <v>64764</v>
      </c>
      <c r="AA29" s="220">
        <f>September!AA29+October!AA29+November!AA29+December!AA29+January!AA29+February!AA29+March!AA29+April!AA29+May!AA29+June!AA29+July!AA29+August!AA29+Adj!AA29</f>
        <v>43721</v>
      </c>
    </row>
    <row r="30" spans="1:38" x14ac:dyDescent="0.25">
      <c r="A30" s="117" t="s">
        <v>127</v>
      </c>
      <c r="B30" s="137" t="s">
        <v>286</v>
      </c>
      <c r="C30" s="220">
        <f>September!C30+October!C30+November!C30+December!C30+January!C30+February!C30+March!C30+April!C30+May!C30+June!C30+July!C30+August!C30+Adj!C30</f>
        <v>108234</v>
      </c>
      <c r="D30" s="220">
        <f>September!D30+October!D30+November!D30+December!D30+January!D30+February!D30+March!D30+April!D30+May!D30+June!D30+July!D30+August!D30+Adj!D30</f>
        <v>33069</v>
      </c>
      <c r="E30" s="220">
        <f>September!E30+October!E30+November!E30+December!E30+January!E30+February!E30+March!E30+April!E30+May!E30+June!E30+July!E30+August!E30+Adj!E30</f>
        <v>51805</v>
      </c>
      <c r="F30" s="220">
        <f>September!F30+October!F30+November!F30+December!F30+January!F30+February!F30+March!F30+April!F30+May!F30+June!F30+July!F30+August!F30+Adj!F30</f>
        <v>668</v>
      </c>
      <c r="G30" s="220">
        <f>September!G30+October!G30+November!G30+December!G30+January!G30+February!G30+March!G30+April!G30+May!G30+June!G30+July!G30+August!G30+Adj!G30</f>
        <v>1823</v>
      </c>
      <c r="H30" s="220">
        <f>September!H30+October!H30+November!H30+December!H30+January!H30+February!H30+March!H30+April!H30+May!H30+June!H30+July!H30+August!H30+Adj!H30</f>
        <v>290</v>
      </c>
      <c r="I30" s="220">
        <f>September!I30+October!I30+November!I30+December!I30+January!I30+February!I30+March!I30+April!I30+May!I30+June!I30+July!I30+August!I30+Adj!I30</f>
        <v>165</v>
      </c>
      <c r="J30" s="220">
        <f>September!J30+October!J30+November!J30+December!J30+January!J30+February!J30+March!J30+April!J30+May!J30+June!J30+July!J30+August!J30+Adj!J30</f>
        <v>2959</v>
      </c>
      <c r="K30" s="220">
        <f>September!K30+October!K30+November!K30+December!K30+January!K30+February!K30+March!K30+April!K30+May!K30+June!K30+July!K30+August!K30+Adj!K30</f>
        <v>63</v>
      </c>
      <c r="L30" s="288">
        <f>September!L30+October!L30+November!L30+December!L30+January!L30+February!L30+March!L30+April!L30+May!L30+June!L30+July!L30+August!L30+Adj!L30</f>
        <v>199076</v>
      </c>
      <c r="M30" s="220">
        <f>September!M30+October!M30+November!M30+December!M30+January!M30+February!M30+March!M30+April!M30+May!M30+June!M30+July!M30+August!M30+Adj!M30</f>
        <v>3902</v>
      </c>
      <c r="N30" s="220">
        <f>September!N30+October!N30+November!N30+December!N30+January!N30+February!N30+March!N30+April!N30+May!N30+June!N30+July!N30+August!N30+Adj!N30</f>
        <v>9538</v>
      </c>
      <c r="O30" s="220">
        <f>September!O30+October!O30+November!O30+December!O30+January!O30+February!O30+March!O30+April!O30+May!O30+June!O30+July!O30+August!O30+Adj!O30</f>
        <v>2404</v>
      </c>
      <c r="P30" s="220">
        <f>September!P30+October!P30+November!P30+December!P30+January!P30+February!P30+March!P30+April!P30+May!P30+June!P30+July!P30+August!P30+Adj!P30</f>
        <v>76</v>
      </c>
      <c r="Q30" s="220">
        <f>September!Q30+October!Q30+November!Q30+December!Q30+January!Q30+February!Q30+March!Q30+April!Q30+May!Q30+June!Q30+July!Q30+August!Q30+Adj!Q30</f>
        <v>727</v>
      </c>
      <c r="R30" s="220">
        <f>September!R30+October!R30+November!R30+December!R30+January!R30+February!R30+March!R30+April!R30+May!R30+June!R30+July!R30+August!R30+Adj!R30</f>
        <v>16</v>
      </c>
      <c r="S30" s="220">
        <f>September!S30+October!S30+November!S30+December!S30+January!S30+February!S30+March!S30+April!S30+May!S30+June!S30+July!S30+August!S30+Adj!S30</f>
        <v>0</v>
      </c>
      <c r="T30" s="220">
        <f>September!T30+October!T30+November!T30+December!T30+January!T30+February!T30+March!T30+April!T30+May!T30+June!T30+July!T30+August!T30+Adj!T30</f>
        <v>551</v>
      </c>
      <c r="U30" s="220">
        <f>September!U30+October!U30+November!U30+December!U30+January!U30+February!U30+March!U30+April!U30+May!U30+June!U30+July!U30+August!U30+Adj!U30</f>
        <v>0</v>
      </c>
      <c r="V30" s="288">
        <f>September!V30+October!V30+November!V30+December!V30+January!V30+February!V30+March!V30+April!V30+May!V30+June!V30+July!V30+August!V30+Adj!V30</f>
        <v>17214</v>
      </c>
      <c r="W30" s="220">
        <f>September!W30+October!W30+November!W30+December!W30+January!W30+February!W30+March!W30+April!W30+May!W30+June!W30+July!W30+August!W30+Adj!W30</f>
        <v>1292</v>
      </c>
      <c r="X30" s="220">
        <f>September!X30+October!X30+November!X30+December!X30+January!X30+February!X30+March!X30+April!X30+May!X30+June!X30+July!X30+August!X30+Adj!X30</f>
        <v>0</v>
      </c>
      <c r="Y30" s="220">
        <f>September!Y30+October!Y30+November!Y30+December!Y30+January!Y30+February!Y30+March!Y30+April!Y30+May!Y30+June!Y30+July!Y30+August!Y30+Adj!Y30</f>
        <v>0</v>
      </c>
      <c r="Z30" s="220">
        <f>September!Z30+October!Z30+November!Z30+December!Z30+January!Z30+February!Z30+March!Z30+April!Z30+May!Z30+June!Z30+July!Z30+August!Z30+Adj!Z30</f>
        <v>217582</v>
      </c>
      <c r="AA30" s="220">
        <f>September!AA30+October!AA30+November!AA30+December!AA30+January!AA30+February!AA30+March!AA30+April!AA30+May!AA30+June!AA30+July!AA30+August!AA30+Adj!AA30</f>
        <v>155550</v>
      </c>
    </row>
    <row r="31" spans="1:38" x14ac:dyDescent="0.25">
      <c r="A31" s="117" t="s">
        <v>129</v>
      </c>
      <c r="B31" s="137" t="s">
        <v>287</v>
      </c>
      <c r="C31" s="220">
        <f>September!C31+October!C31+November!C31+December!C31+January!C31+February!C31+March!C31+April!C31+May!C31+June!C31+July!C31+August!C31+Adj!C31</f>
        <v>44964</v>
      </c>
      <c r="D31" s="220">
        <f>September!D31+October!D31+November!D31+December!D31+January!D31+February!D31+March!D31+April!D31+May!D31+June!D31+July!D31+August!D31+Adj!D31</f>
        <v>21175</v>
      </c>
      <c r="E31" s="220">
        <f>September!E31+October!E31+November!E31+December!E31+January!E31+February!E31+March!E31+April!E31+May!E31+June!E31+July!E31+August!E31+Adj!E31</f>
        <v>23227</v>
      </c>
      <c r="F31" s="220">
        <f>September!F31+October!F31+November!F31+December!F31+January!F31+February!F31+March!F31+April!F31+May!F31+June!F31+July!F31+August!F31+Adj!F31</f>
        <v>1151</v>
      </c>
      <c r="G31" s="220">
        <f>September!G31+October!G31+November!G31+December!G31+January!G31+February!G31+March!G31+April!G31+May!G31+June!G31+July!G31+August!G31+Adj!G31</f>
        <v>1556</v>
      </c>
      <c r="H31" s="220">
        <f>September!H31+October!H31+November!H31+December!H31+January!H31+February!H31+March!H31+April!H31+May!H31+June!H31+July!H31+August!H31+Adj!H31</f>
        <v>7</v>
      </c>
      <c r="I31" s="220">
        <f>September!I31+October!I31+November!I31+December!I31+January!I31+February!I31+March!I31+April!I31+May!I31+June!I31+July!I31+August!I31+Adj!I31</f>
        <v>299</v>
      </c>
      <c r="J31" s="220">
        <f>September!J31+October!J31+November!J31+December!J31+January!J31+February!J31+March!J31+April!J31+May!J31+June!J31+July!J31+August!J31+Adj!J31</f>
        <v>2426</v>
      </c>
      <c r="K31" s="220">
        <f>September!K31+October!K31+November!K31+December!K31+January!K31+February!K31+March!K31+April!K31+May!K31+June!K31+July!K31+August!K31+Adj!K31</f>
        <v>2</v>
      </c>
      <c r="L31" s="288">
        <f>September!L31+October!L31+November!L31+December!L31+January!L31+February!L31+March!L31+April!L31+May!L31+June!L31+July!L31+August!L31+Adj!L31</f>
        <v>94807</v>
      </c>
      <c r="M31" s="220">
        <f>September!M31+October!M31+November!M31+December!M31+January!M31+February!M31+March!M31+April!M31+May!M31+June!M31+July!M31+August!M31+Adj!M31</f>
        <v>12783</v>
      </c>
      <c r="N31" s="220">
        <f>September!N31+October!N31+November!N31+December!N31+January!N31+February!N31+March!N31+April!N31+May!N31+June!N31+July!N31+August!N31+Adj!N31</f>
        <v>24347</v>
      </c>
      <c r="O31" s="220">
        <f>September!O31+October!O31+November!O31+December!O31+January!O31+February!O31+March!O31+April!O31+May!O31+June!O31+July!O31+August!O31+Adj!O31</f>
        <v>11426</v>
      </c>
      <c r="P31" s="220">
        <f>September!P31+October!P31+November!P31+December!P31+January!P31+February!P31+March!P31+April!P31+May!P31+June!P31+July!P31+August!P31+Adj!P31</f>
        <v>781</v>
      </c>
      <c r="Q31" s="220">
        <f>September!Q31+October!Q31+November!Q31+December!Q31+January!Q31+February!Q31+March!Q31+April!Q31+May!Q31+June!Q31+July!Q31+August!Q31+Adj!Q31</f>
        <v>1060</v>
      </c>
      <c r="R31" s="220">
        <f>September!R31+October!R31+November!R31+December!R31+January!R31+February!R31+March!R31+April!R31+May!R31+June!R31+July!R31+August!R31+Adj!R31</f>
        <v>348</v>
      </c>
      <c r="S31" s="220">
        <f>September!S31+October!S31+November!S31+December!S31+January!S31+February!S31+March!S31+April!S31+May!S31+June!S31+July!S31+August!S31+Adj!S31</f>
        <v>8</v>
      </c>
      <c r="T31" s="220">
        <f>September!T31+October!T31+November!T31+December!T31+January!T31+February!T31+March!T31+April!T31+May!T31+June!T31+July!T31+August!T31+Adj!T31</f>
        <v>3742</v>
      </c>
      <c r="U31" s="220">
        <f>September!U31+October!U31+November!U31+December!U31+January!U31+February!U31+March!U31+April!U31+May!U31+June!U31+July!U31+August!U31+Adj!U31</f>
        <v>0</v>
      </c>
      <c r="V31" s="288">
        <f>September!V31+October!V31+November!V31+December!V31+January!V31+February!V31+March!V31+April!V31+May!V31+June!V31+July!V31+August!V31+Adj!V31</f>
        <v>54495</v>
      </c>
      <c r="W31" s="220">
        <f>September!W31+October!W31+November!W31+December!W31+January!W31+February!W31+March!W31+April!W31+May!W31+June!W31+July!W31+August!W31+Adj!W31</f>
        <v>6687</v>
      </c>
      <c r="X31" s="220">
        <f>September!X31+October!X31+November!X31+December!X31+January!X31+February!X31+March!X31+April!X31+May!X31+June!X31+July!X31+August!X31+Adj!X31</f>
        <v>0</v>
      </c>
      <c r="Y31" s="220">
        <f>September!Y31+October!Y31+November!Y31+December!Y31+January!Y31+February!Y31+March!Y31+April!Y31+May!Y31+June!Y31+July!Y31+August!Y31+Adj!Y31</f>
        <v>0</v>
      </c>
      <c r="Z31" s="220">
        <f>September!Z31+October!Z31+November!Z31+December!Z31+January!Z31+February!Z31+March!Z31+April!Z31+May!Z31+June!Z31+July!Z31+August!Z31+Adj!Z31</f>
        <v>155989</v>
      </c>
      <c r="AA31" s="220">
        <f>September!AA31+October!AA31+November!AA31+December!AA31+January!AA31+February!AA31+March!AA31+April!AA31+May!AA31+June!AA31+July!AA31+August!AA31+Adj!AA31</f>
        <v>105203</v>
      </c>
    </row>
    <row r="32" spans="1:38" x14ac:dyDescent="0.25">
      <c r="A32" s="117" t="s">
        <v>139</v>
      </c>
      <c r="B32" s="137" t="s">
        <v>321</v>
      </c>
      <c r="C32" s="220">
        <f>September!C32+October!C32+November!C32+December!C32+January!C32+February!C32+March!C32+April!C32+May!C32+June!C32+July!C32+August!C32+Adj!C32</f>
        <v>11659</v>
      </c>
      <c r="D32" s="220">
        <f>September!D32+October!D32+November!D32+December!D32+January!D32+February!D32+March!D32+April!D32+May!D32+June!D32+July!D32+August!D32+Adj!D32</f>
        <v>12320</v>
      </c>
      <c r="E32" s="220">
        <f>September!E32+October!E32+November!E32+December!E32+January!E32+February!E32+March!E32+April!E32+May!E32+June!E32+July!E32+August!E32+Adj!E32</f>
        <v>8120</v>
      </c>
      <c r="F32" s="220">
        <f>September!F32+October!F32+November!F32+December!F32+January!F32+February!F32+March!F32+April!F32+May!F32+June!F32+July!F32+August!F32+Adj!F32</f>
        <v>437</v>
      </c>
      <c r="G32" s="220">
        <f>September!G32+October!G32+November!G32+December!G32+January!G32+February!G32+March!G32+April!G32+May!G32+June!G32+July!G32+August!G32+Adj!G32</f>
        <v>494</v>
      </c>
      <c r="H32" s="220">
        <f>September!H32+October!H32+November!H32+December!H32+January!H32+February!H32+March!H32+April!H32+May!H32+June!H32+July!H32+August!H32+Adj!H32</f>
        <v>282</v>
      </c>
      <c r="I32" s="220">
        <f>September!I32+October!I32+November!I32+December!I32+January!I32+February!I32+March!I32+April!I32+May!I32+June!I32+July!I32+August!I32+Adj!I32</f>
        <v>879</v>
      </c>
      <c r="J32" s="220">
        <f>September!J32+October!J32+November!J32+December!J32+January!J32+February!J32+March!J32+April!J32+May!J32+June!J32+July!J32+August!J32+Adj!J32</f>
        <v>1757</v>
      </c>
      <c r="K32" s="220">
        <f>September!K32+October!K32+November!K32+December!K32+January!K32+February!K32+March!K32+April!K32+May!K32+June!K32+July!K32+August!K32+Adj!K32</f>
        <v>2489</v>
      </c>
      <c r="L32" s="288">
        <f>September!L32+October!L32+November!L32+December!L32+January!L32+February!L32+March!L32+April!L32+May!L32+June!L32+July!L32+August!L32+Adj!L32</f>
        <v>38437</v>
      </c>
      <c r="M32" s="220">
        <f>September!M32+October!M32+November!M32+December!M32+January!M32+February!M32+March!M32+April!M32+May!M32+June!M32+July!M32+August!M32+Adj!M32</f>
        <v>2574</v>
      </c>
      <c r="N32" s="220">
        <f>September!N32+October!N32+November!N32+December!N32+January!N32+February!N32+March!N32+April!N32+May!N32+June!N32+July!N32+August!N32+Adj!N32</f>
        <v>6148</v>
      </c>
      <c r="O32" s="220">
        <f>September!O32+October!O32+November!O32+December!O32+January!O32+February!O32+March!O32+April!O32+May!O32+June!O32+July!O32+August!O32+Adj!O32</f>
        <v>2212</v>
      </c>
      <c r="P32" s="220">
        <f>September!P32+October!P32+November!P32+December!P32+January!P32+February!P32+March!P32+April!P32+May!P32+June!P32+July!P32+August!P32+Adj!P32</f>
        <v>207</v>
      </c>
      <c r="Q32" s="220">
        <f>September!Q32+October!Q32+November!Q32+December!Q32+January!Q32+February!Q32+March!Q32+April!Q32+May!Q32+June!Q32+July!Q32+August!Q32+Adj!Q32</f>
        <v>253</v>
      </c>
      <c r="R32" s="220">
        <f>September!R32+October!R32+November!R32+December!R32+January!R32+February!R32+March!R32+April!R32+May!R32+June!R32+July!R32+August!R32+Adj!R32</f>
        <v>124</v>
      </c>
      <c r="S32" s="220">
        <f>September!S32+October!S32+November!S32+December!S32+January!S32+February!S32+March!S32+April!S32+May!S32+June!S32+July!S32+August!S32+Adj!S32</f>
        <v>0</v>
      </c>
      <c r="T32" s="220">
        <f>September!T32+October!T32+November!T32+December!T32+January!T32+February!T32+March!T32+April!T32+May!T32+June!T32+July!T32+August!T32+Adj!T32</f>
        <v>184</v>
      </c>
      <c r="U32" s="220">
        <f>September!U32+October!U32+November!U32+December!U32+January!U32+February!U32+March!U32+April!U32+May!U32+June!U32+July!U32+August!U32+Adj!U32</f>
        <v>215</v>
      </c>
      <c r="V32" s="288">
        <f>September!V32+October!V32+November!V32+December!V32+January!V32+February!V32+March!V32+April!V32+May!V32+June!V32+July!V32+August!V32+Adj!V32</f>
        <v>11917</v>
      </c>
      <c r="W32" s="220">
        <f>September!W32+October!W32+November!W32+December!W32+January!W32+February!W32+March!W32+April!W32+May!W32+June!W32+July!W32+August!W32+Adj!W32</f>
        <v>7972</v>
      </c>
      <c r="X32" s="220">
        <f>September!X32+October!X32+November!X32+December!X32+January!X32+February!X32+March!X32+April!X32+May!X32+June!X32+July!X32+August!X32+Adj!X32</f>
        <v>0</v>
      </c>
      <c r="Y32" s="220">
        <f>September!Y32+October!Y32+November!Y32+December!Y32+January!Y32+February!Y32+March!Y32+April!Y32+May!Y32+June!Y32+July!Y32+August!Y32+Adj!Y32</f>
        <v>0</v>
      </c>
      <c r="Z32" s="220">
        <f>September!Z32+October!Z32+November!Z32+December!Z32+January!Z32+February!Z32+March!Z32+April!Z32+May!Z32+June!Z32+July!Z32+August!Z32+Adj!Z32</f>
        <v>58326</v>
      </c>
      <c r="AA32" s="220">
        <f>September!AA32+October!AA32+November!AA32+December!AA32+January!AA32+February!AA32+March!AA32+April!AA32+May!AA32+June!AA32+July!AA32+August!AA32+Adj!AA32</f>
        <v>36049</v>
      </c>
    </row>
    <row r="33" spans="1:30" x14ac:dyDescent="0.25">
      <c r="A33" s="119" t="s">
        <v>151</v>
      </c>
      <c r="B33" s="161" t="s">
        <v>323</v>
      </c>
      <c r="C33" s="220">
        <f>September!C33+October!C33+November!C33+December!C33+January!C33+February!C33+March!C33+April!C33+May!C33+June!C33+July!C33+August!C33+Adj!C33</f>
        <v>0</v>
      </c>
      <c r="D33" s="220">
        <f>September!D33+October!D33+November!D33+December!D33+January!D33+February!D33+March!D33+April!D33+May!D33+June!D33+July!D33+August!D33+Adj!D33</f>
        <v>0</v>
      </c>
      <c r="E33" s="220">
        <f>September!E33+October!E33+November!E33+December!E33+January!E33+February!E33+March!E33+April!E33+May!E33+June!E33+July!E33+August!E33+Adj!E33</f>
        <v>3319</v>
      </c>
      <c r="F33" s="220">
        <f>September!F33+October!F33+November!F33+December!F33+January!F33+February!F33+March!F33+April!F33+May!F33+June!F33+July!F33+August!F33+Adj!F33</f>
        <v>0</v>
      </c>
      <c r="G33" s="220">
        <f>September!G33+October!G33+November!G33+December!G33+January!G33+February!G33+March!G33+April!G33+May!G33+June!G33+July!G33+August!G33+Adj!G33</f>
        <v>0</v>
      </c>
      <c r="H33" s="220">
        <f>September!H33+October!H33+November!H33+December!H33+January!H33+February!H33+March!H33+April!H33+May!H33+June!H33+July!H33+August!H33+Adj!H33</f>
        <v>0</v>
      </c>
      <c r="I33" s="220">
        <f>September!I33+October!I33+November!I33+December!I33+January!I33+February!I33+March!I33+April!I33+May!I33+June!I33+July!I33+August!I33+Adj!I33</f>
        <v>398</v>
      </c>
      <c r="J33" s="220">
        <f>September!J33+October!J33+November!J33+December!J33+January!J33+February!J33+March!J33+April!J33+May!J33+June!J33+July!J33+August!J33+Adj!J33</f>
        <v>16632</v>
      </c>
      <c r="K33" s="220">
        <f>September!K33+October!K33+November!K33+December!K33+January!K33+February!K33+March!K33+April!K33+May!K33+June!K33+July!K33+August!K33+Adj!K33</f>
        <v>0</v>
      </c>
      <c r="L33" s="288">
        <f>September!L33+October!L33+November!L33+December!L33+January!L33+February!L33+March!L33+April!L33+May!L33+June!L33+July!L33+August!L33+Adj!L33</f>
        <v>20349</v>
      </c>
      <c r="M33" s="220">
        <f>September!M33+October!M33+November!M33+December!M33+January!M33+February!M33+March!M33+April!M33+May!M33+June!M33+July!M33+August!M33+Adj!M33</f>
        <v>0</v>
      </c>
      <c r="N33" s="220">
        <f>September!N33+October!N33+November!N33+December!N33+January!N33+February!N33+March!N33+April!N33+May!N33+June!N33+July!N33+August!N33+Adj!N33</f>
        <v>0</v>
      </c>
      <c r="O33" s="220">
        <f>September!O33+October!O33+November!O33+December!O33+January!O33+February!O33+March!O33+April!O33+May!O33+June!O33+July!O33+August!O33+Adj!O33</f>
        <v>0</v>
      </c>
      <c r="P33" s="220">
        <f>September!P33+October!P33+November!P33+December!P33+January!P33+February!P33+March!P33+April!P33+May!P33+June!P33+July!P33+August!P33+Adj!P33</f>
        <v>0</v>
      </c>
      <c r="Q33" s="220">
        <f>September!Q33+October!Q33+November!Q33+December!Q33+January!Q33+February!Q33+March!Q33+April!Q33+May!Q33+June!Q33+July!Q33+August!Q33+Adj!Q33</f>
        <v>0</v>
      </c>
      <c r="R33" s="220">
        <f>September!R33+October!R33+November!R33+December!R33+January!R33+February!R33+March!R33+April!R33+May!R33+June!R33+July!R33+August!R33+Adj!R33</f>
        <v>0</v>
      </c>
      <c r="S33" s="220">
        <f>September!S33+October!S33+November!S33+December!S33+January!S33+February!S33+March!S33+April!S33+May!S33+June!S33+July!S33+August!S33+Adj!S33</f>
        <v>0</v>
      </c>
      <c r="T33" s="220">
        <f>September!T33+October!T33+November!T33+December!T33+January!T33+February!T33+March!T33+April!T33+May!T33+June!T33+July!T33+August!T33+Adj!T33</f>
        <v>0</v>
      </c>
      <c r="U33" s="220">
        <f>September!U33+October!U33+November!U33+December!U33+January!U33+February!U33+March!U33+April!U33+May!U33+June!U33+July!U33+August!U33+Adj!U33</f>
        <v>0</v>
      </c>
      <c r="V33" s="288">
        <f>September!V33+October!V33+November!V33+December!V33+January!V33+February!V33+March!V33+April!V33+May!V33+June!V33+July!V33+August!V33+Adj!V33</f>
        <v>0</v>
      </c>
      <c r="W33" s="220">
        <f>September!W33+October!W33+November!W33+December!W33+January!W33+February!W33+March!W33+April!W33+May!W33+June!W33+July!W33+August!W33+Adj!W33</f>
        <v>0</v>
      </c>
      <c r="X33" s="220">
        <f>September!X33+October!X33+November!X33+December!X33+January!X33+February!X33+March!X33+April!X33+May!X33+June!X33+July!X33+August!X33+Adj!X33</f>
        <v>0</v>
      </c>
      <c r="Y33" s="220">
        <f>September!Y33+October!Y33+November!Y33+December!Y33+January!Y33+February!Y33+March!Y33+April!Y33+May!Y33+June!Y33+July!Y33+August!Y33+Adj!Y33</f>
        <v>0</v>
      </c>
      <c r="Z33" s="220">
        <f>September!Z33+October!Z33+November!Z33+December!Z33+January!Z33+February!Z33+March!Z33+April!Z33+May!Z33+June!Z33+July!Z33+August!Z33+Adj!Z33</f>
        <v>20349</v>
      </c>
      <c r="AA33" s="220">
        <f>September!AA33+October!AA33+November!AA33+December!AA33+January!AA33+February!AA33+March!AA33+April!AA33+May!AA33+June!AA33+July!AA33+August!AA33+Adj!AA33</f>
        <v>0</v>
      </c>
    </row>
    <row r="34" spans="1:30" x14ac:dyDescent="0.25">
      <c r="A34" s="117" t="s">
        <v>170</v>
      </c>
      <c r="B34" s="137" t="s">
        <v>288</v>
      </c>
      <c r="C34" s="220">
        <f>September!C34+October!C34+November!C34+December!C34+January!C34+February!C34+March!C34+April!C34+May!C34+June!C34+July!C34+August!C34+Adj!C34</f>
        <v>36860</v>
      </c>
      <c r="D34" s="220">
        <f>September!D34+October!D34+November!D34+December!D34+January!D34+February!D34+March!D34+April!D34+May!D34+June!D34+July!D34+August!D34+Adj!D34</f>
        <v>12048</v>
      </c>
      <c r="E34" s="220">
        <f>September!E34+October!E34+November!E34+December!E34+January!E34+February!E34+March!E34+April!E34+May!E34+June!E34+July!E34+August!E34+Adj!E34</f>
        <v>16327</v>
      </c>
      <c r="F34" s="220">
        <f>September!F34+October!F34+November!F34+December!F34+January!F34+February!F34+March!F34+April!F34+May!F34+June!F34+July!F34+August!F34+Adj!F34</f>
        <v>201</v>
      </c>
      <c r="G34" s="220">
        <f>September!G34+October!G34+November!G34+December!G34+January!G34+February!G34+March!G34+April!G34+May!G34+June!G34+July!G34+August!G34+Adj!G34</f>
        <v>1283</v>
      </c>
      <c r="H34" s="220">
        <f>September!H34+October!H34+November!H34+December!H34+January!H34+February!H34+March!H34+April!H34+May!H34+June!H34+July!H34+August!H34+Adj!H34</f>
        <v>2</v>
      </c>
      <c r="I34" s="220">
        <f>September!I34+October!I34+November!I34+December!I34+January!I34+February!I34+March!I34+April!I34+May!I34+June!I34+July!I34+August!I34+Adj!I34</f>
        <v>454</v>
      </c>
      <c r="J34" s="220">
        <f>September!J34+October!J34+November!J34+December!J34+January!J34+February!J34+March!J34+April!J34+May!J34+June!J34+July!J34+August!J34+Adj!J34</f>
        <v>909</v>
      </c>
      <c r="K34" s="220">
        <f>September!K34+October!K34+November!K34+December!K34+January!K34+February!K34+March!K34+April!K34+May!K34+June!K34+July!K34+August!K34+Adj!K34</f>
        <v>4</v>
      </c>
      <c r="L34" s="288">
        <f>September!L34+October!L34+November!L34+December!L34+January!L34+February!L34+March!L34+April!L34+May!L34+June!L34+July!L34+August!L34+Adj!L34</f>
        <v>68088</v>
      </c>
      <c r="M34" s="220">
        <f>September!M34+October!M34+November!M34+December!M34+January!M34+February!M34+March!M34+April!M34+May!M34+June!M34+July!M34+August!M34+Adj!M34</f>
        <v>0</v>
      </c>
      <c r="N34" s="220">
        <f>September!N34+October!N34+November!N34+December!N34+January!N34+February!N34+March!N34+April!N34+May!N34+June!N34+July!N34+August!N34+Adj!N34</f>
        <v>0</v>
      </c>
      <c r="O34" s="220">
        <f>September!O34+October!O34+November!O34+December!O34+January!O34+February!O34+March!O34+April!O34+May!O34+June!O34+July!O34+August!O34+Adj!O34</f>
        <v>0</v>
      </c>
      <c r="P34" s="220">
        <f>September!P34+October!P34+November!P34+December!P34+January!P34+February!P34+March!P34+April!P34+May!P34+June!P34+July!P34+August!P34+Adj!P34</f>
        <v>0</v>
      </c>
      <c r="Q34" s="220">
        <f>September!Q34+October!Q34+November!Q34+December!Q34+January!Q34+February!Q34+March!Q34+April!Q34+May!Q34+June!Q34+July!Q34+August!Q34+Adj!Q34</f>
        <v>0</v>
      </c>
      <c r="R34" s="220">
        <f>September!R34+October!R34+November!R34+December!R34+January!R34+February!R34+March!R34+April!R34+May!R34+June!R34+July!R34+August!R34+Adj!R34</f>
        <v>0</v>
      </c>
      <c r="S34" s="220">
        <f>September!S34+October!S34+November!S34+December!S34+January!S34+February!S34+March!S34+April!S34+May!S34+June!S34+July!S34+August!S34+Adj!S34</f>
        <v>0</v>
      </c>
      <c r="T34" s="220">
        <f>September!T34+October!T34+November!T34+December!T34+January!T34+February!T34+March!T34+April!T34+May!T34+June!T34+July!T34+August!T34+Adj!T34</f>
        <v>0</v>
      </c>
      <c r="U34" s="220">
        <f>September!U34+October!U34+November!U34+December!U34+January!U34+February!U34+March!U34+April!U34+May!U34+June!U34+July!U34+August!U34+Adj!U34</f>
        <v>0</v>
      </c>
      <c r="V34" s="288">
        <f>SUM(M34:U34)</f>
        <v>0</v>
      </c>
      <c r="W34" s="220">
        <f>September!W34+October!W34+November!W34+December!W34+January!W34+February!W34+March!W34+April!W34+May!W34+June!W34+July!W34+August!W34+Adj!W34</f>
        <v>883</v>
      </c>
      <c r="X34" s="220">
        <f>September!X34+October!X34+November!X34+December!X34+January!X34+February!X34+March!X34+April!X34+May!X34+June!X34+July!X34+August!X34+Adj!X34</f>
        <v>0</v>
      </c>
      <c r="Y34" s="220">
        <f>September!Y34+October!Y34+November!Y34+December!Y34+January!Y34+February!Y34+March!Y34+April!Y34+May!Y34+June!Y34+July!Y34+August!Y34+Adj!Y34</f>
        <v>0</v>
      </c>
      <c r="Z34" s="220">
        <f>September!Z34+October!Z34+November!Z34+December!Z34+January!Z34+February!Z34+March!Z34+April!Z34+May!Z34+June!Z34+July!Z34+August!Z34+Adj!Z34</f>
        <v>68971</v>
      </c>
      <c r="AA34" s="220">
        <f>September!AA34+October!AA34+November!AA34+December!AA34+January!AA34+February!AA34+March!AA34+April!AA34+May!AA34+June!AA34+July!AA34+August!AA34+Adj!AA34</f>
        <v>49113</v>
      </c>
    </row>
    <row r="35" spans="1:30" x14ac:dyDescent="0.25">
      <c r="A35" s="117" t="s">
        <v>171</v>
      </c>
      <c r="B35" s="137" t="s">
        <v>324</v>
      </c>
      <c r="C35" s="220">
        <f>September!C35+October!C35+November!C35+December!C35+January!C35+February!C35+March!C35+April!C35+May!C35+June!C35+July!C35+August!C35+Adj!C35</f>
        <v>12855</v>
      </c>
      <c r="D35" s="220">
        <f>September!D35+October!D35+November!D35+December!D35+January!D35+February!D35+March!D35+April!D35+May!D35+June!D35+July!D35+August!D35+Adj!D35</f>
        <v>7728</v>
      </c>
      <c r="E35" s="220">
        <f>September!E35+October!E35+November!E35+December!E35+January!E35+February!E35+March!E35+April!E35+May!E35+June!E35+July!E35+August!E35+Adj!E35</f>
        <v>6218</v>
      </c>
      <c r="F35" s="220">
        <f>September!F35+October!F35+November!F35+December!F35+January!F35+February!F35+March!F35+April!F35+May!F35+June!F35+July!F35+August!F35+Adj!F35</f>
        <v>590</v>
      </c>
      <c r="G35" s="220">
        <f>September!G35+October!G35+November!G35+December!G35+January!G35+February!G35+March!G35+April!G35+May!G35+June!G35+July!G35+August!G35+Adj!G35</f>
        <v>389</v>
      </c>
      <c r="H35" s="220">
        <f>September!H35+October!H35+November!H35+December!H35+January!H35+February!H35+March!H35+April!H35+May!H35+June!H35+July!H35+August!H35+Adj!H35</f>
        <v>22</v>
      </c>
      <c r="I35" s="220">
        <f>September!I35+October!I35+November!I35+December!I35+January!I35+February!I35+March!I35+April!I35+May!I35+June!I35+July!I35+August!I35+Adj!I35</f>
        <v>975</v>
      </c>
      <c r="J35" s="220">
        <f>September!J35+October!J35+November!J35+December!J35+January!J35+February!J35+March!J35+April!J35+May!J35+June!J35+July!J35+August!J35+Adj!J35</f>
        <v>1856</v>
      </c>
      <c r="K35" s="220">
        <f>September!K35+October!K35+November!K35+December!K35+January!K35+February!K35+March!K35+April!K35+May!K35+June!K35+July!K35+August!K35+Adj!K35</f>
        <v>0</v>
      </c>
      <c r="L35" s="288">
        <f>September!L35+October!L35+November!L35+December!L35+January!L35+February!L35+March!L35+April!L35+May!L35+June!L35+July!L35+August!L35+Adj!L35</f>
        <v>30633</v>
      </c>
      <c r="M35" s="220">
        <f>September!M35+October!M35+November!M35+December!M35+January!M35+February!M35+March!M35+April!M35+May!M35+June!M35+July!M35+August!M35+Adj!M35</f>
        <v>7273</v>
      </c>
      <c r="N35" s="220">
        <f>September!N35+October!N35+November!N35+December!N35+January!N35+February!N35+March!N35+April!N35+May!N35+June!N35+July!N35+August!N35+Adj!N35</f>
        <v>7885</v>
      </c>
      <c r="O35" s="220">
        <f>September!O35+October!O35+November!O35+December!O35+January!O35+February!O35+March!O35+April!O35+May!O35+June!O35+July!O35+August!O35+Adj!O35</f>
        <v>5538</v>
      </c>
      <c r="P35" s="220">
        <f>September!P35+October!P35+November!P35+December!P35+January!P35+February!P35+March!P35+April!P35+May!P35+June!P35+July!P35+August!P35+Adj!P35</f>
        <v>295</v>
      </c>
      <c r="Q35" s="220">
        <f>September!Q35+October!Q35+November!Q35+December!Q35+January!Q35+February!Q35+March!Q35+April!Q35+May!Q35+June!Q35+July!Q35+August!Q35+Adj!Q35</f>
        <v>339</v>
      </c>
      <c r="R35" s="220">
        <f>September!R35+October!R35+November!R35+December!R35+January!R35+February!R35+March!R35+April!R35+May!R35+June!R35+July!R35+August!R35+Adj!R35</f>
        <v>576</v>
      </c>
      <c r="S35" s="220">
        <f>September!S35+October!S35+November!S35+December!S35+January!S35+February!S35+March!S35+April!S35+May!S35+June!S35+July!S35+August!S35+Adj!S35</f>
        <v>23</v>
      </c>
      <c r="T35" s="220">
        <f>September!T35+October!T35+November!T35+December!T35+January!T35+February!T35+March!T35+April!T35+May!T35+June!T35+July!T35+August!T35+Adj!T35</f>
        <v>34</v>
      </c>
      <c r="U35" s="220">
        <f>September!U35+October!U35+November!U35+December!U35+January!U35+February!U35+March!U35+April!U35+May!U35+June!U35+July!U35+August!U35+Adj!U35</f>
        <v>0</v>
      </c>
      <c r="V35" s="288">
        <f>SUM(M35:U35)</f>
        <v>21963</v>
      </c>
      <c r="W35" s="220">
        <f>September!W35+October!W35+November!W35+December!W35+January!W35+February!W35+March!W35+April!W35+May!W35+June!W35+July!W35+August!W35+Adj!W35</f>
        <v>34662</v>
      </c>
      <c r="X35" s="220">
        <f>September!X35+October!X35+November!X35+December!X35+January!X35+February!X35+March!X35+April!X35+May!X35+June!X35+July!X35+August!X35+Adj!X35</f>
        <v>0</v>
      </c>
      <c r="Y35" s="220">
        <f>September!Y35+October!Y35+November!Y35+December!Y35+January!Y35+February!Y35+March!Y35+April!Y35+May!Y35+June!Y35+July!Y35+August!Y35+Adj!Y35</f>
        <v>0</v>
      </c>
      <c r="Z35" s="220">
        <f>September!Z35+October!Z35+November!Z35+December!Z35+January!Z35+February!Z35+March!Z35+April!Z35+May!Z35+June!Z35+July!Z35+August!Z35+Adj!Z35</f>
        <v>87258</v>
      </c>
      <c r="AA35" s="220">
        <f>September!AA35+October!AA35+November!AA35+December!AA35+January!AA35+February!AA35+March!AA35+April!AA35+May!AA35+June!AA35+July!AA35+August!AA35+Adj!AA35</f>
        <v>36626</v>
      </c>
    </row>
    <row r="36" spans="1:30" ht="13.8" thickBot="1" x14ac:dyDescent="0.3">
      <c r="A36" s="124" t="s">
        <v>362</v>
      </c>
      <c r="B36" s="143" t="s">
        <v>289</v>
      </c>
      <c r="C36" s="220">
        <f>September!C36+October!C36+November!C36+December!C36+January!C36+February!C36+March!C36+April!C36+May!C36+June!C36+July!C36+August!C36+Adj!C36</f>
        <v>4164</v>
      </c>
      <c r="D36" s="220">
        <f>September!D36+October!D36+November!D36+December!D36+January!D36+February!D36+March!D36+April!D36+May!D36+June!D36+July!D36+August!D36+Adj!D36</f>
        <v>2729</v>
      </c>
      <c r="E36" s="220">
        <f>September!E36+October!E36+November!E36+December!E36+January!E36+February!E36+March!E36+April!E36+May!E36+June!E36+July!E36+August!E36+Adj!E36</f>
        <v>4613</v>
      </c>
      <c r="F36" s="220">
        <f>September!F36+October!F36+November!F36+December!F36+January!F36+February!F36+March!F36+April!F36+May!F36+June!F36+July!F36+August!F36+Adj!F36</f>
        <v>281</v>
      </c>
      <c r="G36" s="220">
        <f>September!G36+October!G36+November!G36+December!G36+January!G36+February!G36+March!G36+April!G36+May!G36+June!G36+July!G36+August!G36+Adj!G36</f>
        <v>139</v>
      </c>
      <c r="H36" s="220">
        <f>September!H36+October!H36+November!H36+December!H36+January!H36+February!H36+March!H36+April!H36+May!H36+June!H36+July!H36+August!H36+Adj!H36</f>
        <v>11</v>
      </c>
      <c r="I36" s="220">
        <f>September!I36+October!I36+November!I36+December!I36+January!I36+February!I36+March!I36+April!I36+May!I36+June!I36+July!I36+August!I36+Adj!I36</f>
        <v>0</v>
      </c>
      <c r="J36" s="220">
        <f>September!J36+October!J36+November!J36+December!J36+January!J36+February!J36+March!J36+April!J36+May!J36+June!J36+July!J36+August!J36+Adj!J36</f>
        <v>4331</v>
      </c>
      <c r="K36" s="220">
        <f>September!K36+October!K36+November!K36+December!K36+January!K36+February!K36+March!K36+April!K36+May!K36+June!K36+July!K36+August!K36+Adj!K36</f>
        <v>21</v>
      </c>
      <c r="L36" s="289">
        <f>September!L36+October!L36+November!L36+December!L36+January!L36+February!L36+March!L36+April!L36+May!L36+June!L36+July!L36+August!L36+Adj!L36</f>
        <v>16289</v>
      </c>
      <c r="M36" s="220">
        <f>September!M36+October!M36+November!M36+December!M36+January!M36+February!M36+March!M36+April!M36+May!M36+June!M36+July!M36+August!M36+Adj!M36</f>
        <v>0</v>
      </c>
      <c r="N36" s="220">
        <f>September!N36+October!N36+November!N36+December!N36+January!N36+February!N36+March!N36+April!N36+May!N36+June!N36+July!N36+August!N36+Adj!N36</f>
        <v>0</v>
      </c>
      <c r="O36" s="220">
        <f>September!O36+October!O36+November!O36+December!O36+January!O36+February!O36+March!O36+April!O36+May!O36+June!O36+July!O36+August!O36+Adj!O36</f>
        <v>32</v>
      </c>
      <c r="P36" s="220">
        <f>September!P36+October!P36+November!P36+December!P36+January!P36+February!P36+March!P36+April!P36+May!P36+June!P36+July!P36+August!P36+Adj!P36</f>
        <v>0</v>
      </c>
      <c r="Q36" s="220">
        <f>September!Q36+October!Q36+November!Q36+December!Q36+January!Q36+February!Q36+March!Q36+April!Q36+May!Q36+June!Q36+July!Q36+August!Q36+Adj!Q36</f>
        <v>0</v>
      </c>
      <c r="R36" s="220">
        <f>September!R36+October!R36+November!R36+December!R36+January!R36+February!R36+March!R36+April!R36+May!R36+June!R36+July!R36+August!R36+Adj!R36</f>
        <v>0</v>
      </c>
      <c r="S36" s="220">
        <f>September!S36+October!S36+November!S36+December!S36+January!S36+February!S36+March!S36+April!S36+May!S36+June!S36+July!S36+August!S36+Adj!S36</f>
        <v>0</v>
      </c>
      <c r="T36" s="220">
        <f>September!T36+October!T36+November!T36+December!T36+January!T36+February!T36+March!T36+April!T36+May!T36+June!T36+July!T36+August!T36+Adj!T36</f>
        <v>142</v>
      </c>
      <c r="U36" s="220">
        <f>September!U36+October!U36+November!U36+December!U36+January!U36+February!U36+March!U36+April!U36+May!U36+June!U36+July!U36+August!U36+Adj!U36</f>
        <v>0</v>
      </c>
      <c r="V36" s="288">
        <f>September!V36+October!V36+November!V36+December!V36+January!V36+February!V36+March!V36+April!V36+May!V36+June!V36+July!V36+August!V36+Adj!V36</f>
        <v>174</v>
      </c>
      <c r="W36" s="282">
        <f>September!W36+October!W36+November!W36+December!W36+January!W36+February!W36+March!W36+April!W36+May!W36+June!W36+July!W36+August!W36+Adj!W36</f>
        <v>0</v>
      </c>
      <c r="X36" s="220">
        <f>September!X36+October!X36+November!X36+December!X36+January!X36+February!X36+March!X36+April!X36+May!X36+June!X36+July!X36+August!X36+Adj!X36</f>
        <v>0</v>
      </c>
      <c r="Y36" s="220">
        <f>September!Y36+October!Y36+November!Y36+December!Y36+January!Y36+February!Y36+March!Y36+April!Y36+May!Y36+June!Y36+July!Y36+August!Y36+Adj!Y36</f>
        <v>0</v>
      </c>
      <c r="Z36" s="220">
        <f>September!Z36+October!Z36+November!Z36+December!Z36+January!Z36+February!Z36+March!Z36+April!Z36+May!Z36+June!Z36+July!Z36+August!Z36+Adj!Z36</f>
        <v>16463</v>
      </c>
      <c r="AA36" s="220">
        <f>September!AA36+October!AA36+November!AA36+December!AA36+January!AA36+February!AA36+March!AA36+April!AA36+May!AA36+June!AA36+July!AA36+August!AA36+Adj!AA36</f>
        <v>7195</v>
      </c>
    </row>
    <row r="37" spans="1:30" s="109" customFormat="1" ht="14.4" thickBot="1" x14ac:dyDescent="0.3">
      <c r="A37" s="127"/>
      <c r="B37" s="159" t="s">
        <v>458</v>
      </c>
      <c r="C37" s="283">
        <f>September!C37+October!C37+November!C37+December!C37+January!C37+February!C37+March!C37+April!C37+May!C37+June!C37+July!C37+August!C37+Adj!C37</f>
        <v>310779</v>
      </c>
      <c r="D37" s="283">
        <f>September!D37+October!D37+November!D37+December!D37+January!D37+February!D37+March!D37+April!D37+May!D37+June!D37+July!D37+August!D37+Adj!D37</f>
        <v>149537</v>
      </c>
      <c r="E37" s="283">
        <f>September!E37+October!E37+November!E37+December!E37+January!E37+February!E37+March!E37+April!E37+May!E37+June!E37+July!E37+August!E37+Adj!E37</f>
        <v>134759</v>
      </c>
      <c r="F37" s="283">
        <f>September!F37+October!F37+November!F37+December!F37+January!F37+February!F37+March!F37+April!F37+May!F37+June!F37+July!F37+August!F37+Adj!F37</f>
        <v>6855</v>
      </c>
      <c r="G37" s="283">
        <f>September!G37+October!G37+November!G37+December!G37+January!G37+February!G37+March!G37+April!G37+May!G37+June!G37+July!G37+August!G37+Adj!G37</f>
        <v>8925</v>
      </c>
      <c r="H37" s="283">
        <f>September!H37+October!H37+November!H37+December!H37+January!H37+February!H37+March!H37+April!H37+May!H37+June!H37+July!H37+August!H37+Adj!H37</f>
        <v>1899</v>
      </c>
      <c r="I37" s="283">
        <f>September!I37+October!I37+November!I37+December!I37+January!I37+February!I37+March!I37+April!I37+May!I37+June!I37+July!I37+August!I37+Adj!I37</f>
        <v>9446</v>
      </c>
      <c r="J37" s="283">
        <f>September!J37+October!J37+November!J37+December!J37+January!J37+February!J37+March!J37+April!J37+May!J37+June!J37+July!J37+August!J37+Adj!J37</f>
        <v>37698</v>
      </c>
      <c r="K37" s="283">
        <f>September!K37+October!K37+November!K37+December!K37+January!K37+February!K37+March!K37+April!K37+May!K37+June!K37+July!K37+August!K37+Adj!K37</f>
        <v>3465</v>
      </c>
      <c r="L37" s="283">
        <f>September!L37+October!L37+November!L37+December!L37+January!L37+February!L37+March!L37+April!L37+May!L37+June!L37+July!L37+August!L37+Adj!L37</f>
        <v>663363</v>
      </c>
      <c r="M37" s="283">
        <f>September!M37+October!M37+November!M37+December!M37+January!M37+February!M37+March!M37+April!M37+May!M37+June!M37+July!M37+August!M37+Adj!M37</f>
        <v>45887</v>
      </c>
      <c r="N37" s="283">
        <f>September!N37+October!N37+November!N37+December!N37+January!N37+February!N37+March!N37+April!N37+May!N37+June!N37+July!N37+August!N37+Adj!N37</f>
        <v>84773</v>
      </c>
      <c r="O37" s="283">
        <f>September!O37+October!O37+November!O37+December!O37+January!O37+February!O37+March!O37+April!O37+May!O37+June!O37+July!O37+August!O37+Adj!O37</f>
        <v>33716</v>
      </c>
      <c r="P37" s="283">
        <f>September!P37+October!P37+November!P37+December!P37+January!P37+February!P37+March!P37+April!P37+May!P37+June!P37+July!P37+August!P37+Adj!P37</f>
        <v>2572</v>
      </c>
      <c r="Q37" s="283">
        <f>September!Q37+October!Q37+November!Q37+December!Q37+January!Q37+February!Q37+March!Q37+April!Q37+May!Q37+June!Q37+July!Q37+August!Q37+Adj!Q37</f>
        <v>4432</v>
      </c>
      <c r="R37" s="283">
        <f>September!R37+October!R37+November!R37+December!R37+January!R37+February!R37+March!R37+April!R37+May!R37+June!R37+July!R37+August!R37+Adj!R37</f>
        <v>2079</v>
      </c>
      <c r="S37" s="283">
        <f>September!S37+October!S37+November!S37+December!S37+January!S37+February!S37+March!S37+April!S37+May!S37+June!S37+July!S37+August!S37+Adj!S37</f>
        <v>85</v>
      </c>
      <c r="T37" s="283">
        <f>September!T37+October!T37+November!T37+December!T37+January!T37+February!T37+March!T37+April!T37+May!T37+June!T37+July!T37+August!T37+Adj!T37</f>
        <v>6220</v>
      </c>
      <c r="U37" s="283">
        <f>September!U37+October!U37+November!U37+December!U37+January!U37+February!U37+March!U37+April!U37+May!U37+June!U37+July!U37+August!U37+Adj!U37</f>
        <v>215</v>
      </c>
      <c r="V37" s="283">
        <f>September!V37+October!V37+November!V37+December!V37+January!V37+February!V37+March!V37+April!V37+May!V37+June!V37+July!V37+August!V37+Adj!V37</f>
        <v>179979</v>
      </c>
      <c r="W37" s="283">
        <f>September!W37+October!W37+November!W37+December!W37+January!W37+February!W37+March!W37+April!W37+May!W37+June!W37+July!W37+August!W37+Adj!W37</f>
        <v>89604</v>
      </c>
      <c r="X37" s="283">
        <f>SUM(X24:X36)</f>
        <v>0</v>
      </c>
      <c r="Y37" s="283">
        <f>SUM(Y24:Y36)</f>
        <v>0</v>
      </c>
      <c r="Z37" s="283">
        <f>SUM(Z24:Z36)</f>
        <v>932946</v>
      </c>
      <c r="AA37" s="283">
        <f>SUM(AA24:AA36)</f>
        <v>604083</v>
      </c>
      <c r="AC37"/>
      <c r="AD37"/>
    </row>
    <row r="38" spans="1:30" x14ac:dyDescent="0.25">
      <c r="A38" s="117" t="s">
        <v>70</v>
      </c>
      <c r="B38" s="279" t="s">
        <v>313</v>
      </c>
      <c r="C38" s="220">
        <f>September!C38+October!C38+November!C38+December!C38+January!C38+February!C38+March!C38+April!C38+May!C38+June!C38+July!C38+August!C38+Adj!C38</f>
        <v>10689</v>
      </c>
      <c r="D38" s="220">
        <f>September!D38+October!D38+November!D38+December!D38+January!D38+February!D38+March!D38+April!D38+May!D38+June!D38+July!D38+August!D38+Adj!D38</f>
        <v>16771</v>
      </c>
      <c r="E38" s="220">
        <f>September!E38+October!E38+November!E38+December!E38+January!E38+February!E38+March!E38+April!E38+May!E38+June!E38+July!E38+August!E38+Adj!E38</f>
        <v>4632</v>
      </c>
      <c r="F38" s="220">
        <f>September!F38+October!F38+November!F38+December!F38+January!F38+February!F38+March!F38+April!F38+May!F38+June!F38+July!F38+August!F38+Adj!F38</f>
        <v>463</v>
      </c>
      <c r="G38" s="220">
        <f>September!G38+October!G38+November!G38+December!G38+January!G38+February!G38+March!G38+April!G38+May!G38+June!G38+July!G38+August!G38+Adj!G38</f>
        <v>675</v>
      </c>
      <c r="H38" s="220">
        <f>September!H38+October!H38+November!H38+December!H38+January!H38+February!H38+March!H38+April!H38+May!H38+June!H38+July!H38+August!H38+Adj!H38</f>
        <v>0</v>
      </c>
      <c r="I38" s="220">
        <f>September!I38+October!I38+November!I38+December!I38+January!I38+February!I38+March!I38+April!I38+May!I38+June!I38+July!I38+August!I38+Adj!I38</f>
        <v>1147</v>
      </c>
      <c r="J38" s="220">
        <f>September!J38+October!J38+November!J38+December!J38+January!J38+February!J38+March!J38+April!J38+May!J38+June!J38+July!J38+August!J38+Adj!J38</f>
        <v>2533</v>
      </c>
      <c r="K38" s="220">
        <f>September!K38+October!K38+November!K38+December!K38+January!K38+February!K38+March!K38+April!K38+May!K38+June!K38+July!K38+August!K38+Adj!K38</f>
        <v>1461</v>
      </c>
      <c r="L38" s="288">
        <f>September!L38+October!L38+November!L38+December!L38+January!L38+February!L38+March!L38+April!L38+May!L38+June!L38+July!L38+August!L38+Adj!L38</f>
        <v>38371</v>
      </c>
      <c r="M38" s="220">
        <f>September!M38+October!M38+November!M38+December!M38+January!M38+February!M38+March!M38+April!M38+May!M38+June!M38+July!M38+August!M38+Adj!M38</f>
        <v>10442</v>
      </c>
      <c r="N38" s="220">
        <f>September!N38+October!N38+November!N38+December!N38+January!N38+February!N38+March!N38+April!N38+May!N38+June!N38+July!N38+August!N38+Adj!N38</f>
        <v>14548</v>
      </c>
      <c r="O38" s="220">
        <f>September!O38+October!O38+November!O38+December!O38+January!O38+February!O38+March!O38+April!O38+May!O38+June!O38+July!O38+August!O38+Adj!O38</f>
        <v>7007</v>
      </c>
      <c r="P38" s="220">
        <f>September!P38+October!P38+November!P38+December!P38+January!P38+February!P38+March!P38+April!P38+May!P38+June!P38+July!P38+August!P38+Adj!P38</f>
        <v>485</v>
      </c>
      <c r="Q38" s="220">
        <f>September!Q38+October!Q38+November!Q38+December!Q38+January!Q38+February!Q38+March!Q38+April!Q38+May!Q38+June!Q38+July!Q38+August!Q38+Adj!Q38</f>
        <v>694</v>
      </c>
      <c r="R38" s="220">
        <f>September!R38+October!R38+November!R38+December!R38+January!R38+February!R38+March!R38+April!R38+May!R38+June!R38+July!R38+August!R38+Adj!R38</f>
        <v>464</v>
      </c>
      <c r="S38" s="220">
        <f>September!S38+October!S38+November!S38+December!S38+January!S38+February!S38+March!S38+April!S38+May!S38+June!S38+July!S38+August!S38+Adj!S38</f>
        <v>53</v>
      </c>
      <c r="T38" s="220">
        <f>September!T38+October!T38+November!T38+December!T38+January!T38+February!T38+March!T38+April!T38+May!T38+June!T38+July!T38+August!T38+Adj!T38</f>
        <v>615</v>
      </c>
      <c r="U38" s="220">
        <f>September!U38+October!U38+November!U38+December!U38+January!U38+February!U38+March!U38+April!U38+May!U38+June!U38+July!U38+August!U38+Adj!U38</f>
        <v>284</v>
      </c>
      <c r="V38" s="288">
        <f>September!V38+October!V38+November!V38+December!V38+January!V38+February!V38+March!V38+April!V38+May!V38+June!V38+July!V38+August!V38+Adj!V38</f>
        <v>34592</v>
      </c>
      <c r="W38" s="220">
        <f>September!W38+October!W38+November!W38+December!W38+January!W38+February!W38+March!W38+April!W38+May!W38+June!W38+July!W38+August!W38+Adj!W38</f>
        <v>12795</v>
      </c>
      <c r="X38" s="220">
        <f>September!X38+October!X38+November!X38+December!X38+January!X38+February!X38+March!X38+April!X38+May!X38+June!X38+July!X38+August!X38+Adj!X38</f>
        <v>6165</v>
      </c>
      <c r="Y38" s="220">
        <f>September!Y38+October!Y38+November!Y38+December!Y38+January!Y38+February!Y38+March!Y38+April!Y38+May!Y38+June!Y38+July!Y38+August!Y38+Adj!Y38</f>
        <v>4968</v>
      </c>
      <c r="Z38" s="220">
        <f>September!Z38+October!Z38+November!Z38+December!Z38+January!Z38+February!Z38+March!Z38+April!Z38+May!Z38+June!Z38+July!Z38+August!Z38+Adj!Z38</f>
        <v>96891</v>
      </c>
      <c r="AA38" s="220">
        <f>September!AA38+October!AA38+November!AA38+December!AA38+January!AA38+February!AA38+March!AA38+April!AA38+May!AA38+June!AA38+July!AA38+August!AA38+Adj!AA38</f>
        <v>55143</v>
      </c>
    </row>
    <row r="39" spans="1:30" x14ac:dyDescent="0.25">
      <c r="A39" s="117" t="s">
        <v>75</v>
      </c>
      <c r="B39" s="137" t="s">
        <v>336</v>
      </c>
      <c r="C39" s="220">
        <f>September!C39+October!C39+November!C39+December!C39+January!C39+February!C39+March!C39+April!C39+May!C39+June!C39+July!C39+August!C39+Adj!C39</f>
        <v>27160</v>
      </c>
      <c r="D39" s="220">
        <f>September!D39+October!D39+November!D39+December!D39+January!D39+February!D39+March!D39+April!D39+May!D39+June!D39+July!D39+August!D39+Adj!D39</f>
        <v>19083</v>
      </c>
      <c r="E39" s="220">
        <f>September!E39+October!E39+November!E39+December!E39+January!E39+February!E39+March!E39+April!E39+May!E39+June!E39+July!E39+August!E39+Adj!E39</f>
        <v>14626</v>
      </c>
      <c r="F39" s="220">
        <f>September!F39+October!F39+November!F39+December!F39+January!F39+February!F39+March!F39+April!F39+May!F39+June!F39+July!F39+August!F39+Adj!F39</f>
        <v>963</v>
      </c>
      <c r="G39" s="220">
        <f>September!G39+October!G39+November!G39+December!G39+January!G39+February!G39+March!G39+April!G39+May!G39+June!G39+July!G39+August!G39+Adj!G39</f>
        <v>1276</v>
      </c>
      <c r="H39" s="220">
        <f>September!H39+October!H39+November!H39+December!H39+January!H39+February!H39+March!H39+April!H39+May!H39+June!H39+July!H39+August!H39+Adj!H39</f>
        <v>10</v>
      </c>
      <c r="I39" s="220">
        <f>September!I39+October!I39+November!I39+December!I39+January!I39+February!I39+March!I39+April!I39+May!I39+June!I39+July!I39+August!I39+Adj!I39</f>
        <v>377</v>
      </c>
      <c r="J39" s="220">
        <f>September!J39+October!J39+November!J39+December!J39+January!J39+February!J39+March!J39+April!J39+May!J39+June!J39+July!J39+August!J39+Adj!J39</f>
        <v>2806</v>
      </c>
      <c r="K39" s="220">
        <f>September!K39+October!K39+November!K39+December!K39+January!K39+February!K39+March!K39+April!K39+May!K39+June!K39+July!K39+August!K39+Adj!K39</f>
        <v>0</v>
      </c>
      <c r="L39" s="288">
        <f>September!L39+October!L39+November!L39+December!L39+January!L39+February!L39+March!L39+April!L39+May!L39+June!L39+July!L39+August!L39+Adj!L39</f>
        <v>66301</v>
      </c>
      <c r="M39" s="220">
        <f>September!M39+October!M39+November!M39+December!M39+January!M39+February!M39+March!M39+April!M39+May!M39+June!M39+July!M39+August!M39+Adj!M39</f>
        <v>5513</v>
      </c>
      <c r="N39" s="220">
        <f>September!N39+October!N39+November!N39+December!N39+January!N39+February!N39+March!N39+April!N39+May!N39+June!N39+July!N39+August!N39+Adj!N39</f>
        <v>14902</v>
      </c>
      <c r="O39" s="220">
        <f>September!O39+October!O39+November!O39+December!O39+January!O39+February!O39+March!O39+April!O39+May!O39+June!O39+July!O39+August!O39+Adj!O39</f>
        <v>5427</v>
      </c>
      <c r="P39" s="220">
        <f>September!P39+October!P39+November!P39+December!P39+January!P39+February!P39+March!P39+April!P39+May!P39+June!P39+July!P39+August!P39+Adj!P39</f>
        <v>534</v>
      </c>
      <c r="Q39" s="220">
        <f>September!Q39+October!Q39+November!Q39+December!Q39+January!Q39+February!Q39+March!Q39+April!Q39+May!Q39+June!Q39+July!Q39+August!Q39+Adj!Q39</f>
        <v>546</v>
      </c>
      <c r="R39" s="220">
        <f>September!R39+October!R39+November!R39+December!R39+January!R39+February!R39+March!R39+April!R39+May!R39+June!R39+July!R39+August!R39+Adj!R39</f>
        <v>107</v>
      </c>
      <c r="S39" s="220">
        <f>September!S39+October!S39+November!S39+December!S39+January!S39+February!S39+March!S39+April!S39+May!S39+June!S39+July!S39+August!S39+Adj!S39</f>
        <v>2</v>
      </c>
      <c r="T39" s="220">
        <f>September!T39+October!T39+November!T39+December!T39+January!T39+February!T39+March!T39+April!T39+May!T39+June!T39+July!T39+August!T39+Adj!T39</f>
        <v>802</v>
      </c>
      <c r="U39" s="220">
        <f>September!U39+October!U39+November!U39+December!U39+January!U39+February!U39+March!U39+April!U39+May!U39+June!U39+July!U39+August!U39+Adj!U39</f>
        <v>0</v>
      </c>
      <c r="V39" s="288">
        <f>September!V39+October!V39+November!V39+December!V39+January!V39+February!V39+March!V39+April!V39+May!V39+June!V39+July!V39+August!V39+Adj!V39</f>
        <v>27833</v>
      </c>
      <c r="W39" s="220">
        <f>September!W39+October!W39+November!W39+December!W39+January!W39+February!W39+March!W39+April!W39+May!W39+June!W39+July!W39+August!W39+Adj!W39</f>
        <v>7650</v>
      </c>
      <c r="X39" s="220">
        <f>September!X39+October!X39+November!X39+December!X39+January!X39+February!X39+March!X39+April!X39+May!X39+June!X39+July!X39+August!X39+Adj!X39</f>
        <v>0</v>
      </c>
      <c r="Y39" s="220">
        <f>September!Y39+October!Y39+November!Y39+December!Y39+January!Y39+February!Y39+March!Y39+April!Y39+May!Y39+June!Y39+July!Y39+August!Y39+Adj!Y39</f>
        <v>0</v>
      </c>
      <c r="Z39" s="220">
        <f>September!Z39+October!Z39+November!Z39+December!Z39+January!Z39+February!Z39+March!Z39+April!Z39+May!Z39+June!Z39+July!Z39+August!Z39+Adj!Z39</f>
        <v>101784</v>
      </c>
      <c r="AA39" s="220">
        <f>September!AA39+October!AA39+November!AA39+December!AA39+January!AA39+February!AA39+March!AA39+April!AA39+May!AA39+June!AA39+July!AA39+August!AA39+Adj!AA39</f>
        <v>68155</v>
      </c>
    </row>
    <row r="40" spans="1:30" x14ac:dyDescent="0.25">
      <c r="A40" s="117" t="s">
        <v>78</v>
      </c>
      <c r="B40" s="137" t="s">
        <v>314</v>
      </c>
      <c r="C40" s="220">
        <f>September!C40+October!C40+November!C40+December!C40+January!C40+February!C40+March!C40+April!C40+May!C40+June!C40+July!C40+August!C40+Adj!C40</f>
        <v>4264</v>
      </c>
      <c r="D40" s="220">
        <f>September!D40+October!D40+November!D40+December!D40+January!D40+February!D40+March!D40+April!D40+May!D40+June!D40+July!D40+August!D40+Adj!D40</f>
        <v>6721</v>
      </c>
      <c r="E40" s="220">
        <f>September!E40+October!E40+November!E40+December!E40+January!E40+February!E40+March!E40+April!E40+May!E40+June!E40+July!E40+August!E40+Adj!E40</f>
        <v>2185</v>
      </c>
      <c r="F40" s="220">
        <f>September!F40+October!F40+November!F40+December!F40+January!F40+February!F40+March!F40+April!F40+May!F40+June!F40+July!F40+August!F40+Adj!F40</f>
        <v>163</v>
      </c>
      <c r="G40" s="220">
        <f>September!G40+October!G40+November!G40+December!G40+January!G40+February!G40+March!G40+April!G40+May!G40+June!G40+July!G40+August!G40+Adj!G40</f>
        <v>399</v>
      </c>
      <c r="H40" s="220">
        <f>September!H40+October!H40+November!H40+December!H40+January!H40+February!H40+March!H40+April!H40+May!H40+June!H40+July!H40+August!H40+Adj!H40</f>
        <v>23</v>
      </c>
      <c r="I40" s="220">
        <f>September!I40+October!I40+November!I40+December!I40+January!I40+February!I40+March!I40+April!I40+May!I40+June!I40+July!I40+August!I40+Adj!I40</f>
        <v>829</v>
      </c>
      <c r="J40" s="220">
        <f>September!J40+October!J40+November!J40+December!J40+January!J40+February!J40+March!J40+April!J40+May!J40+June!J40+July!J40+August!J40+Adj!J40</f>
        <v>1348</v>
      </c>
      <c r="K40" s="220">
        <f>September!K40+October!K40+November!K40+December!K40+January!K40+February!K40+March!K40+April!K40+May!K40+June!K40+July!K40+August!K40+Adj!K40</f>
        <v>806</v>
      </c>
      <c r="L40" s="288">
        <f>September!L40+October!L40+November!L40+December!L40+January!L40+February!L40+March!L40+April!L40+May!L40+June!L40+July!L40+August!L40+Adj!L40</f>
        <v>16738</v>
      </c>
      <c r="M40" s="220">
        <f>September!M40+October!M40+November!M40+December!M40+January!M40+February!M40+March!M40+April!M40+May!M40+June!M40+July!M40+August!M40+Adj!M40</f>
        <v>5540</v>
      </c>
      <c r="N40" s="220">
        <f>September!N40+October!N40+November!N40+December!N40+January!N40+February!N40+March!N40+April!N40+May!N40+June!N40+July!N40+August!N40+Adj!N40</f>
        <v>7039</v>
      </c>
      <c r="O40" s="220">
        <f>September!O40+October!O40+November!O40+December!O40+January!O40+February!O40+March!O40+April!O40+May!O40+June!O40+July!O40+August!O40+Adj!O40</f>
        <v>4510</v>
      </c>
      <c r="P40" s="220">
        <f>September!P40+October!P40+November!P40+December!P40+January!P40+February!P40+March!P40+April!P40+May!P40+June!P40+July!P40+August!P40+Adj!P40</f>
        <v>230</v>
      </c>
      <c r="Q40" s="220">
        <f>September!Q40+October!Q40+November!Q40+December!Q40+January!Q40+February!Q40+March!Q40+April!Q40+May!Q40+June!Q40+July!Q40+August!Q40+Adj!Q40</f>
        <v>243</v>
      </c>
      <c r="R40" s="220">
        <f>September!R40+October!R40+November!R40+December!R40+January!R40+February!R40+March!R40+April!R40+May!R40+June!R40+July!R40+August!R40+Adj!R40</f>
        <v>306</v>
      </c>
      <c r="S40" s="220">
        <f>September!S40+October!S40+November!S40+December!S40+January!S40+February!S40+March!S40+April!S40+May!S40+June!S40+July!S40+August!S40+Adj!S40</f>
        <v>0</v>
      </c>
      <c r="T40" s="220">
        <f>September!T40+October!T40+November!T40+December!T40+January!T40+February!T40+March!T40+April!T40+May!T40+June!T40+July!T40+August!T40+Adj!T40</f>
        <v>42</v>
      </c>
      <c r="U40" s="220">
        <f>September!U40+October!U40+November!U40+December!U40+January!U40+February!U40+March!U40+April!U40+May!U40+June!U40+July!U40+August!U40+Adj!U40</f>
        <v>277</v>
      </c>
      <c r="V40" s="288">
        <f>September!V40+October!V40+November!V40+December!V40+January!V40+February!V40+March!V40+April!V40+May!V40+June!V40+July!V40+August!V40+Adj!V40</f>
        <v>18187</v>
      </c>
      <c r="W40" s="220">
        <f>September!W40+October!W40+November!W40+December!W40+January!W40+February!W40+March!W40+April!W40+May!W40+June!W40+July!W40+August!W40+Adj!W40</f>
        <v>7646</v>
      </c>
      <c r="X40" s="220">
        <f>September!X40+October!X40+November!X40+December!X40+January!X40+February!X40+March!X40+April!X40+May!X40+June!X40+July!X40+August!X40+Adj!X40</f>
        <v>0</v>
      </c>
      <c r="Y40" s="220">
        <f>September!Y40+October!Y40+November!Y40+December!Y40+January!Y40+February!Y40+March!Y40+April!Y40+May!Y40+June!Y40+July!Y40+August!Y40+Adj!Y40</f>
        <v>0</v>
      </c>
      <c r="Z40" s="220">
        <f>September!Z40+October!Z40+November!Z40+December!Z40+January!Z40+February!Z40+March!Z40+April!Z40+May!Z40+June!Z40+July!Z40+August!Z40+Adj!Z40</f>
        <v>42571</v>
      </c>
      <c r="AA40" s="220">
        <f>September!AA40+October!AA40+November!AA40+December!AA40+January!AA40+February!AA40+March!AA40+April!AA40+May!AA40+June!AA40+July!AA40+August!AA40+Adj!AA40</f>
        <v>25040</v>
      </c>
    </row>
    <row r="41" spans="1:30" x14ac:dyDescent="0.25">
      <c r="A41" s="117" t="s">
        <v>88</v>
      </c>
      <c r="B41" s="137" t="s">
        <v>337</v>
      </c>
      <c r="C41" s="220">
        <f>September!C41+October!C41+November!C41+December!C41+January!C41+February!C41+March!C41+April!C41+May!C41+June!C41+July!C41+August!C41+Adj!C41</f>
        <v>23165</v>
      </c>
      <c r="D41" s="220">
        <f>September!D41+October!D41+November!D41+December!D41+January!D41+February!D41+March!D41+April!D41+May!D41+June!D41+July!D41+August!D41+Adj!D41</f>
        <v>8107</v>
      </c>
      <c r="E41" s="220">
        <f>September!E41+October!E41+November!E41+December!E41+January!E41+February!E41+March!E41+April!E41+May!E41+June!E41+July!E41+August!E41+Adj!E41</f>
        <v>6034</v>
      </c>
      <c r="F41" s="220">
        <f>September!F41+October!F41+November!F41+December!F41+January!F41+February!F41+March!F41+April!F41+May!F41+June!F41+July!F41+August!F41+Adj!F41</f>
        <v>415</v>
      </c>
      <c r="G41" s="220">
        <f>September!G41+October!G41+November!G41+December!G41+January!G41+February!G41+March!G41+April!G41+May!G41+June!G41+July!G41+August!G41+Adj!G41</f>
        <v>786</v>
      </c>
      <c r="H41" s="220">
        <f>September!H41+October!H41+November!H41+December!H41+January!H41+February!H41+March!H41+April!H41+May!H41+June!H41+July!H41+August!H41+Adj!H41</f>
        <v>65</v>
      </c>
      <c r="I41" s="220">
        <f>September!I41+October!I41+November!I41+December!I41+January!I41+February!I41+March!I41+April!I41+May!I41+June!I41+July!I41+August!I41+Adj!I41</f>
        <v>315</v>
      </c>
      <c r="J41" s="220">
        <f>September!J41+October!J41+November!J41+December!J41+January!J41+February!J41+March!J41+April!J41+May!J41+June!J41+July!J41+August!J41+Adj!J41</f>
        <v>628</v>
      </c>
      <c r="K41" s="220">
        <f>September!K41+October!K41+November!K41+December!K41+January!K41+February!K41+March!K41+April!K41+May!K41+June!K41+July!K41+August!K41+Adj!K41</f>
        <v>0</v>
      </c>
      <c r="L41" s="288">
        <f>September!L41+October!L41+November!L41+December!L41+January!L41+February!L41+March!L41+April!L41+May!L41+June!L41+July!L41+August!L41+Adj!L41</f>
        <v>39515</v>
      </c>
      <c r="M41" s="220">
        <f>September!M41+October!M41+November!M41+December!M41+January!M41+February!M41+March!M41+April!M41+May!M41+June!M41+July!M41+August!M41+Adj!M41</f>
        <v>13312</v>
      </c>
      <c r="N41" s="220">
        <f>September!N41+October!N41+November!N41+December!N41+January!N41+February!N41+March!N41+April!N41+May!N41+June!N41+July!N41+August!N41+Adj!N41</f>
        <v>5840</v>
      </c>
      <c r="O41" s="220">
        <f>September!O41+October!O41+November!O41+December!O41+January!O41+February!O41+March!O41+April!O41+May!O41+June!O41+July!O41+August!O41+Adj!O41</f>
        <v>5155</v>
      </c>
      <c r="P41" s="220">
        <f>September!P41+October!P41+November!P41+December!P41+January!P41+February!P41+March!P41+April!P41+May!P41+June!P41+July!P41+August!P41+Adj!P41</f>
        <v>118</v>
      </c>
      <c r="Q41" s="220">
        <f>September!Q41+October!Q41+November!Q41+December!Q41+January!Q41+February!Q41+March!Q41+April!Q41+May!Q41+June!Q41+July!Q41+August!Q41+Adj!Q41</f>
        <v>292</v>
      </c>
      <c r="R41" s="220">
        <f>September!R41+October!R41+November!R41+December!R41+January!R41+February!R41+March!R41+April!R41+May!R41+June!R41+July!R41+August!R41+Adj!R41</f>
        <v>1491</v>
      </c>
      <c r="S41" s="220">
        <f>September!S41+October!S41+November!S41+December!S41+January!S41+February!S41+March!S41+April!S41+May!S41+June!S41+July!S41+August!S41+Adj!S41</f>
        <v>173</v>
      </c>
      <c r="T41" s="220">
        <f>September!T41+October!T41+November!T41+December!T41+January!T41+February!T41+March!T41+April!T41+May!T41+June!T41+July!T41+August!T41+Adj!T41</f>
        <v>50</v>
      </c>
      <c r="U41" s="220">
        <f>September!U41+October!U41+November!U41+December!U41+January!U41+February!U41+March!U41+April!U41+May!U41+June!U41+July!U41+August!U41+Adj!U41</f>
        <v>0</v>
      </c>
      <c r="V41" s="288">
        <f>September!V41+October!V41+November!V41+December!V41+January!V41+February!V41+March!V41+April!V41+May!V41+June!V41+July!V41+August!V41+Adj!V41</f>
        <v>26431</v>
      </c>
      <c r="W41" s="220">
        <f>September!W41+October!W41+November!W41+December!W41+January!W41+February!W41+March!W41+April!W41+May!W41+June!W41+July!W41+August!W41+Adj!W41</f>
        <v>9898</v>
      </c>
      <c r="X41" s="220">
        <f>September!X41+October!X41+November!X41+December!X41+January!X41+February!X41+March!X41+April!X41+May!X41+June!X41+July!X41+August!X41+Adj!X41</f>
        <v>0</v>
      </c>
      <c r="Y41" s="220">
        <f>September!Y41+October!Y41+November!Y41+December!Y41+January!Y41+February!Y41+March!Y41+April!Y41+May!Y41+June!Y41+July!Y41+August!Y41+Adj!Y41</f>
        <v>0</v>
      </c>
      <c r="Z41" s="220">
        <f>September!Z41+October!Z41+November!Z41+December!Z41+January!Z41+February!Z41+March!Z41+April!Z41+May!Z41+June!Z41+July!Z41+August!Z41+Adj!Z41</f>
        <v>75844</v>
      </c>
      <c r="AA41" s="220">
        <f>September!AA41+October!AA41+November!AA41+December!AA41+January!AA41+February!AA41+March!AA41+April!AA41+May!AA41+June!AA41+July!AA41+August!AA41+Adj!AA41</f>
        <v>50957</v>
      </c>
    </row>
    <row r="42" spans="1:30" x14ac:dyDescent="0.25">
      <c r="A42" s="117" t="s">
        <v>99</v>
      </c>
      <c r="B42" s="137" t="s">
        <v>338</v>
      </c>
      <c r="C42" s="220">
        <f>September!C42+October!C42+November!C42+December!C42+January!C42+February!C42+March!C42+April!C42+May!C42+June!C42+July!C42+August!C42+Adj!C42</f>
        <v>151091</v>
      </c>
      <c r="D42" s="220">
        <f>September!D42+October!D42+November!D42+December!D42+January!D42+February!D42+March!D42+April!D42+May!D42+June!D42+July!D42+August!D42+Adj!D42</f>
        <v>29761</v>
      </c>
      <c r="E42" s="220">
        <f>September!E42+October!E42+November!E42+December!E42+January!E42+February!E42+March!E42+April!E42+May!E42+June!E42+July!E42+August!E42+Adj!E42</f>
        <v>30304</v>
      </c>
      <c r="F42" s="220">
        <f>September!F42+October!F42+November!F42+December!F42+January!F42+February!F42+March!F42+April!F42+May!F42+June!F42+July!F42+August!F42+Adj!F42</f>
        <v>2119</v>
      </c>
      <c r="G42" s="220">
        <f>September!G42+October!G42+November!G42+December!G42+January!G42+February!G42+March!G42+April!G42+May!G42+June!G42+July!G42+August!G42+Adj!G42</f>
        <v>2012</v>
      </c>
      <c r="H42" s="220">
        <f>September!H42+October!H42+November!H42+December!H42+January!H42+February!H42+March!H42+April!H42+May!H42+June!H42+July!H42+August!H42+Adj!H42</f>
        <v>1307</v>
      </c>
      <c r="I42" s="220">
        <f>September!I42+October!I42+November!I42+December!I42+January!I42+February!I42+March!I42+April!I42+May!I42+June!I42+July!I42+August!I42+Adj!I42</f>
        <v>5809</v>
      </c>
      <c r="J42" s="220">
        <f>September!J42+October!J42+November!J42+December!J42+January!J42+February!J42+March!J42+April!J42+May!J42+June!J42+July!J42+August!J42+Adj!J42</f>
        <v>3930</v>
      </c>
      <c r="K42" s="220">
        <f>September!K42+October!K42+November!K42+December!K42+January!K42+February!K42+March!K42+April!K42+May!K42+June!K42+July!K42+August!K42+Adj!K42</f>
        <v>3</v>
      </c>
      <c r="L42" s="288">
        <f>September!L42+October!L42+November!L42+December!L42+January!L42+February!L42+March!L42+April!L42+May!L42+June!L42+July!L42+August!L42+Adj!L42</f>
        <v>226336</v>
      </c>
      <c r="M42" s="220">
        <f>September!M42+October!M42+November!M42+December!M42+January!M42+February!M42+March!M42+April!M42+May!M42+June!M42+July!M42+August!M42+Adj!M42</f>
        <v>11103</v>
      </c>
      <c r="N42" s="220">
        <f>September!N42+October!N42+November!N42+December!N42+January!N42+February!N42+March!N42+April!N42+May!N42+June!N42+July!N42+August!N42+Adj!N42</f>
        <v>5780</v>
      </c>
      <c r="O42" s="220">
        <f>September!O42+October!O42+November!O42+December!O42+January!O42+February!O42+March!O42+April!O42+May!O42+June!O42+July!O42+August!O42+Adj!O42</f>
        <v>6001</v>
      </c>
      <c r="P42" s="220">
        <f>September!P42+October!P42+November!P42+December!P42+January!P42+February!P42+March!P42+April!P42+May!P42+June!P42+July!P42+August!P42+Adj!P42</f>
        <v>100</v>
      </c>
      <c r="Q42" s="220">
        <f>September!Q42+October!Q42+November!Q42+December!Q42+January!Q42+February!Q42+March!Q42+April!Q42+May!Q42+June!Q42+July!Q42+August!Q42+Adj!Q42</f>
        <v>152</v>
      </c>
      <c r="R42" s="220">
        <f>September!R42+October!R42+November!R42+December!R42+January!R42+February!R42+March!R42+April!R42+May!R42+June!R42+July!R42+August!R42+Adj!R42</f>
        <v>2776</v>
      </c>
      <c r="S42" s="220">
        <f>September!S42+October!S42+November!S42+December!S42+January!S42+February!S42+March!S42+April!S42+May!S42+June!S42+July!S42+August!S42+Adj!S42</f>
        <v>233</v>
      </c>
      <c r="T42" s="220">
        <f>September!T42+October!T42+November!T42+December!T42+January!T42+February!T42+March!T42+April!T42+May!T42+June!T42+July!T42+August!T42+Adj!T42</f>
        <v>117</v>
      </c>
      <c r="U42" s="220">
        <f>September!U42+October!U42+November!U42+December!U42+January!U42+February!U42+March!U42+April!U42+May!U42+June!U42+July!U42+August!U42+Adj!U42</f>
        <v>0</v>
      </c>
      <c r="V42" s="288">
        <f>September!V42+October!V42+November!V42+December!V42+January!V42+February!V42+March!V42+April!V42+May!V42+June!V42+July!V42+August!V42+Adj!V42</f>
        <v>26262</v>
      </c>
      <c r="W42" s="220">
        <f>September!W42+October!W42+November!W42+December!W42+January!W42+February!W42+March!W42+April!W42+May!W42+June!W42+July!W42+August!W42+Adj!W42</f>
        <v>18849</v>
      </c>
      <c r="X42" s="220">
        <f>September!X42+October!X42+November!X42+December!X42+January!X42+February!X42+March!X42+April!X42+May!X42+June!X42+July!X42+August!X42+Adj!X42</f>
        <v>192</v>
      </c>
      <c r="Y42" s="220">
        <f>September!Y42+October!Y42+November!Y42+December!Y42+January!Y42+February!Y42+March!Y42+April!Y42+May!Y42+June!Y42+July!Y42+August!Y42+Adj!Y42</f>
        <v>108</v>
      </c>
      <c r="Z42" s="220">
        <f>September!Z42+October!Z42+November!Z42+December!Z42+January!Z42+February!Z42+March!Z42+April!Z42+May!Z42+June!Z42+July!Z42+August!Z42+Adj!Z42</f>
        <v>271747</v>
      </c>
      <c r="AA42" s="220">
        <f>September!AA42+October!AA42+November!AA42+December!AA42+January!AA42+February!AA42+March!AA42+April!AA42+May!AA42+June!AA42+July!AA42+August!AA42+Adj!AA42</f>
        <v>199957</v>
      </c>
    </row>
    <row r="43" spans="1:30" x14ac:dyDescent="0.25">
      <c r="A43" s="117" t="s">
        <v>113</v>
      </c>
      <c r="B43" s="137" t="s">
        <v>339</v>
      </c>
      <c r="C43" s="220">
        <f>September!C43+October!C43+November!C43+December!C43+January!C43+February!C43+March!C43+April!C43+May!C43+June!C43+July!C43+August!C43+Adj!C43</f>
        <v>66186</v>
      </c>
      <c r="D43" s="220">
        <f>September!D43+October!D43+November!D43+December!D43+January!D43+February!D43+March!D43+April!D43+May!D43+June!D43+July!D43+August!D43+Adj!D43</f>
        <v>41691</v>
      </c>
      <c r="E43" s="220">
        <f>September!E43+October!E43+November!E43+December!E43+January!E43+February!E43+March!E43+April!E43+May!E43+June!E43+July!E43+August!E43+Adj!E43</f>
        <v>29205</v>
      </c>
      <c r="F43" s="220">
        <f>September!F43+October!F43+November!F43+December!F43+January!F43+February!F43+March!F43+April!F43+May!F43+June!F43+July!F43+August!F43+Adj!F43</f>
        <v>1056</v>
      </c>
      <c r="G43" s="220">
        <f>September!G43+October!G43+November!G43+December!G43+January!G43+February!G43+March!G43+April!G43+May!G43+June!G43+July!G43+August!G43+Adj!G43</f>
        <v>1217</v>
      </c>
      <c r="H43" s="220">
        <f>September!H43+October!H43+November!H43+December!H43+January!H43+February!H43+March!H43+April!H43+May!H43+June!H43+July!H43+August!H43+Adj!H43</f>
        <v>91</v>
      </c>
      <c r="I43" s="220">
        <f>September!I43+October!I43+November!I43+December!I43+January!I43+February!I43+March!I43+April!I43+May!I43+June!I43+July!I43+August!I43+Adj!I43</f>
        <v>56</v>
      </c>
      <c r="J43" s="220">
        <f>September!J43+October!J43+November!J43+December!J43+January!J43+February!J43+March!J43+April!J43+May!J43+June!J43+July!J43+August!J43+Adj!J43</f>
        <v>3181</v>
      </c>
      <c r="K43" s="220">
        <f>September!K43+October!K43+November!K43+December!K43+January!K43+February!K43+March!K43+April!K43+May!K43+June!K43+July!K43+August!K43+Adj!K43</f>
        <v>3</v>
      </c>
      <c r="L43" s="288">
        <f>September!L43+October!L43+November!L43+December!L43+January!L43+February!L43+March!L43+April!L43+May!L43+June!L43+July!L43+August!L43+Adj!L43</f>
        <v>142686</v>
      </c>
      <c r="M43" s="220">
        <f>September!M43+October!M43+November!M43+December!M43+January!M43+February!M43+March!M43+April!M43+May!M43+June!M43+July!M43+August!M43+Adj!M43</f>
        <v>65116</v>
      </c>
      <c r="N43" s="220">
        <f>September!N43+October!N43+November!N43+December!N43+January!N43+February!N43+March!N43+April!N43+May!N43+June!N43+July!N43+August!N43+Adj!N43</f>
        <v>128907</v>
      </c>
      <c r="O43" s="220">
        <f>September!O43+October!O43+November!O43+December!O43+January!O43+February!O43+March!O43+April!O43+May!O43+June!O43+July!O43+August!O43+Adj!O43</f>
        <v>69629</v>
      </c>
      <c r="P43" s="220">
        <f>September!P43+October!P43+November!P43+December!P43+January!P43+February!P43+March!P43+April!P43+May!P43+June!P43+July!P43+August!P43+Adj!P43</f>
        <v>1938</v>
      </c>
      <c r="Q43" s="220">
        <f>September!Q43+October!Q43+November!Q43+December!Q43+January!Q43+February!Q43+March!Q43+April!Q43+May!Q43+June!Q43+July!Q43+August!Q43+Adj!Q43</f>
        <v>2667</v>
      </c>
      <c r="R43" s="220">
        <f>September!R43+October!R43+November!R43+December!R43+January!R43+February!R43+March!R43+April!R43+May!R43+June!R43+July!R43+August!R43+Adj!R43</f>
        <v>970</v>
      </c>
      <c r="S43" s="220">
        <f>September!S43+October!S43+November!S43+December!S43+January!S43+February!S43+March!S43+April!S43+May!S43+June!S43+July!S43+August!S43+Adj!S43</f>
        <v>171</v>
      </c>
      <c r="T43" s="220">
        <f>September!T43+October!T43+November!T43+December!T43+January!T43+February!T43+March!T43+April!T43+May!T43+June!T43+July!T43+August!T43+Adj!T43</f>
        <v>1315</v>
      </c>
      <c r="U43" s="220">
        <f>September!U43+October!U43+November!U43+December!U43+January!U43+February!U43+March!U43+April!U43+May!U43+June!U43+July!U43+August!U43+Adj!U43</f>
        <v>0</v>
      </c>
      <c r="V43" s="288">
        <f>September!V43+October!V43+November!V43+December!V43+January!V43+February!V43+March!V43+April!V43+May!V43+June!V43+July!V43+August!V43+Adj!V43</f>
        <v>270713</v>
      </c>
      <c r="W43" s="220">
        <f>September!W43+October!W43+November!W43+December!W43+January!W43+February!W43+March!W43+April!W43+May!W43+June!W43+July!W43+August!W43+Adj!W43</f>
        <v>10471</v>
      </c>
      <c r="X43" s="220">
        <f>September!X43+October!X43+November!X43+December!X43+January!X43+February!X43+March!X43+April!X43+May!X43+June!X43+July!X43+August!X43+Adj!X43</f>
        <v>0</v>
      </c>
      <c r="Y43" s="220">
        <f>September!Y43+October!Y43+November!Y43+December!Y43+January!Y43+February!Y43+March!Y43+April!Y43+May!Y43+June!Y43+July!Y43+August!Y43+Adj!Y43</f>
        <v>0</v>
      </c>
      <c r="Z43" s="220">
        <f>September!Z43+October!Z43+November!Z43+December!Z43+January!Z43+February!Z43+March!Z43+April!Z43+May!Z43+June!Z43+July!Z43+August!Z43+Adj!Z43</f>
        <v>423870</v>
      </c>
      <c r="AA43" s="220">
        <f>September!AA43+October!AA43+November!AA43+December!AA43+January!AA43+February!AA43+March!AA43+April!AA43+May!AA43+June!AA43+July!AA43+August!AA43+Adj!AA43</f>
        <v>304897</v>
      </c>
    </row>
    <row r="44" spans="1:30" ht="26.4" x14ac:dyDescent="0.25">
      <c r="A44" s="117" t="s">
        <v>116</v>
      </c>
      <c r="B44" s="137" t="s">
        <v>316</v>
      </c>
      <c r="C44" s="220">
        <f>September!C44+October!C44+November!C44+December!C44+January!C44+February!C44+March!C44+April!C44+May!C44+June!C44+July!C44+August!C44+Adj!C44</f>
        <v>25887</v>
      </c>
      <c r="D44" s="220">
        <f>September!D44+October!D44+November!D44+December!D44+January!D44+February!D44+March!D44+April!D44+May!D44+June!D44+July!D44+August!D44+Adj!D44</f>
        <v>22605</v>
      </c>
      <c r="E44" s="220">
        <f>September!E44+October!E44+November!E44+December!E44+January!E44+February!E44+March!E44+April!E44+May!E44+June!E44+July!E44+August!E44+Adj!E44</f>
        <v>10186</v>
      </c>
      <c r="F44" s="220">
        <f>September!F44+October!F44+November!F44+December!F44+January!F44+February!F44+March!F44+April!F44+May!F44+June!F44+July!F44+August!F44+Adj!F44</f>
        <v>480</v>
      </c>
      <c r="G44" s="220">
        <f>September!G44+October!G44+November!G44+December!G44+January!G44+February!G44+March!G44+April!G44+May!G44+June!G44+July!G44+August!G44+Adj!G44</f>
        <v>2503</v>
      </c>
      <c r="H44" s="220">
        <f>September!H44+October!H44+November!H44+December!H44+January!H44+February!H44+March!H44+April!H44+May!H44+June!H44+July!H44+August!H44+Adj!H44</f>
        <v>14</v>
      </c>
      <c r="I44" s="220">
        <f>September!I44+October!I44+November!I44+December!I44+January!I44+February!I44+March!I44+April!I44+May!I44+June!I44+July!I44+August!I44+Adj!I44</f>
        <v>356</v>
      </c>
      <c r="J44" s="220">
        <f>September!J44+October!J44+November!J44+December!J44+January!J44+February!J44+March!J44+April!J44+May!J44+June!J44+July!J44+August!J44+Adj!J44</f>
        <v>1621</v>
      </c>
      <c r="K44" s="220">
        <f>September!K44+October!K44+November!K44+December!K44+January!K44+February!K44+March!K44+April!K44+May!K44+June!K44+July!K44+August!K44+Adj!K44</f>
        <v>1119</v>
      </c>
      <c r="L44" s="288">
        <f>September!L44+October!L44+November!L44+December!L44+January!L44+February!L44+March!L44+April!L44+May!L44+June!L44+July!L44+August!L44+Adj!L44</f>
        <v>64771</v>
      </c>
      <c r="M44" s="220">
        <f>September!M44+October!M44+November!M44+December!M44+January!M44+February!M44+March!M44+April!M44+May!M44+June!M44+July!M44+August!M44+Adj!M44</f>
        <v>1890</v>
      </c>
      <c r="N44" s="220">
        <f>September!N44+October!N44+November!N44+December!N44+January!N44+February!N44+March!N44+April!N44+May!N44+June!N44+July!N44+August!N44+Adj!N44</f>
        <v>1430</v>
      </c>
      <c r="O44" s="220">
        <f>September!O44+October!O44+November!O44+December!O44+January!O44+February!O44+March!O44+April!O44+May!O44+June!O44+July!O44+August!O44+Adj!O44</f>
        <v>1689</v>
      </c>
      <c r="P44" s="220">
        <f>September!P44+October!P44+November!P44+December!P44+January!P44+February!P44+March!P44+April!P44+May!P44+June!P44+July!P44+August!P44+Adj!P44</f>
        <v>14</v>
      </c>
      <c r="Q44" s="220">
        <f>September!Q44+October!Q44+November!Q44+December!Q44+January!Q44+February!Q44+March!Q44+April!Q44+May!Q44+June!Q44+July!Q44+August!Q44+Adj!Q44</f>
        <v>67</v>
      </c>
      <c r="R44" s="220">
        <f>September!R44+October!R44+November!R44+December!R44+January!R44+February!R44+March!R44+April!R44+May!R44+June!R44+July!R44+August!R44+Adj!R44</f>
        <v>436</v>
      </c>
      <c r="S44" s="220">
        <f>September!S44+October!S44+November!S44+December!S44+January!S44+February!S44+March!S44+April!S44+May!S44+June!S44+July!S44+August!S44+Adj!S44</f>
        <v>0</v>
      </c>
      <c r="T44" s="220">
        <f>September!T44+October!T44+November!T44+December!T44+January!T44+February!T44+March!T44+April!T44+May!T44+June!T44+July!T44+August!T44+Adj!T44</f>
        <v>12</v>
      </c>
      <c r="U44" s="220">
        <f>September!U44+October!U44+November!U44+December!U44+January!U44+February!U44+March!U44+April!U44+May!U44+June!U44+July!U44+August!U44+Adj!U44</f>
        <v>86</v>
      </c>
      <c r="V44" s="288">
        <f>September!V44+October!V44+November!V44+December!V44+January!V44+February!V44+March!V44+April!V44+May!V44+June!V44+July!V44+August!V44+Adj!V44</f>
        <v>5624</v>
      </c>
      <c r="W44" s="220">
        <f>September!W44+October!W44+November!W44+December!W44+January!W44+February!W44+March!W44+April!W44+May!W44+June!W44+July!W44+August!W44+Adj!W44</f>
        <v>10372</v>
      </c>
      <c r="X44" s="220">
        <f>September!X44+October!X44+November!X44+December!X44+January!X44+February!X44+March!X44+April!X44+May!X44+June!X44+July!X44+August!X44+Adj!X44</f>
        <v>0</v>
      </c>
      <c r="Y44" s="220">
        <f>September!Y44+October!Y44+November!Y44+December!Y44+January!Y44+February!Y44+March!Y44+April!Y44+May!Y44+June!Y44+July!Y44+August!Y44+Adj!Y44</f>
        <v>0</v>
      </c>
      <c r="Z44" s="220">
        <f>September!Z44+October!Z44+November!Z44+December!Z44+January!Z44+February!Z44+March!Z44+April!Z44+May!Z44+June!Z44+July!Z44+August!Z44+Adj!Z44</f>
        <v>80767</v>
      </c>
      <c r="AA44" s="220">
        <f>September!AA44+October!AA44+November!AA44+December!AA44+January!AA44+February!AA44+March!AA44+April!AA44+May!AA44+June!AA44+July!AA44+August!AA44+Adj!AA44</f>
        <v>53511</v>
      </c>
    </row>
    <row r="45" spans="1:30" x14ac:dyDescent="0.25">
      <c r="A45" s="117" t="s">
        <v>117</v>
      </c>
      <c r="B45" s="137" t="s">
        <v>317</v>
      </c>
      <c r="C45" s="220">
        <f>September!C45+October!C45+November!C45+December!C45+January!C45+February!C45+March!C45+April!C45+May!C45+June!C45+July!C45+August!C45+Adj!C45</f>
        <v>50846</v>
      </c>
      <c r="D45" s="220">
        <f>September!D45+October!D45+November!D45+December!D45+January!D45+February!D45+March!D45+April!D45+May!D45+June!D45+July!D45+August!D45+Adj!D45</f>
        <v>30346</v>
      </c>
      <c r="E45" s="220">
        <f>September!E45+October!E45+November!E45+December!E45+January!E45+February!E45+March!E45+April!E45+May!E45+June!E45+July!E45+August!E45+Adj!E45</f>
        <v>31749</v>
      </c>
      <c r="F45" s="220">
        <f>September!F45+October!F45+November!F45+December!F45+January!F45+February!F45+March!F45+April!F45+May!F45+June!F45+July!F45+August!F45+Adj!F45</f>
        <v>1378</v>
      </c>
      <c r="G45" s="220">
        <f>September!G45+October!G45+November!G45+December!G45+January!G45+February!G45+March!G45+April!G45+May!G45+June!G45+July!G45+August!G45+Adj!G45</f>
        <v>2357</v>
      </c>
      <c r="H45" s="220">
        <f>September!H45+October!H45+November!H45+December!H45+January!H45+February!H45+March!H45+April!H45+May!H45+June!H45+July!H45+August!H45+Adj!H45</f>
        <v>103</v>
      </c>
      <c r="I45" s="220">
        <f>September!I45+October!I45+November!I45+December!I45+January!I45+February!I45+March!I45+April!I45+May!I45+June!I45+July!I45+August!I45+Adj!I45</f>
        <v>4199</v>
      </c>
      <c r="J45" s="220">
        <f>September!J45+October!J45+November!J45+December!J45+January!J45+February!J45+March!J45+April!J45+May!J45+June!J45+July!J45+August!J45+Adj!J45</f>
        <v>3669</v>
      </c>
      <c r="K45" s="220">
        <f>September!K45+October!K45+November!K45+December!K45+January!K45+February!K45+March!K45+April!K45+May!K45+June!K45+July!K45+August!K45+Adj!K45</f>
        <v>0</v>
      </c>
      <c r="L45" s="288">
        <f>September!L45+October!L45+November!L45+December!L45+January!L45+February!L45+March!L45+April!L45+May!L45+June!L45+July!L45+August!L45+Adj!L45</f>
        <v>124647</v>
      </c>
      <c r="M45" s="220">
        <f>September!M45+October!M45+November!M45+December!M45+January!M45+February!M45+March!M45+April!M45+May!M45+June!M45+July!M45+August!M45+Adj!M45</f>
        <v>7428</v>
      </c>
      <c r="N45" s="220">
        <f>September!N45+October!N45+November!N45+December!N45+January!N45+February!N45+March!N45+April!N45+May!N45+June!N45+July!N45+August!N45+Adj!N45</f>
        <v>15881</v>
      </c>
      <c r="O45" s="220">
        <f>September!O45+October!O45+November!O45+December!O45+January!O45+February!O45+March!O45+April!O45+May!O45+June!O45+July!O45+August!O45+Adj!O45</f>
        <v>7726</v>
      </c>
      <c r="P45" s="220">
        <f>September!P45+October!P45+November!P45+December!P45+January!P45+February!P45+March!P45+April!P45+May!P45+June!P45+July!P45+August!P45+Adj!P45</f>
        <v>410</v>
      </c>
      <c r="Q45" s="220">
        <f>September!Q45+October!Q45+November!Q45+December!Q45+January!Q45+February!Q45+March!Q45+April!Q45+May!Q45+June!Q45+July!Q45+August!Q45+Adj!Q45</f>
        <v>598</v>
      </c>
      <c r="R45" s="220">
        <f>September!R45+October!R45+November!R45+December!R45+January!R45+February!R45+March!R45+April!R45+May!R45+June!R45+July!R45+August!R45+Adj!R45</f>
        <v>511</v>
      </c>
      <c r="S45" s="220">
        <f>September!S45+October!S45+November!S45+December!S45+January!S45+February!S45+March!S45+April!S45+May!S45+June!S45+July!S45+August!S45+Adj!S45</f>
        <v>1209</v>
      </c>
      <c r="T45" s="220">
        <f>September!T45+October!T45+November!T45+December!T45+January!T45+February!T45+March!T45+April!T45+May!T45+June!T45+July!T45+August!T45+Adj!T45</f>
        <v>474</v>
      </c>
      <c r="U45" s="220">
        <f>September!U45+October!U45+November!U45+December!U45+January!U45+February!U45+March!U45+April!U45+May!U45+June!U45+July!U45+August!U45+Adj!U45</f>
        <v>0</v>
      </c>
      <c r="V45" s="288">
        <f>September!V45+October!V45+November!V45+December!V45+January!V45+February!V45+March!V45+April!V45+May!V45+June!V45+July!V45+August!V45+Adj!V45</f>
        <v>34237</v>
      </c>
      <c r="W45" s="220">
        <f>September!W45+October!W45+November!W45+December!W45+January!W45+February!W45+March!W45+April!W45+May!W45+June!W45+July!W45+August!W45+Adj!W45</f>
        <v>11280</v>
      </c>
      <c r="X45" s="220">
        <f>September!X45+October!X45+November!X45+December!X45+January!X45+February!X45+March!X45+April!X45+May!X45+June!X45+July!X45+August!X45+Adj!X45</f>
        <v>0</v>
      </c>
      <c r="Y45" s="220">
        <f>September!Y45+October!Y45+November!Y45+December!Y45+January!Y45+February!Y45+March!Y45+April!Y45+May!Y45+June!Y45+July!Y45+August!Y45+Adj!Y45</f>
        <v>0</v>
      </c>
      <c r="Z45" s="220">
        <f>September!Z45+October!Z45+November!Z45+December!Z45+January!Z45+February!Z45+March!Z45+April!Z45+May!Z45+June!Z45+July!Z45+August!Z45+Adj!Z45</f>
        <v>170164</v>
      </c>
      <c r="AA45" s="220">
        <f>September!AA45+October!AA45+November!AA45+December!AA45+January!AA45+February!AA45+March!AA45+April!AA45+May!AA45+June!AA45+July!AA45+August!AA45+Adj!AA45</f>
        <v>106289</v>
      </c>
    </row>
    <row r="46" spans="1:30" x14ac:dyDescent="0.25">
      <c r="A46" s="117" t="s">
        <v>118</v>
      </c>
      <c r="B46" s="137" t="s">
        <v>340</v>
      </c>
      <c r="C46" s="220">
        <f>September!C46+October!C46+November!C46+December!C46+January!C46+February!C46+March!C46+April!C46+May!C46+June!C46+July!C46+August!C46+Adj!C46</f>
        <v>3552</v>
      </c>
      <c r="D46" s="220">
        <f>September!D46+October!D46+November!D46+December!D46+January!D46+February!D46+March!D46+April!D46+May!D46+June!D46+July!D46+August!D46+Adj!D46</f>
        <v>6119</v>
      </c>
      <c r="E46" s="220">
        <f>September!E46+October!E46+November!E46+December!E46+January!E46+February!E46+March!E46+April!E46+May!E46+June!E46+July!E46+August!E46+Adj!E46</f>
        <v>950</v>
      </c>
      <c r="F46" s="220">
        <f>September!F46+October!F46+November!F46+December!F46+January!F46+February!F46+March!F46+April!F46+May!F46+June!F46+July!F46+August!F46+Adj!F46</f>
        <v>303</v>
      </c>
      <c r="G46" s="220">
        <f>September!G46+October!G46+November!G46+December!G46+January!G46+February!G46+March!G46+April!G46+May!G46+June!G46+July!G46+August!G46+Adj!G46</f>
        <v>205</v>
      </c>
      <c r="H46" s="220">
        <f>September!H46+October!H46+November!H46+December!H46+January!H46+February!H46+March!H46+April!H46+May!H46+June!H46+July!H46+August!H46+Adj!H46</f>
        <v>10</v>
      </c>
      <c r="I46" s="220">
        <f>September!I46+October!I46+November!I46+December!I46+January!I46+February!I46+March!I46+April!I46+May!I46+June!I46+July!I46+August!I46+Adj!I46</f>
        <v>27</v>
      </c>
      <c r="J46" s="220">
        <f>September!J46+October!J46+November!J46+December!J46+January!J46+February!J46+March!J46+April!J46+May!J46+June!J46+July!J46+August!J46+Adj!J46</f>
        <v>2622</v>
      </c>
      <c r="K46" s="220">
        <f>September!K46+October!K46+November!K46+December!K46+January!K46+February!K46+March!K46+April!K46+May!K46+June!K46+July!K46+August!K46+Adj!K46</f>
        <v>0</v>
      </c>
      <c r="L46" s="288">
        <f>September!L46+October!L46+November!L46+December!L46+January!L46+February!L46+March!L46+April!L46+May!L46+June!L46+July!L46+August!L46+Adj!L46</f>
        <v>13788</v>
      </c>
      <c r="M46" s="220">
        <f>September!M46+October!M46+November!M46+December!M46+January!M46+February!M46+March!M46+April!M46+May!M46+June!M46+July!M46+August!M46+Adj!M46</f>
        <v>2062</v>
      </c>
      <c r="N46" s="220">
        <f>September!N46+October!N46+November!N46+December!N46+January!N46+February!N46+March!N46+April!N46+May!N46+June!N46+July!N46+August!N46+Adj!N46</f>
        <v>2018</v>
      </c>
      <c r="O46" s="220">
        <f>September!O46+October!O46+November!O46+December!O46+January!O46+February!O46+March!O46+April!O46+May!O46+June!O46+July!O46+August!O46+Adj!O46</f>
        <v>698</v>
      </c>
      <c r="P46" s="220">
        <f>September!P46+October!P46+November!P46+December!P46+January!P46+February!P46+March!P46+April!P46+May!P46+June!P46+July!P46+August!P46+Adj!P46</f>
        <v>116</v>
      </c>
      <c r="Q46" s="220">
        <f>September!Q46+October!Q46+November!Q46+December!Q46+January!Q46+February!Q46+March!Q46+April!Q46+May!Q46+June!Q46+July!Q46+August!Q46+Adj!Q46</f>
        <v>84</v>
      </c>
      <c r="R46" s="220">
        <f>September!R46+October!R46+November!R46+December!R46+January!R46+February!R46+March!R46+April!R46+May!R46+June!R46+July!R46+August!R46+Adj!R46</f>
        <v>456</v>
      </c>
      <c r="S46" s="220">
        <f>September!S46+October!S46+November!S46+December!S46+January!S46+February!S46+March!S46+April!S46+May!S46+June!S46+July!S46+August!S46+Adj!S46</f>
        <v>16</v>
      </c>
      <c r="T46" s="220">
        <f>September!T46+October!T46+November!T46+December!T46+January!T46+February!T46+March!T46+April!T46+May!T46+June!T46+July!T46+August!T46+Adj!T46</f>
        <v>74</v>
      </c>
      <c r="U46" s="220">
        <f>September!U46+October!U46+November!U46+December!U46+January!U46+February!U46+March!U46+April!U46+May!U46+June!U46+July!U46+August!U46+Adj!U46</f>
        <v>0</v>
      </c>
      <c r="V46" s="288">
        <f>September!V46+October!V46+November!V46+December!V46+January!V46+February!V46+March!V46+April!V46+May!V46+June!V46+July!V46+August!V46+Adj!V46</f>
        <v>5524</v>
      </c>
      <c r="W46" s="220">
        <f>September!W46+October!W46+November!W46+December!W46+January!W46+February!W46+March!W46+April!W46+May!W46+June!W46+July!W46+August!W46+Adj!W46</f>
        <v>1973</v>
      </c>
      <c r="X46" s="220">
        <f>September!X46+October!X46+November!X46+December!X46+January!X46+February!X46+March!X46+April!X46+May!X46+June!X46+July!X46+August!X46+Adj!X46</f>
        <v>999</v>
      </c>
      <c r="Y46" s="220">
        <f>September!Y46+October!Y46+November!Y46+December!Y46+January!Y46+February!Y46+March!Y46+April!Y46+May!Y46+June!Y46+July!Y46+August!Y46+Adj!Y46</f>
        <v>111</v>
      </c>
      <c r="Z46" s="343">
        <f>September!Z46+October!Z46+November!Z46+December!Z46+January!Z46+February!Z46+March!Z46+April!Z46+May!Z46+June!Z46+July!Z46+August!Z46+Adj!Z46</f>
        <v>22395</v>
      </c>
      <c r="AA46" s="220">
        <f>September!AA46+October!AA46+November!AA46+December!AA46+January!AA46+February!AA46+March!AA46+April!AA46+May!AA46+June!AA46+July!AA46+August!AA46+Adj!AA46</f>
        <v>14170</v>
      </c>
    </row>
    <row r="47" spans="1:30" x14ac:dyDescent="0.25">
      <c r="A47" s="117" t="s">
        <v>122</v>
      </c>
      <c r="B47" s="137" t="s">
        <v>341</v>
      </c>
      <c r="C47" s="220">
        <f>September!C47+October!C47+November!C47+December!C47+January!C47+February!C47+March!C47+April!C47+May!C47+June!C47+July!C47+August!C47+Adj!C47</f>
        <v>37736</v>
      </c>
      <c r="D47" s="220">
        <f>September!D47+October!D47+November!D47+December!D47+January!D47+February!D47+March!D47+April!D47+May!D47+June!D47+July!D47+August!D47+Adj!D47</f>
        <v>24514</v>
      </c>
      <c r="E47" s="220">
        <f>September!E47+October!E47+November!E47+December!E47+January!E47+February!E47+March!E47+April!E47+May!E47+June!E47+July!E47+August!E47+Adj!E47</f>
        <v>14753</v>
      </c>
      <c r="F47" s="220">
        <f>September!F47+October!F47+November!F47+December!F47+January!F47+February!F47+March!F47+April!F47+May!F47+June!F47+July!F47+August!F47+Adj!F47</f>
        <v>1309</v>
      </c>
      <c r="G47" s="220">
        <f>September!G47+October!G47+November!G47+December!G47+January!G47+February!G47+March!G47+April!G47+May!G47+June!G47+July!G47+August!G47+Adj!G47</f>
        <v>1968</v>
      </c>
      <c r="H47" s="220">
        <f>September!H47+October!H47+November!H47+December!H47+January!H47+February!H47+March!H47+April!H47+May!H47+June!H47+July!H47+August!H47+Adj!H47</f>
        <v>187</v>
      </c>
      <c r="I47" s="220">
        <f>September!I47+October!I47+November!I47+December!I47+January!I47+February!I47+March!I47+April!I47+May!I47+June!I47+July!I47+August!I47+Adj!I47</f>
        <v>1771</v>
      </c>
      <c r="J47" s="220">
        <f>September!J47+October!J47+November!J47+December!J47+January!J47+February!J47+March!J47+April!J47+May!J47+June!J47+July!J47+August!J47+Adj!J47</f>
        <v>8127</v>
      </c>
      <c r="K47" s="220">
        <f>September!K47+October!K47+November!K47+December!K47+January!K47+February!K47+March!K47+April!K47+May!K47+June!K47+July!K47+August!K47+Adj!K47</f>
        <v>16</v>
      </c>
      <c r="L47" s="288">
        <f>September!L47+October!L47+November!L47+December!L47+January!L47+February!L47+March!L47+April!L47+May!L47+June!L47+July!L47+August!L47+Adj!L47</f>
        <v>90381</v>
      </c>
      <c r="M47" s="220">
        <f>September!M47+October!M47+November!M47+December!M47+January!M47+February!M47+March!M47+April!M47+May!M47+June!M47+July!M47+August!M47+Adj!M47</f>
        <v>34985</v>
      </c>
      <c r="N47" s="220">
        <f>September!N47+October!N47+November!N47+December!N47+January!N47+February!N47+March!N47+April!N47+May!N47+June!N47+July!N47+August!N47+Adj!N47</f>
        <v>50043</v>
      </c>
      <c r="O47" s="220">
        <f>September!O47+October!O47+November!O47+December!O47+January!O47+February!O47+March!O47+April!O47+May!O47+June!O47+July!O47+August!O47+Adj!O47</f>
        <v>28239</v>
      </c>
      <c r="P47" s="220">
        <f>September!P47+October!P47+November!P47+December!P47+January!P47+February!P47+March!P47+April!P47+May!P47+June!P47+July!P47+August!P47+Adj!P47</f>
        <v>1670</v>
      </c>
      <c r="Q47" s="220">
        <f>September!Q47+October!Q47+November!Q47+December!Q47+January!Q47+February!Q47+March!Q47+April!Q47+May!Q47+June!Q47+July!Q47+August!Q47+Adj!Q47</f>
        <v>2046</v>
      </c>
      <c r="R47" s="220">
        <f>September!R47+October!R47+November!R47+December!R47+January!R47+February!R47+March!R47+April!R47+May!R47+June!R47+July!R47+August!R47+Adj!R47</f>
        <v>2523</v>
      </c>
      <c r="S47" s="220">
        <f>September!S47+October!S47+November!S47+December!S47+January!S47+February!S47+March!S47+April!S47+May!S47+June!S47+July!S47+August!S47+Adj!S47</f>
        <v>198</v>
      </c>
      <c r="T47" s="220">
        <f>September!T47+October!T47+November!T47+December!T47+January!T47+February!T47+March!T47+April!T47+May!T47+June!T47+July!T47+August!T47+Adj!T47</f>
        <v>903</v>
      </c>
      <c r="U47" s="220">
        <f>September!U47+October!U47+November!U47+December!U47+January!U47+February!U47+March!U47+April!U47+May!U47+June!U47+July!U47+August!U47+Adj!U47</f>
        <v>15</v>
      </c>
      <c r="V47" s="288">
        <f>September!V47+October!V47+November!V47+December!V47+January!V47+February!V47+March!V47+April!V47+May!V47+June!V47+July!V47+August!V47+Adj!V47</f>
        <v>120622</v>
      </c>
      <c r="W47" s="220">
        <f>September!W47+October!W47+November!W47+December!W47+January!W47+February!W47+March!W47+April!W47+May!W47+June!W47+July!W47+August!W47+Adj!W47</f>
        <v>7901</v>
      </c>
      <c r="X47" s="220">
        <f>September!X47+October!X47+November!X47+December!X47+January!X47+February!X47+March!X47+April!X47+May!X47+June!X47+July!X47+August!X47+Adj!X47</f>
        <v>0</v>
      </c>
      <c r="Y47" s="220">
        <f>September!Y47+October!Y47+November!Y47+December!Y47+January!Y47+February!Y47+March!Y47+April!Y47+May!Y47+June!Y47+July!Y47+August!Y47+Adj!Y47</f>
        <v>0</v>
      </c>
      <c r="Z47" s="220">
        <f>September!Z47+October!Z47+November!Z47+December!Z47+January!Z47+February!Z47+March!Z47+April!Z47+May!Z47+June!Z47+July!Z47+August!Z47+Adj!Z47</f>
        <v>218904</v>
      </c>
      <c r="AA47" s="220">
        <f>September!AA47+October!AA47+November!AA47+December!AA47+January!AA47+February!AA47+March!AA47+April!AA47+May!AA47+June!AA47+July!AA47+August!AA47+Adj!AA47</f>
        <v>150288</v>
      </c>
    </row>
    <row r="48" spans="1:30" x14ac:dyDescent="0.25">
      <c r="A48" s="117" t="s">
        <v>140</v>
      </c>
      <c r="B48" s="137" t="s">
        <v>265</v>
      </c>
      <c r="C48" s="220">
        <f>September!C48+October!C48+November!C48+December!C48+January!C48+February!C48+March!C48+April!C48+May!C48+June!C48+July!C48+August!C48+Adj!C48</f>
        <v>0</v>
      </c>
      <c r="D48" s="220">
        <f>September!D48+October!D48+November!D48+December!D48+January!D48+February!D48+March!D48+April!D48+May!D48+June!D48+July!D48+August!D48+Adj!D48</f>
        <v>0</v>
      </c>
      <c r="E48" s="220">
        <f>September!E48+October!E48+November!E48+December!E48+January!E48+February!E48+March!E48+April!E48+May!E48+June!E48+July!E48+August!E48+Adj!E48</f>
        <v>0</v>
      </c>
      <c r="F48" s="220">
        <f>September!F48+October!F48+November!F48+December!F48+January!F48+February!F48+March!F48+April!F48+May!F48+June!F48+July!F48+August!F48+Adj!F48</f>
        <v>0</v>
      </c>
      <c r="G48" s="220">
        <f>September!G48+October!G48+November!G48+December!G48+January!G48+February!G48+March!G48+April!G48+May!G48+June!G48+July!G48+August!G48+Adj!G48</f>
        <v>0</v>
      </c>
      <c r="H48" s="220">
        <f>September!H48+October!H48+November!H48+December!H48+January!H48+February!H48+March!H48+April!H48+May!H48+June!H48+July!H48+August!H48+Adj!H48</f>
        <v>0</v>
      </c>
      <c r="I48" s="220">
        <f>September!I48+October!I48+November!I48+December!I48+January!I48+February!I48+March!I48+April!I48+May!I48+June!I48+July!I48+August!I48+Adj!I48</f>
        <v>0</v>
      </c>
      <c r="J48" s="220">
        <f>September!J48+October!J48+November!J48+December!J48+January!J48+February!J48+March!J48+April!J48+May!J48+June!J48+July!J48+August!J48+Adj!J48</f>
        <v>0</v>
      </c>
      <c r="K48" s="220">
        <f>September!K48+October!K48+November!K48+December!K48+January!K48+February!K48+March!K48+April!K48+May!K48+June!K48+July!K48+August!K48+Adj!K48</f>
        <v>0</v>
      </c>
      <c r="L48" s="288">
        <f>September!L48+October!L48+November!L48+December!L48+January!L48+February!L48+March!L48+April!L48+May!L48+June!L48+July!L48+August!L48+Adj!L48</f>
        <v>0</v>
      </c>
      <c r="M48" s="220">
        <f>September!M48+October!M48+November!M48+December!M48+January!M48+February!M48+March!M48+April!M48+May!M48+June!M48+July!M48+August!M48+Adj!M48</f>
        <v>0</v>
      </c>
      <c r="N48" s="220">
        <f>September!N48+October!N48+November!N48+December!N48+January!N48+February!N48+March!N48+April!N48+May!N48+June!N48+July!N48+August!N48+Adj!N48</f>
        <v>0</v>
      </c>
      <c r="O48" s="220">
        <f>September!O48+October!O48+November!O48+December!O48+January!O48+February!O48+March!O48+April!O48+May!O48+June!O48+July!O48+August!O48+Adj!O48</f>
        <v>0</v>
      </c>
      <c r="P48" s="220">
        <f>September!P48+October!P48+November!P48+December!P48+January!P48+February!P48+March!P48+April!P48+May!P48+June!P48+July!P48+August!P48+Adj!P48</f>
        <v>0</v>
      </c>
      <c r="Q48" s="220">
        <f>September!Q48+October!Q48+November!Q48+December!Q48+January!Q48+February!Q48+March!Q48+April!Q48+May!Q48+June!Q48+July!Q48+August!Q48+Adj!Q48</f>
        <v>0</v>
      </c>
      <c r="R48" s="220">
        <f>September!R48+October!R48+November!R48+December!R48+January!R48+February!R48+March!R48+April!R48+May!R48+June!R48+July!R48+August!R48+Adj!R48</f>
        <v>0</v>
      </c>
      <c r="S48" s="220">
        <f>September!S48+October!S48+November!S48+December!S48+January!S48+February!S48+March!S48+April!S48+May!S48+June!S48+July!S48+August!S48+Adj!S48</f>
        <v>0</v>
      </c>
      <c r="T48" s="220">
        <f>September!T48+October!T48+November!T48+December!T48+January!T48+February!T48+March!T48+April!T48+May!T48+June!T48+July!T48+August!T48+Adj!T48</f>
        <v>0</v>
      </c>
      <c r="U48" s="220">
        <f>September!U48+October!U48+November!U48+December!U48+January!U48+February!U48+March!U48+April!U48+May!U48+June!U48+July!U48+August!U48+Adj!U48</f>
        <v>0</v>
      </c>
      <c r="V48" s="288">
        <f>September!V48+October!V48+November!V48+December!V48+January!V48+February!V48+March!V48+April!V48+May!V48+June!V48+July!V48+August!V48+Adj!V48</f>
        <v>0</v>
      </c>
      <c r="W48" s="220">
        <f>September!W48+October!W48+November!W48+December!W48+January!W48+February!W48+March!W48+April!W48+May!W48+June!W48+July!W48+August!W48+Adj!W48</f>
        <v>0</v>
      </c>
      <c r="X48" s="220">
        <f>September!X48+October!X48+November!X48+December!X48+January!X48+February!X48+March!X48+April!X48+May!X48+June!X48+July!X48+August!X48+Adj!X48</f>
        <v>27910</v>
      </c>
      <c r="Y48" s="220">
        <f>September!Y48+October!Y48+November!Y48+December!Y48+January!Y48+February!Y48+March!Y48+April!Y48+May!Y48+June!Y48+July!Y48+August!Y48+Adj!Y48</f>
        <v>7664</v>
      </c>
      <c r="Z48" s="220">
        <f>September!Z48+October!Z48+November!Z48+December!Z48+January!Z48+February!Z48+March!Z48+April!Z48+May!Z48+June!Z48+July!Z48+August!Z48+Adj!Z48</f>
        <v>35574</v>
      </c>
      <c r="AA48" s="220">
        <f>September!AA48+October!AA48+November!AA48+December!AA48+January!AA48+February!AA48+March!AA48+April!AA48+May!AA48+June!AA48+July!AA48+August!AA48+Adj!AA48</f>
        <v>0</v>
      </c>
    </row>
    <row r="49" spans="1:30" x14ac:dyDescent="0.25">
      <c r="A49" s="117" t="s">
        <v>141</v>
      </c>
      <c r="B49" s="137" t="s">
        <v>342</v>
      </c>
      <c r="C49" s="220">
        <f>September!C49+October!C49+November!C49+December!C49+January!C49+February!C49+March!C49+April!C49+May!C49+June!C49+July!C49+August!C49+Adj!C49</f>
        <v>28012</v>
      </c>
      <c r="D49" s="220">
        <f>September!D49+October!D49+November!D49+December!D49+January!D49+February!D49+March!D49+April!D49+May!D49+June!D49+July!D49+August!D49+Adj!D49</f>
        <v>14952</v>
      </c>
      <c r="E49" s="220">
        <f>September!E49+October!E49+November!E49+December!E49+January!E49+February!E49+March!E49+April!E49+May!E49+June!E49+July!E49+August!E49+Adj!E49</f>
        <v>7543</v>
      </c>
      <c r="F49" s="220">
        <f>September!F49+October!F49+November!F49+December!F49+January!F49+February!F49+March!F49+April!F49+May!F49+June!F49+July!F49+August!F49+Adj!F49</f>
        <v>2289</v>
      </c>
      <c r="G49" s="220">
        <f>September!G49+October!G49+November!G49+December!G49+January!G49+February!G49+March!G49+April!G49+May!G49+June!G49+July!G49+August!G49+Adj!G49</f>
        <v>885</v>
      </c>
      <c r="H49" s="220">
        <f>September!H49+October!H49+November!H49+December!H49+January!H49+February!H49+March!H49+April!H49+May!H49+June!H49+July!H49+August!H49+Adj!H49</f>
        <v>31</v>
      </c>
      <c r="I49" s="220">
        <f>September!I49+October!I49+November!I49+December!I49+January!I49+February!I49+March!I49+April!I49+May!I49+June!I49+July!I49+August!I49+Adj!I49</f>
        <v>214</v>
      </c>
      <c r="J49" s="220">
        <f>September!J49+October!J49+November!J49+December!J49+January!J49+February!J49+March!J49+April!J49+May!J49+June!J49+July!J49+August!J49+Adj!J49</f>
        <v>1975</v>
      </c>
      <c r="K49" s="220">
        <f>September!K49+October!K49+November!K49+December!K49+January!K49+February!K49+March!K49+April!K49+May!K49+June!K49+July!K49+August!K49+Adj!K49</f>
        <v>8</v>
      </c>
      <c r="L49" s="288">
        <f>September!L49+October!L49+November!L49+December!L49+January!L49+February!L49+March!L49+April!L49+May!L49+June!L49+July!L49+August!L49+Adj!L49</f>
        <v>55909</v>
      </c>
      <c r="M49" s="220">
        <f>September!M49+October!M49+November!M49+December!M49+January!M49+February!M49+March!M49+April!M49+May!M49+June!M49+July!M49+August!M49+Adj!M49</f>
        <v>6595</v>
      </c>
      <c r="N49" s="220">
        <f>September!N49+October!N49+November!N49+December!N49+January!N49+February!N49+March!N49+April!N49+May!N49+June!N49+July!N49+August!N49+Adj!N49</f>
        <v>11336</v>
      </c>
      <c r="O49" s="220">
        <f>September!O49+October!O49+November!O49+December!O49+January!O49+February!O49+March!O49+April!O49+May!O49+June!O49+July!O49+August!O49+Adj!O49</f>
        <v>4284</v>
      </c>
      <c r="P49" s="220">
        <f>September!P49+October!P49+November!P49+December!P49+January!P49+February!P49+March!P49+April!P49+May!P49+June!P49+July!P49+August!P49+Adj!P49</f>
        <v>321</v>
      </c>
      <c r="Q49" s="220">
        <f>September!Q49+October!Q49+November!Q49+December!Q49+January!Q49+February!Q49+March!Q49+April!Q49+May!Q49+June!Q49+July!Q49+August!Q49+Adj!Q49</f>
        <v>341</v>
      </c>
      <c r="R49" s="220">
        <f>September!R49+October!R49+November!R49+December!R49+January!R49+February!R49+March!R49+April!R49+May!R49+June!R49+July!R49+August!R49+Adj!R49</f>
        <v>711</v>
      </c>
      <c r="S49" s="220">
        <f>September!S49+October!S49+November!S49+December!S49+January!S49+February!S49+March!S49+April!S49+May!S49+June!S49+July!S49+August!S49+Adj!S49</f>
        <v>0</v>
      </c>
      <c r="T49" s="220">
        <f>September!T49+October!T49+November!T49+December!T49+January!T49+February!T49+March!T49+April!T49+May!T49+June!T49+July!T49+August!T49+Adj!T49</f>
        <v>405</v>
      </c>
      <c r="U49" s="220">
        <f>September!U49+October!U49+November!U49+December!U49+January!U49+February!U49+March!U49+April!U49+May!U49+June!U49+July!U49+August!U49+Adj!U49</f>
        <v>0</v>
      </c>
      <c r="V49" s="288">
        <f>September!V49+October!V49+November!V49+December!V49+January!V49+February!V49+March!V49+April!V49+May!V49+June!V49+July!V49+August!V49+Adj!V49</f>
        <v>23993</v>
      </c>
      <c r="W49" s="220">
        <f>September!W49+October!W49+November!W49+December!W49+January!W49+February!W49+March!W49+April!W49+May!W49+June!W49+July!W49+August!W49+Adj!W49</f>
        <v>11960</v>
      </c>
      <c r="X49" s="220">
        <f>September!X49+October!X49+November!X49+December!X49+January!X49+February!X49+March!X49+April!X49+May!X49+June!X49+July!X49+August!X49+Adj!X49</f>
        <v>0</v>
      </c>
      <c r="Y49" s="220">
        <f>September!Y49+October!Y49+November!Y49+December!Y49+January!Y49+February!Y49+March!Y49+April!Y49+May!Y49+June!Y49+July!Y49+August!Y49+Adj!Y49</f>
        <v>0</v>
      </c>
      <c r="Z49" s="220">
        <f>September!Z49+October!Z49+November!Z49+December!Z49+January!Z49+February!Z49+March!Z49+April!Z49+May!Z49+June!Z49+July!Z49+August!Z49+Adj!Z49</f>
        <v>91862</v>
      </c>
      <c r="AA49" s="220">
        <f>September!AA49+October!AA49+November!AA49+December!AA49+January!AA49+February!AA49+March!AA49+April!AA49+May!AA49+June!AA49+July!AA49+August!AA49+Adj!AA49</f>
        <v>63513</v>
      </c>
    </row>
    <row r="50" spans="1:30" x14ac:dyDescent="0.25">
      <c r="A50" s="117" t="s">
        <v>142</v>
      </c>
      <c r="B50" s="137" t="s">
        <v>343</v>
      </c>
      <c r="C50" s="220">
        <f>September!C50+October!C50+November!C50+December!C50+January!C50+February!C50+March!C50+April!C50+May!C50+June!C50+July!C50+August!C50+Adj!C50</f>
        <v>0</v>
      </c>
      <c r="D50" s="220">
        <f>September!D50+October!D50+November!D50+December!D50+January!D50+February!D50+March!D50+April!D50+May!D50+June!D50+July!D50+August!D50+Adj!D50</f>
        <v>0</v>
      </c>
      <c r="E50" s="220">
        <f>September!E50+October!E50+November!E50+December!E50+January!E50+February!E50+March!E50+April!E50+May!E50+June!E50+July!E50+August!E50+Adj!E50</f>
        <v>15924</v>
      </c>
      <c r="F50" s="220">
        <f>September!F50+October!F50+November!F50+December!F50+January!F50+February!F50+March!F50+April!F50+May!F50+June!F50+July!F50+August!F50+Adj!F50</f>
        <v>0</v>
      </c>
      <c r="G50" s="220">
        <f>September!G50+October!G50+November!G50+December!G50+January!G50+February!G50+March!G50+April!G50+May!G50+June!G50+July!G50+August!G50+Adj!G50</f>
        <v>0</v>
      </c>
      <c r="H50" s="220">
        <f>September!H50+October!H50+November!H50+December!H50+January!H50+February!H50+March!H50+April!H50+May!H50+June!H50+July!H50+August!H50+Adj!H50</f>
        <v>760</v>
      </c>
      <c r="I50" s="220">
        <f>September!I50+October!I50+November!I50+December!I50+January!I50+February!I50+March!I50+April!I50+May!I50+June!I50+July!I50+August!I50+Adj!I50</f>
        <v>0</v>
      </c>
      <c r="J50" s="220">
        <f>September!J50+October!J50+November!J50+December!J50+January!J50+February!J50+March!J50+April!J50+May!J50+June!J50+July!J50+August!J50+Adj!J50</f>
        <v>107151</v>
      </c>
      <c r="K50" s="220">
        <f>September!K50+October!K50+November!K50+December!K50+January!K50+February!K50+March!K50+April!K50+May!K50+June!K50+July!K50+August!K50+Adj!K50</f>
        <v>0</v>
      </c>
      <c r="L50" s="288">
        <f>September!L50+October!L50+November!L50+December!L50+January!L50+February!L50+March!L50+April!L50+May!L50+June!L50+July!L50+August!L50+Adj!L50</f>
        <v>123835</v>
      </c>
      <c r="M50" s="220">
        <f>September!M50+October!M50+November!M50+December!M50+January!M50+February!M50+March!M50+April!M50+May!M50+June!M50+July!M50+August!M50+Adj!M50</f>
        <v>0</v>
      </c>
      <c r="N50" s="220">
        <f>September!N50+October!N50+November!N50+December!N50+January!N50+February!N50+March!N50+April!N50+May!N50+June!N50+July!N50+August!N50+Adj!N50</f>
        <v>0</v>
      </c>
      <c r="O50" s="220">
        <f>September!O50+October!O50+November!O50+December!O50+January!O50+February!O50+March!O50+April!O50+May!O50+June!O50+July!O50+August!O50+Adj!O50</f>
        <v>0</v>
      </c>
      <c r="P50" s="220">
        <f>September!P50+October!P50+November!P50+December!P50+January!P50+February!P50+March!P50+April!P50+May!P50+June!P50+July!P50+August!P50+Adj!P50</f>
        <v>0</v>
      </c>
      <c r="Q50" s="220">
        <f>September!Q50+October!Q50+November!Q50+December!Q50+January!Q50+February!Q50+March!Q50+April!Q50+May!Q50+June!Q50+July!Q50+August!Q50+Adj!Q50</f>
        <v>0</v>
      </c>
      <c r="R50" s="220">
        <f>September!R50+October!R50+November!R50+December!R50+January!R50+February!R50+March!R50+April!R50+May!R50+June!R50+July!R50+August!R50+Adj!R50</f>
        <v>0</v>
      </c>
      <c r="S50" s="220">
        <f>September!S50+October!S50+November!S50+December!S50+January!S50+February!S50+March!S50+April!S50+May!S50+June!S50+July!S50+August!S50+Adj!S50</f>
        <v>0</v>
      </c>
      <c r="T50" s="220">
        <f>September!T50+October!T50+November!T50+December!T50+January!T50+February!T50+March!T50+April!T50+May!T50+June!T50+July!T50+August!T50+Adj!T50</f>
        <v>2</v>
      </c>
      <c r="U50" s="220">
        <f>September!U50+October!U50+November!U50+December!U50+January!U50+February!U50+March!U50+April!U50+May!U50+June!U50+July!U50+August!U50+Adj!U50</f>
        <v>0</v>
      </c>
      <c r="V50" s="288">
        <f>September!V50+October!V50+November!V50+December!V50+January!V50+February!V50+March!V50+April!V50+May!V50+June!V50+July!V50+August!V50+Adj!V50</f>
        <v>2</v>
      </c>
      <c r="W50" s="220">
        <f>September!W50+October!W50+November!W50+December!W50+January!W50+February!W50+March!W50+April!W50+May!W50+June!W50+July!W50+August!W50+Adj!W50</f>
        <v>10107</v>
      </c>
      <c r="X50" s="220">
        <f>September!X50+October!X50+November!X50+December!X50+January!X50+February!X50+March!X50+April!X50+May!X50+June!X50+July!X50+August!X50+Adj!X50</f>
        <v>0</v>
      </c>
      <c r="Y50" s="220">
        <f>September!Y50+October!Y50+November!Y50+December!Y50+January!Y50+February!Y50+March!Y50+April!Y50+May!Y50+June!Y50+July!Y50+August!Y50+Adj!Y50</f>
        <v>0</v>
      </c>
      <c r="Z50" s="220">
        <f>September!Z50+October!Z50+November!Z50+December!Z50+January!Z50+February!Z50+March!Z50+April!Z50+May!Z50+June!Z50+July!Z50+August!Z50+Adj!Z50</f>
        <v>133944</v>
      </c>
      <c r="AA50" s="220">
        <f>September!AA50+October!AA50+November!AA50+December!AA50+January!AA50+February!AA50+March!AA50+April!AA50+May!AA50+June!AA50+July!AA50+August!AA50+Adj!AA50</f>
        <v>0</v>
      </c>
    </row>
    <row r="51" spans="1:30" x14ac:dyDescent="0.25">
      <c r="A51" s="117" t="s">
        <v>147</v>
      </c>
      <c r="B51" s="137" t="s">
        <v>322</v>
      </c>
      <c r="C51" s="220">
        <f>September!C51+October!C51+November!C51+December!C51+January!C51+February!C51+March!C51+April!C51+May!C51+June!C51+July!C51+August!C51+Adj!C51</f>
        <v>111745</v>
      </c>
      <c r="D51" s="220">
        <f>September!D51+October!D51+November!D51+December!D51+January!D51+February!D51+March!D51+April!D51+May!D51+June!D51+July!D51+August!D51+Adj!D51</f>
        <v>37494</v>
      </c>
      <c r="E51" s="220">
        <f>September!E51+October!E51+November!E51+December!E51+January!E51+February!E51+March!E51+April!E51+May!E51+June!E51+July!E51+August!E51+Adj!E51</f>
        <v>26046</v>
      </c>
      <c r="F51" s="220">
        <f>September!F51+October!F51+November!F51+December!F51+January!F51+February!F51+March!F51+April!F51+May!F51+June!F51+July!F51+August!F51+Adj!F51</f>
        <v>1176</v>
      </c>
      <c r="G51" s="220">
        <f>September!G51+October!G51+November!G51+December!G51+January!G51+February!G51+March!G51+April!G51+May!G51+June!G51+July!G51+August!G51+Adj!G51</f>
        <v>1405</v>
      </c>
      <c r="H51" s="220">
        <f>September!H51+October!H51+November!H51+December!H51+January!H51+February!H51+March!H51+April!H51+May!H51+June!H51+July!H51+August!H51+Adj!H51</f>
        <v>71</v>
      </c>
      <c r="I51" s="220">
        <f>September!I51+October!I51+November!I51+December!I51+January!I51+February!I51+March!I51+April!I51+May!I51+June!I51+July!I51+August!I51+Adj!I51</f>
        <v>2776</v>
      </c>
      <c r="J51" s="220">
        <f>September!J51+October!J51+November!J51+December!J51+January!J51+February!J51+March!J51+April!J51+May!J51+June!J51+July!J51+August!J51+Adj!J51</f>
        <v>17221</v>
      </c>
      <c r="K51" s="220">
        <f>September!K51+October!K51+November!K51+December!K51+January!K51+February!K51+March!K51+April!K51+May!K51+June!K51+July!K51+August!K51+Adj!K51</f>
        <v>3</v>
      </c>
      <c r="L51" s="288">
        <f>September!L51+October!L51+November!L51+December!L51+January!L51+February!L51+March!L51+April!L51+May!L51+June!L51+July!L51+August!L51+Adj!L51</f>
        <v>197937</v>
      </c>
      <c r="M51" s="220">
        <f>September!M51+October!M51+November!M51+December!M51+January!M51+February!M51+March!M51+April!M51+May!M51+June!M51+July!M51+August!M51+Adj!M51</f>
        <v>16516</v>
      </c>
      <c r="N51" s="220">
        <f>September!N51+October!N51+November!N51+December!N51+January!N51+February!N51+March!N51+April!N51+May!N51+June!N51+July!N51+August!N51+Adj!N51</f>
        <v>24193</v>
      </c>
      <c r="O51" s="220">
        <f>September!O51+October!O51+November!O51+December!O51+January!O51+February!O51+March!O51+April!O51+May!O51+June!O51+July!O51+August!O51+Adj!O51</f>
        <v>10745</v>
      </c>
      <c r="P51" s="220">
        <f>September!P51+October!P51+November!P51+December!P51+January!P51+February!P51+March!P51+April!P51+May!P51+June!P51+July!P51+August!P51+Adj!P51</f>
        <v>526</v>
      </c>
      <c r="Q51" s="220">
        <f>September!Q51+October!Q51+November!Q51+December!Q51+January!Q51+February!Q51+March!Q51+April!Q51+May!Q51+June!Q51+July!Q51+August!Q51+Adj!Q51</f>
        <v>946</v>
      </c>
      <c r="R51" s="220">
        <f>September!R51+October!R51+November!R51+December!R51+January!R51+February!R51+March!R51+April!R51+May!R51+June!R51+July!R51+August!R51+Adj!R51</f>
        <v>1039</v>
      </c>
      <c r="S51" s="220">
        <f>September!S51+October!S51+November!S51+December!S51+January!S51+February!S51+March!S51+April!S51+May!S51+June!S51+July!S51+August!S51+Adj!S51</f>
        <v>11</v>
      </c>
      <c r="T51" s="220">
        <f>September!T51+October!T51+November!T51+December!T51+January!T51+February!T51+March!T51+April!T51+May!T51+June!T51+July!T51+August!T51+Adj!T51</f>
        <v>802</v>
      </c>
      <c r="U51" s="220">
        <f>September!U51+October!U51+November!U51+December!U51+January!U51+February!U51+March!U51+April!U51+May!U51+June!U51+July!U51+August!U51+Adj!U51</f>
        <v>0</v>
      </c>
      <c r="V51" s="288">
        <f>September!V51+October!V51+November!V51+December!V51+January!V51+February!V51+March!V51+April!V51+May!V51+June!V51+July!V51+August!V51+Adj!V51</f>
        <v>54778</v>
      </c>
      <c r="W51" s="220">
        <f>September!W51+October!W51+November!W51+December!W51+January!W51+February!W51+March!W51+April!W51+May!W51+June!W51+July!W51+August!W51+Adj!W51</f>
        <v>12356</v>
      </c>
      <c r="X51" s="220">
        <f>September!X51+October!X51+November!X51+December!X51+January!X51+February!X51+March!X51+April!X51+May!X51+June!X51+July!X51+August!X51+Adj!X51</f>
        <v>0</v>
      </c>
      <c r="Y51" s="220">
        <f>September!Y51+October!Y51+November!Y51+December!Y51+January!Y51+February!Y51+March!Y51+April!Y51+May!Y51+June!Y51+July!Y51+August!Y51+Adj!Y51</f>
        <v>0</v>
      </c>
      <c r="Z51" s="220">
        <f>September!Z51+October!Z51+November!Z51+December!Z51+January!Z51+February!Z51+March!Z51+April!Z51+May!Z51+June!Z51+July!Z51+August!Z51+Adj!Z51</f>
        <v>265071</v>
      </c>
      <c r="AA51" s="220">
        <f>September!AA51+October!AA51+November!AA51+December!AA51+January!AA51+February!AA51+March!AA51+April!AA51+May!AA51+June!AA51+July!AA51+August!AA51+Adj!AA51</f>
        <v>191653</v>
      </c>
    </row>
    <row r="52" spans="1:30" x14ac:dyDescent="0.25">
      <c r="A52" s="121" t="s">
        <v>365</v>
      </c>
      <c r="B52" s="228" t="s">
        <v>366</v>
      </c>
      <c r="C52" s="220">
        <f>September!C52+October!C52+November!C52+December!C52+January!C52+February!C52+March!C52+April!C52+May!C52+June!C52+July!C52+August!C52+Adj!C52</f>
        <v>0</v>
      </c>
      <c r="D52" s="220">
        <f>September!D52+October!D52+November!D52+December!D52+January!D52+February!D52+March!D52+April!D52+May!D52+June!D52+July!D52+August!D52+Adj!D52</f>
        <v>0</v>
      </c>
      <c r="E52" s="220">
        <f>September!E52+October!E52+November!E52+December!E52+January!E52+February!E52+March!E52+April!E52+May!E52+June!E52+July!E52+August!E52+Adj!E52</f>
        <v>0</v>
      </c>
      <c r="F52" s="220">
        <f>September!F52+October!F52+November!F52+December!F52+January!F52+February!F52+March!F52+April!F52+May!F52+June!F52+July!F52+August!F52+Adj!F52</f>
        <v>0</v>
      </c>
      <c r="G52" s="220">
        <f>September!G52+October!G52+November!G52+December!G52+January!G52+February!G52+March!G52+April!G52+May!G52+June!G52+July!G52+August!G52+Adj!G52</f>
        <v>0</v>
      </c>
      <c r="H52" s="220">
        <f>September!H52+October!H52+November!H52+December!H52+January!H52+February!H52+March!H52+April!H52+May!H52+June!H52+July!H52+August!H52+Adj!H52</f>
        <v>0</v>
      </c>
      <c r="I52" s="220">
        <f>September!I52+October!I52+November!I52+December!I52+January!I52+February!I52+March!I52+April!I52+May!I52+June!I52+July!I52+August!I52+Adj!I52</f>
        <v>0</v>
      </c>
      <c r="J52" s="220">
        <f>September!J52+October!J52+November!J52+December!J52+January!J52+February!J52+March!J52+April!J52+May!J52+June!J52+July!J52+August!J52+Adj!J52</f>
        <v>28974</v>
      </c>
      <c r="K52" s="220">
        <f>September!K52+October!K52+November!K52+December!K52+January!K52+February!K52+March!K52+April!K52+May!K52+June!K52+July!K52+August!K52+Adj!K52</f>
        <v>0</v>
      </c>
      <c r="L52" s="288">
        <f>September!L52+October!L52+November!L52+December!L52+January!L52+February!L52+March!L52+April!L52+May!L52+June!L52+July!L52+August!L52+Adj!L52</f>
        <v>28974</v>
      </c>
      <c r="M52" s="220">
        <f>September!M52+October!M52+November!M52+December!M52+January!M52+February!M52+March!M52+April!M52+May!M52+June!M52+July!M52+August!M52+Adj!M52</f>
        <v>0</v>
      </c>
      <c r="N52" s="220">
        <f>September!N52+October!N52+November!N52+December!N52+January!N52+February!N52+March!N52+April!N52+May!N52+June!N52+July!N52+August!N52+Adj!N52</f>
        <v>0</v>
      </c>
      <c r="O52" s="220">
        <f>September!O52+October!O52+November!O52+December!O52+January!O52+February!O52+March!O52+April!O52+May!O52+June!O52+July!O52+August!O52+Adj!O52</f>
        <v>0</v>
      </c>
      <c r="P52" s="220">
        <f>September!P52+October!P52+November!P52+December!P52+January!P52+February!P52+March!P52+April!P52+May!P52+June!P52+July!P52+August!P52+Adj!P52</f>
        <v>0</v>
      </c>
      <c r="Q52" s="220">
        <f>September!Q52+October!Q52+November!Q52+December!Q52+January!Q52+February!Q52+March!Q52+April!Q52+May!Q52+June!Q52+July!Q52+August!Q52+Adj!Q52</f>
        <v>0</v>
      </c>
      <c r="R52" s="220">
        <f>September!R52+October!R52+November!R52+December!R52+January!R52+February!R52+March!R52+April!R52+May!R52+June!R52+July!R52+August!R52+Adj!R52</f>
        <v>0</v>
      </c>
      <c r="S52" s="220">
        <f>September!S52+October!S52+November!S52+December!S52+January!S52+February!S52+March!S52+April!S52+May!S52+June!S52+July!S52+August!S52+Adj!S52</f>
        <v>0</v>
      </c>
      <c r="T52" s="220">
        <f>September!T52+October!T52+November!T52+December!T52+January!T52+February!T52+March!T52+April!T52+May!T52+June!T52+July!T52+August!T52+Adj!T52</f>
        <v>16048</v>
      </c>
      <c r="U52" s="220">
        <f>September!U52+October!U52+November!U52+December!U52+January!U52+February!U52+March!U52+April!U52+May!U52+June!U52+July!U52+August!U52+Adj!U52</f>
        <v>561</v>
      </c>
      <c r="V52" s="288">
        <f>September!V52+October!V52+November!V52+December!V52+January!V52+February!V52+March!V52+April!V52+May!V52+June!V52+July!V52+August!V52+Adj!V52</f>
        <v>16609</v>
      </c>
      <c r="W52" s="220">
        <f>September!W52+October!W52+November!W52+December!W52+January!W52+February!W52+March!W52+April!W52+May!W52+June!W52+July!W52+August!W52+Adj!W52</f>
        <v>0</v>
      </c>
      <c r="X52" s="220">
        <f>September!X52+October!X52+November!X52+December!X52+January!X52+February!X52+March!X52+April!X52+May!X52+June!X52+July!X52+August!X52+Adj!X52</f>
        <v>0</v>
      </c>
      <c r="Y52" s="220">
        <f>September!Y52+October!Y52+November!Y52+December!Y52+January!Y52+February!Y52+March!Y52+April!Y52+May!Y52+June!Y52+July!Y52+August!Y52+Adj!Y52</f>
        <v>0</v>
      </c>
      <c r="Z52" s="220">
        <f>September!Z52+October!Z52+November!Z52+December!Z52+January!Z52+February!Z52+March!Z52+April!Z52+May!Z52+June!Z52+July!Z52+August!Z52+Adj!Z52</f>
        <v>45583</v>
      </c>
      <c r="AA52" s="220">
        <f>September!AA52+October!AA52+November!AA52+December!AA52+January!AA52+February!AA52+March!AA52+April!AA52+May!AA52+June!AA52+July!AA52+August!AA52+Adj!AA52</f>
        <v>561</v>
      </c>
    </row>
    <row r="53" spans="1:30" x14ac:dyDescent="0.25">
      <c r="A53" s="117" t="s">
        <v>174</v>
      </c>
      <c r="B53" s="137" t="s">
        <v>344</v>
      </c>
      <c r="C53" s="220">
        <f>September!C53+October!C53+November!C53+December!C53+January!C53+February!C53+March!C53+April!C53+May!C53+June!C53+July!C53+August!C53+Adj!C53</f>
        <v>71402</v>
      </c>
      <c r="D53" s="220">
        <f>September!D53+October!D53+November!D53+December!D53+January!D53+February!D53+March!D53+April!D53+May!D53+June!D53+July!D53+August!D53+Adj!D53</f>
        <v>34171</v>
      </c>
      <c r="E53" s="220">
        <f>September!E53+October!E53+November!E53+December!E53+January!E53+February!E53+March!E53+April!E53+May!E53+June!E53+July!E53+August!E53+Adj!E53</f>
        <v>20056</v>
      </c>
      <c r="F53" s="220">
        <f>September!F53+October!F53+November!F53+December!F53+January!F53+February!F53+March!F53+April!F53+May!F53+June!F53+July!F53+August!F53+Adj!F53</f>
        <v>1436</v>
      </c>
      <c r="G53" s="220">
        <f>September!G53+October!G53+November!G53+December!G53+January!G53+February!G53+March!G53+April!G53+May!G53+June!G53+July!G53+August!G53+Adj!G53</f>
        <v>1164</v>
      </c>
      <c r="H53" s="220">
        <f>September!H53+October!H53+November!H53+December!H53+January!H53+February!H53+March!H53+April!H53+May!H53+June!H53+July!H53+August!H53+Adj!H53</f>
        <v>208</v>
      </c>
      <c r="I53" s="220">
        <f>September!I53+October!I53+November!I53+December!I53+January!I53+February!I53+March!I53+April!I53+May!I53+June!I53+July!I53+August!I53+Adj!I53</f>
        <v>2370</v>
      </c>
      <c r="J53" s="220">
        <f>September!J53+October!J53+November!J53+December!J53+January!J53+February!J53+March!J53+April!J53+May!J53+June!J53+July!J53+August!J53+Adj!J53</f>
        <v>5109</v>
      </c>
      <c r="K53" s="220">
        <f>September!K53+October!K53+November!K53+December!K53+January!K53+February!K53+March!K53+April!K53+May!K53+June!K53+July!K53+August!K53+Adj!K53</f>
        <v>4</v>
      </c>
      <c r="L53" s="288">
        <f>September!L53+October!L53+November!L53+December!L53+January!L53+February!L53+March!L53+April!L53+May!L53+June!L53+July!L53+August!L53+Adj!L53</f>
        <v>135920</v>
      </c>
      <c r="M53" s="220">
        <f>September!M53+October!M53+November!M53+December!M53+January!M53+February!M53+March!M53+April!M53+May!M53+June!M53+July!M53+August!M53+Adj!M53</f>
        <v>11107</v>
      </c>
      <c r="N53" s="220">
        <f>September!N53+October!N53+November!N53+December!N53+January!N53+February!N53+March!N53+April!N53+May!N53+June!N53+July!N53+August!N53+Adj!N53</f>
        <v>12665</v>
      </c>
      <c r="O53" s="220">
        <f>September!O53+October!O53+November!O53+December!O53+January!O53+February!O53+March!O53+April!O53+May!O53+June!O53+July!O53+August!O53+Adj!O53</f>
        <v>7593</v>
      </c>
      <c r="P53" s="220">
        <f>September!P53+October!P53+November!P53+December!P53+January!P53+February!P53+March!P53+April!P53+May!P53+June!P53+July!P53+August!P53+Adj!P53</f>
        <v>408</v>
      </c>
      <c r="Q53" s="220">
        <f>September!Q53+October!Q53+November!Q53+December!Q53+January!Q53+February!Q53+March!Q53+April!Q53+May!Q53+June!Q53+July!Q53+August!Q53+Adj!Q53</f>
        <v>360</v>
      </c>
      <c r="R53" s="220">
        <f>September!R53+October!R53+November!R53+December!R53+January!R53+February!R53+March!R53+April!R53+May!R53+June!R53+July!R53+August!R53+Adj!R53</f>
        <v>1546</v>
      </c>
      <c r="S53" s="220">
        <f>September!S53+October!S53+November!S53+December!S53+January!S53+February!S53+March!S53+April!S53+May!S53+June!S53+July!S53+August!S53+Adj!S53</f>
        <v>168</v>
      </c>
      <c r="T53" s="220">
        <f>September!T53+October!T53+November!T53+December!T53+January!T53+February!T53+March!T53+April!T53+May!T53+June!T53+July!T53+August!T53+Adj!T53</f>
        <v>433</v>
      </c>
      <c r="U53" s="220">
        <f>September!U53+October!U53+November!U53+December!U53+January!U53+February!U53+March!U53+April!U53+May!U53+June!U53+July!U53+August!U53+Adj!U53</f>
        <v>0</v>
      </c>
      <c r="V53" s="288">
        <f>September!V53+October!V53+November!V53+December!V53+January!V53+February!V53+March!V53+April!V53+May!V53+June!V53+July!V53+August!V53+Adj!V53</f>
        <v>34280</v>
      </c>
      <c r="W53" s="220">
        <f>September!W53+October!W53+November!W53+December!W53+January!W53+February!W53+March!W53+April!W53+May!W53+June!W53+July!W53+August!W53+Adj!W53</f>
        <v>12149</v>
      </c>
      <c r="X53" s="220">
        <f>September!X53+October!X53+November!X53+December!X53+January!X53+February!X53+March!X53+April!X53+May!X53+June!X53+July!X53+August!X53+Adj!X53</f>
        <v>0</v>
      </c>
      <c r="Y53" s="220">
        <f>September!Y53+October!Y53+November!Y53+December!Y53+January!Y53+February!Y53+March!Y53+April!Y53+May!Y53+June!Y53+July!Y53+August!Y53+Adj!Y53</f>
        <v>0</v>
      </c>
      <c r="Z53" s="220">
        <f>September!Z53+October!Z53+November!Z53+December!Z53+January!Z53+February!Z53+March!Z53+April!Z53+May!Z53+June!Z53+July!Z53+August!Z53+Adj!Z53</f>
        <v>182349</v>
      </c>
      <c r="AA53" s="220">
        <f>September!AA53+October!AA53+November!AA53+December!AA53+January!AA53+February!AA53+March!AA53+April!AA53+May!AA53+June!AA53+July!AA53+August!AA53+Adj!AA53</f>
        <v>131193</v>
      </c>
    </row>
    <row r="54" spans="1:30" ht="13.8" thickBot="1" x14ac:dyDescent="0.3">
      <c r="A54" s="124" t="s">
        <v>186</v>
      </c>
      <c r="B54" s="143" t="s">
        <v>345</v>
      </c>
      <c r="C54" s="282">
        <f>September!C54+October!C54+November!C54+December!C54+January!C54+February!C54+March!C54+April!C54+May!C54+June!C54+July!C54+August!C54+Adj!C54</f>
        <v>6119</v>
      </c>
      <c r="D54" s="282">
        <f>September!D54+October!D54+November!D54+December!D54+January!D54+February!D54+March!D54+April!D54+May!D54+June!D54+July!D54+August!D54+Adj!D54</f>
        <v>5720</v>
      </c>
      <c r="E54" s="282">
        <f>September!E54+October!E54+November!E54+December!E54+January!E54+February!E54+March!E54+April!E54+May!E54+June!E54+July!E54+August!E54+Adj!E54</f>
        <v>2570</v>
      </c>
      <c r="F54" s="282">
        <f>September!F54+October!F54+November!F54+December!F54+January!F54+February!F54+March!F54+April!F54+May!F54+June!F54+July!F54+August!F54+Adj!F54</f>
        <v>417</v>
      </c>
      <c r="G54" s="282">
        <f>September!G54+October!G54+November!G54+December!G54+January!G54+February!G54+March!G54+April!G54+May!G54+June!G54+July!G54+August!G54+Adj!G54</f>
        <v>251</v>
      </c>
      <c r="H54" s="282">
        <f>September!H54+October!H54+November!H54+December!H54+January!H54+February!H54+March!H54+April!H54+May!H54+June!H54+July!H54+August!H54+Adj!H54</f>
        <v>259</v>
      </c>
      <c r="I54" s="282">
        <f>September!I54+October!I54+November!I54+December!I54+January!I54+February!I54+March!I54+April!I54+May!I54+June!I54+July!I54+August!I54+Adj!I54</f>
        <v>703</v>
      </c>
      <c r="J54" s="282">
        <f>September!J54+October!J54+November!J54+December!J54+January!J54+February!J54+March!J54+April!J54+May!J54+June!J54+July!J54+August!J54+Adj!J54</f>
        <v>1300</v>
      </c>
      <c r="K54" s="282">
        <f>September!K54+October!K54+November!K54+December!K54+January!K54+February!K54+March!K54+April!K54+May!K54+June!K54+July!K54+August!K54+Adj!K54</f>
        <v>0</v>
      </c>
      <c r="L54" s="289">
        <f>September!L54+October!L54+November!L54+December!L54+January!L54+February!L54+March!L54+April!L54+May!L54+June!L54+July!L54+August!L54+Adj!L54</f>
        <v>17339</v>
      </c>
      <c r="M54" s="282">
        <f>September!M54+October!M54+November!M54+December!M54+January!M54+February!M54+March!M54+April!M54+May!M54+June!M54+July!M54+August!M54+Adj!M54</f>
        <v>8148</v>
      </c>
      <c r="N54" s="282">
        <f>September!N54+October!N54+November!N54+December!N54+January!N54+February!N54+March!N54+April!N54+May!N54+June!N54+July!N54+August!N54+Adj!N54</f>
        <v>18558</v>
      </c>
      <c r="O54" s="282">
        <f>September!O54+October!O54+November!O54+December!O54+January!O54+February!O54+March!O54+April!O54+May!O54+June!O54+July!O54+August!O54+Adj!O54</f>
        <v>7091</v>
      </c>
      <c r="P54" s="282">
        <f>September!P54+October!P54+November!P54+December!P54+January!P54+February!P54+March!P54+April!P54+May!P54+June!P54+July!P54+August!P54+Adj!P54</f>
        <v>906</v>
      </c>
      <c r="Q54" s="282">
        <f>September!Q54+October!Q54+November!Q54+December!Q54+January!Q54+February!Q54+March!Q54+April!Q54+May!Q54+June!Q54+July!Q54+August!Q54+Adj!Q54</f>
        <v>572</v>
      </c>
      <c r="R54" s="282">
        <f>September!R54+October!R54+November!R54+December!R54+January!R54+February!R54+March!R54+April!R54+May!R54+June!R54+July!R54+August!R54+Adj!R54</f>
        <v>444</v>
      </c>
      <c r="S54" s="282">
        <f>September!S54+October!S54+November!S54+December!S54+January!S54+February!S54+March!S54+April!S54+May!S54+June!S54+July!S54+August!S54+Adj!S54</f>
        <v>67</v>
      </c>
      <c r="T54" s="282">
        <f>September!T54+October!T54+November!T54+December!T54+January!T54+February!T54+March!T54+April!T54+May!T54+June!T54+July!T54+August!T54+Adj!T54</f>
        <v>483</v>
      </c>
      <c r="U54" s="282">
        <f>September!U54+October!U54+November!U54+December!U54+January!U54+February!U54+March!U54+April!U54+May!U54+June!U54+July!U54+August!U54+Adj!U54</f>
        <v>0</v>
      </c>
      <c r="V54" s="289">
        <f>September!V54+October!V54+November!V54+December!V54+January!V54+February!V54+March!V54+April!V54+May!V54+June!V54+July!V54+August!V54+Adj!V54</f>
        <v>36269</v>
      </c>
      <c r="W54" s="282">
        <f>September!W54+October!W54+November!W54+December!W54+January!W54+February!W54+March!W54+April!W54+May!W54+June!W54+July!W54+August!W54+Adj!W54</f>
        <v>7194</v>
      </c>
      <c r="X54" s="220">
        <f>September!X54+October!X54+November!X54+December!X54+January!X54+February!X54+March!X54+April!X54+May!X54+June!X54+July!X54+August!X54+Adj!X54</f>
        <v>0</v>
      </c>
      <c r="Y54" s="220">
        <f>September!Y54+October!Y54+November!Y54+December!Y54+January!Y54+February!Y54+March!Y54+April!Y54+May!Y54+June!Y54+July!Y54+August!Y54+Adj!Y54</f>
        <v>0</v>
      </c>
      <c r="Z54" s="220">
        <f>September!Z54+October!Z54+November!Z54+December!Z54+January!Z54+February!Z54+March!Z54+April!Z54+May!Z54+June!Z54+July!Z54+August!Z54+Adj!Z54</f>
        <v>60802</v>
      </c>
      <c r="AA54" s="220">
        <f>September!AA54+October!AA54+November!AA54+December!AA54+January!AA54+February!AA54+March!AA54+April!AA54+May!AA54+June!AA54+July!AA54+August!AA54+Adj!AA54</f>
        <v>39868</v>
      </c>
    </row>
    <row r="55" spans="1:30" s="109" customFormat="1" ht="14.4" thickBot="1" x14ac:dyDescent="0.3">
      <c r="A55" s="127"/>
      <c r="B55" s="159" t="s">
        <v>459</v>
      </c>
      <c r="C55" s="283">
        <f>September!C55+October!C55+November!C55+December!C55+January!C55+February!C55+March!C55+April!C55+May!C55+June!C55+July!C55+August!C55+Adj!C55</f>
        <v>617854</v>
      </c>
      <c r="D55" s="283">
        <f>September!D55+October!D55+November!D55+December!D55+January!D55+February!D55+March!D55+April!D55+May!D55+June!D55+July!D55+August!D55+Adj!D55</f>
        <v>298055</v>
      </c>
      <c r="E55" s="283">
        <f>September!E55+October!E55+November!E55+December!E55+January!E55+February!E55+March!E55+April!E55+May!E55+June!E55+July!E55+August!E55+Adj!E55</f>
        <v>216763</v>
      </c>
      <c r="F55" s="283">
        <f>September!F55+October!F55+November!F55+December!F55+January!F55+February!F55+March!F55+April!F55+May!F55+June!F55+July!F55+August!F55+Adj!F55</f>
        <v>13967</v>
      </c>
      <c r="G55" s="283">
        <f>September!G55+October!G55+November!G55+December!G55+January!G55+February!G55+March!G55+April!G55+May!G55+June!G55+July!G55+August!G55+Adj!G55</f>
        <v>17103</v>
      </c>
      <c r="H55" s="283">
        <f>September!H55+October!H55+November!H55+December!H55+January!H55+February!H55+March!H55+April!H55+May!H55+June!H55+July!H55+August!H55+Adj!H55</f>
        <v>3139</v>
      </c>
      <c r="I55" s="283">
        <f>September!I55+October!I55+November!I55+December!I55+January!I55+February!I55+March!I55+April!I55+May!I55+June!I55+July!I55+August!I55+Adj!I55</f>
        <v>20949</v>
      </c>
      <c r="J55" s="283">
        <f>September!J55+October!J55+November!J55+December!J55+January!J55+February!J55+March!J55+April!J55+May!J55+June!J55+July!J55+August!J55+Adj!J55</f>
        <v>192195</v>
      </c>
      <c r="K55" s="283">
        <f>September!K55+October!K55+November!K55+December!K55+January!K55+February!K55+March!K55+April!K55+May!K55+June!K55+July!K55+August!K55+Adj!K55</f>
        <v>3423</v>
      </c>
      <c r="L55" s="283">
        <f>September!L55+October!L55+November!L55+December!L55+January!L55+February!L55+March!L55+April!L55+May!L55+June!L55+July!L55+August!L55+Adj!L55</f>
        <v>1383448</v>
      </c>
      <c r="M55" s="283">
        <f>September!M55+October!M55+November!M55+December!M55+January!M55+February!M55+March!M55+April!M55+May!M55+June!M55+July!M55+August!M55+Adj!M55</f>
        <v>199757</v>
      </c>
      <c r="N55" s="283">
        <f>September!N55+October!N55+November!N55+December!N55+January!N55+February!N55+March!N55+April!N55+May!N55+June!N55+July!N55+August!N55+Adj!N55</f>
        <v>313140</v>
      </c>
      <c r="O55" s="283">
        <f>September!O55+October!O55+November!O55+December!O55+January!O55+February!O55+March!O55+April!O55+May!O55+June!O55+July!O55+August!O55+Adj!O55</f>
        <v>165794</v>
      </c>
      <c r="P55" s="283">
        <f>September!P55+October!P55+November!P55+December!P55+January!P55+February!P55+March!P55+April!P55+May!P55+June!P55+July!P55+August!P55+Adj!P55</f>
        <v>7776</v>
      </c>
      <c r="Q55" s="283">
        <f>September!Q55+October!Q55+November!Q55+December!Q55+January!Q55+February!Q55+March!Q55+April!Q55+May!Q55+June!Q55+July!Q55+August!Q55+Adj!Q55</f>
        <v>9608</v>
      </c>
      <c r="R55" s="283">
        <f>September!R55+October!R55+November!R55+December!R55+January!R55+February!R55+March!R55+April!R55+May!R55+June!R55+July!R55+August!R55+Adj!R55</f>
        <v>13780</v>
      </c>
      <c r="S55" s="283">
        <f>September!S55+October!S55+November!S55+December!S55+January!S55+February!S55+March!S55+April!S55+May!S55+June!S55+July!S55+August!S55+Adj!S55</f>
        <v>2301</v>
      </c>
      <c r="T55" s="283">
        <f>September!T55+October!T55+November!T55+December!T55+January!T55+February!T55+March!T55+April!T55+May!T55+June!T55+July!T55+August!T55+Adj!T55</f>
        <v>22577</v>
      </c>
      <c r="U55" s="283">
        <f>September!U55+October!U55+November!U55+December!U55+January!U55+February!U55+March!U55+April!U55+May!U55+June!U55+July!U55+August!U55+Adj!U55</f>
        <v>1223</v>
      </c>
      <c r="V55" s="283">
        <f>September!V55+October!V55+November!V55+December!V55+January!V55+February!V55+March!V55+April!V55+May!V55+June!V55+July!V55+August!V55+Adj!V55</f>
        <v>735956</v>
      </c>
      <c r="W55" s="283">
        <f>September!W55+October!W55+November!W55+December!W55+January!W55+February!W55+March!W55+April!W55+May!W55+June!W55+July!W55+August!W55+Adj!W55</f>
        <v>152601</v>
      </c>
      <c r="X55" s="283">
        <f>SUM(X38:X54)</f>
        <v>35266</v>
      </c>
      <c r="Y55" s="283">
        <f>SUM(Y38:Y54)</f>
        <v>12851</v>
      </c>
      <c r="Z55" s="283">
        <f>SUM(Z38:Z54)</f>
        <v>2320122</v>
      </c>
      <c r="AA55" s="284">
        <f>SUM(AA38:AA54)</f>
        <v>1455195</v>
      </c>
      <c r="AC55"/>
      <c r="AD55"/>
    </row>
    <row r="56" spans="1:30" x14ac:dyDescent="0.25">
      <c r="A56" s="117" t="s">
        <v>71</v>
      </c>
      <c r="B56" s="279" t="s">
        <v>305</v>
      </c>
      <c r="C56" s="220">
        <f>September!C56+October!C56+November!C56+December!C56+January!C56+February!C56+March!C56+April!C56+May!C56+June!C56+July!C56+August!C56+Adj!C56</f>
        <v>44</v>
      </c>
      <c r="D56" s="220">
        <f>September!D56+October!D56+November!D56+December!D56+January!D56+February!D56+March!D56+April!D56+May!D56+June!D56+July!D56+August!D56+Adj!D56</f>
        <v>11</v>
      </c>
      <c r="E56" s="220">
        <f>September!E56+October!E56+November!E56+December!E56+January!E56+February!E56+March!E56+April!E56+May!E56+June!E56+July!E56+August!E56+Adj!E56</f>
        <v>13</v>
      </c>
      <c r="F56" s="220">
        <f>September!F56+October!F56+November!F56+December!F56+January!F56+February!F56+March!F56+April!F56+May!F56+June!F56+July!F56+August!F56+Adj!F56</f>
        <v>0</v>
      </c>
      <c r="G56" s="220">
        <f>September!G56+October!G56+November!G56+December!G56+January!G56+February!G56+March!G56+April!G56+May!G56+June!G56+July!G56+August!G56+Adj!G56</f>
        <v>0</v>
      </c>
      <c r="H56" s="220">
        <f>September!H56+October!H56+November!H56+December!H56+January!H56+February!H56+March!H56+April!H56+May!H56+June!H56+July!H56+August!H56+Adj!H56</f>
        <v>38</v>
      </c>
      <c r="I56" s="220">
        <f>September!I56+October!I56+November!I56+December!I56+January!I56+February!I56+March!I56+April!I56+May!I56+June!I56+July!I56+August!I56+Adj!I56</f>
        <v>2</v>
      </c>
      <c r="J56" s="220">
        <f>September!J56+October!J56+November!J56+December!J56+January!J56+February!J56+March!J56+April!J56+May!J56+June!J56+July!J56+August!J56+Adj!J56</f>
        <v>32390</v>
      </c>
      <c r="K56" s="220">
        <f>September!K56+October!K56+November!K56+December!K56+January!K56+February!K56+March!K56+April!K56+May!K56+June!K56+July!K56+August!K56+Adj!K56</f>
        <v>0</v>
      </c>
      <c r="L56" s="288">
        <f>September!L56+October!L56+November!L56+December!L56+January!L56+February!L56+March!L56+April!L56+May!L56+June!L56+July!L56+August!L56+Adj!L56</f>
        <v>32498</v>
      </c>
      <c r="M56" s="220">
        <f>September!M56+October!M56+November!M56+December!M56+January!M56+February!M56+March!M56+April!M56+May!N58+June!M56+July!M56+August!M56+Adj!M56</f>
        <v>0</v>
      </c>
      <c r="N56" s="220">
        <f>September!N56+October!N56+November!N56+December!N56+January!N56+February!N56+March!N56+April!N56+May!O58+June!N56+July!N56+August!N56+Adj!N56</f>
        <v>0</v>
      </c>
      <c r="O56" s="220">
        <f>September!O56+October!O56+November!O56+December!O56+January!O56+February!O56+March!O56+April!O56+May!P58+June!O56+July!O56+August!O56+Adj!O56</f>
        <v>0</v>
      </c>
      <c r="P56" s="220">
        <f>September!P56+October!P56+November!P56+December!P56+January!P56+February!P56+March!P56+April!P56+May!Q58+June!P56+July!P56+August!P56+Adj!P56</f>
        <v>0</v>
      </c>
      <c r="Q56" s="220">
        <f>September!Q56+October!Q56+November!Q56+December!Q56+January!Q56+February!Q56+March!Q56+April!Q56+May!R58+June!Q56+July!Q56+August!Q56+Adj!Q56</f>
        <v>0</v>
      </c>
      <c r="R56" s="220">
        <f>September!R56+October!R56+November!R56+December!R56+January!R56+February!R56+March!R56+April!R56+May!S58+June!R56+July!R56+August!R56+Adj!R56</f>
        <v>0</v>
      </c>
      <c r="S56" s="220">
        <f>September!S56+October!S56+November!S56+December!S56+January!S56+February!S56+March!S56+April!S56+May!T58+June!S56+July!S56+August!S56+Adj!S56</f>
        <v>0</v>
      </c>
      <c r="T56" s="220">
        <f>September!T56+October!T56+November!T56+December!T56+January!T56+February!T56+March!T56+April!T56+May!U58+June!T56+July!T56+August!T56+Adj!T56</f>
        <v>0</v>
      </c>
      <c r="U56" s="220">
        <f>September!U56+October!U56+November!U56+December!U56+January!U56+February!U56+March!U56+April!U56+May!U56+June!U56+July!U56+August!U56+Adj!U56</f>
        <v>0</v>
      </c>
      <c r="V56" s="288">
        <f>September!V56+October!V56+November!V56+December!V56+January!V56+February!V56+March!V56+April!V56+May!V56+June!V56+July!V56+August!V56+Adj!V56</f>
        <v>0</v>
      </c>
      <c r="W56" s="220">
        <f>September!W56+October!W56+November!W56+December!W56+January!W56+February!W56+March!W56+April!W56+May!W56+June!W56+July!W56+August!W56+Adj!W56</f>
        <v>316054</v>
      </c>
      <c r="X56" s="220">
        <f>September!X56+October!X56+November!X56+December!X56+January!X56+February!X56+March!X56+April!X56+May!X56+June!X56+July!X56+August!X56+Adj!X56</f>
        <v>0</v>
      </c>
      <c r="Y56" s="220">
        <f>September!Y56+October!Y56+November!Y56+December!Y56+January!Y56+February!Y56+March!Y56+April!Y56+May!Y56+June!Y56+July!Y56+August!Y56+Adj!Y56</f>
        <v>0</v>
      </c>
      <c r="Z56" s="220">
        <f>September!Z56+October!Z56+November!Z56+December!Z56+January!Z56+February!Z56+March!Z56+April!Z56+May!Z56+June!Z56+July!Z56+August!Z56+Adj!Z56</f>
        <v>348552</v>
      </c>
      <c r="AA56" s="220">
        <f>September!AA56+October!AA56+November!AA56+December!AA56+January!AA56+February!AA56+March!AA56+April!AA56+May!AA56+June!AA56+July!AA56+August!AA56+Adj!AA56</f>
        <v>55</v>
      </c>
      <c r="AB56" s="118"/>
    </row>
    <row r="57" spans="1:30" x14ac:dyDescent="0.25">
      <c r="A57" s="117" t="s">
        <v>77</v>
      </c>
      <c r="B57" s="137" t="s">
        <v>306</v>
      </c>
      <c r="C57" s="220">
        <f>September!C57+October!C57+November!C57+December!C57+January!C57+February!C57+March!C57+April!C57+May!C57+June!C57+July!C57+August!C57+Adj!C57</f>
        <v>63979</v>
      </c>
      <c r="D57" s="220">
        <f>September!D57+October!D57+November!D57+December!D57+January!D57+February!D57+March!D57+April!D57+May!D57+June!D57+July!D57+August!D57+Adj!D57</f>
        <v>36066</v>
      </c>
      <c r="E57" s="220">
        <f>September!E57+October!E57+November!E57+December!E57+January!E57+February!E57+March!E57+April!E57+May!E57+June!E57+July!E57+August!E57+Adj!E57</f>
        <v>30522</v>
      </c>
      <c r="F57" s="220">
        <f>September!F57+October!F57+November!F57+December!F57+January!F57+February!F57+March!F57+April!F57+May!F57+June!F57+July!F57+August!F57+Adj!F57</f>
        <v>2710</v>
      </c>
      <c r="G57" s="220">
        <f>September!G57+October!G57+November!G57+December!G57+January!G57+February!G57+March!G57+April!G57+May!G57+June!G57+July!G57+August!G57+Adj!G57</f>
        <v>984</v>
      </c>
      <c r="H57" s="220">
        <f>September!H57+October!H57+November!H57+December!H57+January!H57+February!H57+March!H57+April!H57+May!H57+June!H57+July!H57+August!H57+Adj!H57</f>
        <v>87</v>
      </c>
      <c r="I57" s="220">
        <f>September!I57+October!I57+November!I57+December!I57+January!I57+February!I57+March!I57+April!I57+May!I57+June!I57+July!I57+August!I57+Adj!I57</f>
        <v>2036</v>
      </c>
      <c r="J57" s="220">
        <f>September!J57+October!J57+November!J57+December!J57+January!J57+February!J57+March!J57+April!J57+May!J57+June!J57+July!J57+August!J57+Adj!J57</f>
        <v>6040</v>
      </c>
      <c r="K57" s="220">
        <f>September!K57+October!K57+November!K57+December!K57+January!K57+February!K57+March!K57+April!K57+May!K57+June!K57+July!K57+August!K57+Adj!K57</f>
        <v>99</v>
      </c>
      <c r="L57" s="288">
        <f>September!L57+October!L57+November!L57+December!L57+January!L57+February!L57+March!L57+April!L57+May!L57+June!L57+July!L57+August!L57+Adj!L57</f>
        <v>142523</v>
      </c>
      <c r="M57" s="220">
        <f>September!M57+October!M57+November!M57+December!M57+January!M57+February!M57+March!M57+April!M57+May!M57+June!M57+July!M57+August!M57+Adj!M57</f>
        <v>7875</v>
      </c>
      <c r="N57" s="220">
        <f>September!N57+October!N57+November!N57+December!N57+January!N57+February!N57+March!N57+April!N57+May!N57+June!N57+July!N57+August!N57+Adj!N57</f>
        <v>15277</v>
      </c>
      <c r="O57" s="220">
        <f>September!O57+October!O57+November!O57+December!O57+January!O57+February!O57+March!O57+April!O57+May!O57+June!O57+July!O57+August!O57+Adj!O57</f>
        <v>8524</v>
      </c>
      <c r="P57" s="220">
        <f>September!P57+October!P57+November!P57+December!P57+January!P57+February!P57+March!P57+April!P57+May!P57+June!P57+July!P57+August!P57+Adj!P57</f>
        <v>286</v>
      </c>
      <c r="Q57" s="220">
        <f>September!Q57+October!Q57+November!Q57+December!Q57+January!Q57+February!Q57+March!Q57+April!Q57+May!Q57+June!Q57+July!Q57+August!Q57+Adj!Q57</f>
        <v>426</v>
      </c>
      <c r="R57" s="220">
        <f>September!R57+October!R57+November!R57+December!R57+January!R57+February!R57+March!R57+April!R57+May!R57+June!R57+July!R57+August!R57+Adj!R57</f>
        <v>896</v>
      </c>
      <c r="S57" s="220">
        <f>September!S57+October!S57+November!S57+December!S57+January!S57+February!S57+March!S57+April!S57+May!S57+June!S57+July!S57+August!S57+Adj!S57</f>
        <v>0</v>
      </c>
      <c r="T57" s="220">
        <f>September!T57+October!T57+November!T57+December!T57+January!T57+February!T57+March!T57+April!T57+May!T57+June!T57+July!T57+August!T57+Adj!T57</f>
        <v>609</v>
      </c>
      <c r="U57" s="220">
        <f>September!U57+October!U57+November!U57+December!U57+January!U57+February!U57+March!U57+April!U57+May!U57+June!U57+July!U57+August!U57+Adj!U57</f>
        <v>0</v>
      </c>
      <c r="V57" s="288">
        <f>September!V57+October!V57+November!V57+December!V57+January!V57+February!V57+March!V57+April!V57+May!V57+June!V57+July!V57+August!V57+Adj!V57</f>
        <v>33893</v>
      </c>
      <c r="W57" s="343">
        <f>September!W57+October!W57+November!W57+December!W57+January!W57+February!W57+March!W57+April!W57+May!W57+June!W57+July!W57+August!W57+Adj!W57</f>
        <v>11638</v>
      </c>
      <c r="X57" s="220">
        <f>September!X57+October!X57+November!X57+December!X57+January!X57+February!X57+March!X57+April!X57+May!X57+June!X57+July!X57+August!X57+Adj!X57</f>
        <v>0</v>
      </c>
      <c r="Y57" s="220">
        <f>September!Y57+October!Y57+November!Y57+December!Y57+January!Y57+February!Y57+March!Y57+April!Y57+May!Y57+June!Y57+July!Y57+August!Y57+Adj!Y57</f>
        <v>0</v>
      </c>
      <c r="Z57" s="220">
        <f>September!Z57+October!Z57+November!Z57+December!Z57+January!Z57+February!Z57+March!Z57+April!Z57+May!Z57+June!Z57+July!Z57+August!Z57+Adj!Z57</f>
        <v>188054</v>
      </c>
      <c r="AA57" s="220">
        <f>September!AA57+October!AA57+November!AA57+December!AA57+January!AA57+February!AA57+March!AA57+April!AA57+May!AA57+June!AA57+July!AA57+August!AA57+Adj!AA57</f>
        <v>126292</v>
      </c>
    </row>
    <row r="58" spans="1:30" x14ac:dyDescent="0.25">
      <c r="A58" s="117" t="s">
        <v>102</v>
      </c>
      <c r="B58" s="137" t="s">
        <v>315</v>
      </c>
      <c r="C58" s="220">
        <f>September!C58+October!C58+November!C58+December!C58+January!C58+February!C58+March!C58+April!C58+May!C58+June!C58+July!C58+August!C58+Adj!C58</f>
        <v>0</v>
      </c>
      <c r="D58" s="220">
        <f>September!D58+October!D58+November!D58+December!D58+January!D58+February!D58+March!D58+April!D58+May!D58+June!D58+July!D58+August!D58+Adj!D58</f>
        <v>0</v>
      </c>
      <c r="E58" s="220">
        <f>September!E58+October!E58+November!E58+December!E58+January!E58+February!E58+March!E58+April!E58+May!E58+June!E58+July!E58+August!E58+Adj!E58</f>
        <v>122</v>
      </c>
      <c r="F58" s="220">
        <f>September!F58+October!F58+November!F58+December!F58+January!F58+February!F58+March!F58+April!F58+May!F58+June!F58+July!F58+August!F58+Adj!F58</f>
        <v>0</v>
      </c>
      <c r="G58" s="220">
        <f>September!G58+October!G58+November!G58+December!G58+January!G58+February!G58+March!G58+April!G58+May!G58+June!G58+July!G58+August!G58+Adj!G58</f>
        <v>0</v>
      </c>
      <c r="H58" s="220">
        <f>September!H58+October!H58+November!H58+December!H58+January!H58+February!H58+March!H58+April!H58+May!H58+June!H58+July!H58+August!H58+Adj!H58</f>
        <v>0</v>
      </c>
      <c r="I58" s="220">
        <f>September!I58+October!I58+November!I58+December!I58+January!I58+February!I58+March!I58+April!I58+May!I58+June!I58+July!I58+August!I58+Adj!I58</f>
        <v>0</v>
      </c>
      <c r="J58" s="220">
        <f>September!J58+October!J58+November!J58+December!J58+January!J58+February!J58+March!J58+April!J58+May!J58+June!J58+July!J58+August!J58+Adj!J58</f>
        <v>1343</v>
      </c>
      <c r="K58" s="220">
        <f>September!K58+October!K58+November!K58+December!K58+January!K58+February!K58+March!K58+April!K58+May!K58+June!K58+July!K58+August!K58+Adj!K58</f>
        <v>0</v>
      </c>
      <c r="L58" s="288">
        <f>September!L58+October!L58+November!L58+December!L58+January!L58+February!L58+March!L58+April!L58+May!L58+June!L58+July!L58+August!L58+Adj!L58</f>
        <v>1465</v>
      </c>
      <c r="M58" s="220">
        <f>September!M58+October!M58+November!M58+December!M58+January!M58+February!M58+March!M58+April!M58+May!M58+June!M58+July!M58+August!M58+Adj!M58</f>
        <v>0</v>
      </c>
      <c r="N58" s="220">
        <f>September!N58+October!N58+November!N58+December!N58+January!N58+February!N58+March!N58+April!N58+May!N58+June!N58+July!N58+August!N58+Adj!N58</f>
        <v>0</v>
      </c>
      <c r="O58" s="220">
        <f>September!O58+October!O58+November!O58+December!O58+January!O58+February!O58+March!O58+April!O58+May!O58+June!O58+July!O58+August!O58+Adj!O58</f>
        <v>0</v>
      </c>
      <c r="P58" s="220">
        <f>September!P58+October!P58+November!P58+December!P58+January!P58+February!P58+March!P58+April!P58+May!P58+June!P58+July!P58+August!P58+Adj!P58</f>
        <v>0</v>
      </c>
      <c r="Q58" s="220">
        <f>September!Q58+October!Q58+November!Q58+December!Q58+January!Q58+February!Q58+March!Q58+April!Q58+May!Q58+June!Q58+July!Q58+August!Q58+Adj!Q58</f>
        <v>0</v>
      </c>
      <c r="R58" s="220">
        <f>September!R58+October!R58+November!R58+December!R58+January!R58+February!R58+March!R58+April!R58+May!R58+June!R58+July!R58+August!R58+Adj!R58</f>
        <v>0</v>
      </c>
      <c r="S58" s="220">
        <f>September!S58+October!S58+November!S58+December!S58+January!S58+February!S58+March!S58+April!S58+May!S58+June!S58+July!S58+August!S58+Adj!S58</f>
        <v>0</v>
      </c>
      <c r="T58" s="220">
        <f>September!T58+October!T58+November!T58+December!T58+January!T58+February!T58+March!T58+April!T58+May!T58+June!T58+July!T58+August!T58+Adj!T58</f>
        <v>0</v>
      </c>
      <c r="U58" s="220">
        <f>September!U58+October!U58+November!U58+December!U58+January!U58+February!U58+March!U58+April!U58+May!U58+June!U58+July!U58+August!U58+Adj!U58</f>
        <v>0</v>
      </c>
      <c r="V58" s="288">
        <f>September!V58+October!V58+November!V58+December!V58+January!V58+February!V58+March!V58+April!V58+May!V58+June!V58+July!V58+August!V58+Adj!V58</f>
        <v>0</v>
      </c>
      <c r="W58" s="220">
        <f>September!W58+October!W58+November!W58+December!W58+January!W58+February!W58+March!W58+April!W58+May!W58+June!W58+July!W58+August!W58+Adj!W58</f>
        <v>0</v>
      </c>
      <c r="X58" s="220">
        <f>September!X58+October!X58+November!X58+December!X58+January!X58+February!X58+March!X58+April!X58+May!X58+June!X58+July!X58+August!X58+Adj!X58</f>
        <v>0</v>
      </c>
      <c r="Y58" s="220">
        <f>September!Y58+October!Y58+November!Y58+December!Y58+January!Y58+February!Y58+March!Y58+April!Y58+May!Y58+June!Y58+July!Y58+August!Y58+Adj!Y58</f>
        <v>0</v>
      </c>
      <c r="Z58" s="220">
        <f>September!Z58+October!Z58+November!Z58+December!Z58+January!Z58+February!Z58+March!Z58+April!Z58+May!Z58+June!Z58+July!Z58+August!Z58+Adj!Z58</f>
        <v>1465</v>
      </c>
      <c r="AA58" s="220">
        <f>September!AA58+October!AA58+November!AA58+December!AA58+January!AA58+February!AA58+March!AA58+April!AA58+May!AA58+June!AA58+July!AA58+August!AA58+Adj!AA58</f>
        <v>0</v>
      </c>
    </row>
    <row r="59" spans="1:30" x14ac:dyDescent="0.25">
      <c r="A59" s="117" t="s">
        <v>103</v>
      </c>
      <c r="B59" s="137" t="s">
        <v>297</v>
      </c>
      <c r="C59" s="220">
        <f>September!C59+October!C59+November!C59+December!C59+January!C59+February!C59+March!C59+April!C59+May!C59+June!C59+July!C59+August!C59+Adj!C59</f>
        <v>5489</v>
      </c>
      <c r="D59" s="220">
        <f>September!D59+October!D59+November!D59+December!D59+January!D59+February!D59+March!D59+April!D59+May!D59+June!D59+July!D59+August!D59+Adj!D59</f>
        <v>1325</v>
      </c>
      <c r="E59" s="220">
        <f>September!E59+October!E59+November!E59+December!E59+January!E59+February!E59+March!E59+April!E59+May!E59+June!E59+July!E59+August!E59+Adj!E59</f>
        <v>2259</v>
      </c>
      <c r="F59" s="220">
        <f>September!F59+October!F59+November!F59+December!F59+January!F59+February!F59+March!F59+April!F59+May!F59+June!F59+July!F59+August!F59+Adj!F59</f>
        <v>111</v>
      </c>
      <c r="G59" s="220">
        <f>September!G59+October!G59+November!G59+December!G59+January!G59+February!G59+March!G59+April!G59+May!G59+June!G59+July!G59+August!G59+Adj!G59</f>
        <v>71</v>
      </c>
      <c r="H59" s="220">
        <f>September!H59+October!H59+November!H59+December!H59+January!H59+February!H59+March!H59+April!H59+May!H59+June!H59+July!H59+August!H59+Adj!H59</f>
        <v>0</v>
      </c>
      <c r="I59" s="220">
        <f>September!I59+October!I59+November!I59+December!I59+January!I59+February!I59+March!I59+April!I59+May!I59+June!I59+July!I59+August!I59+Adj!I59</f>
        <v>0</v>
      </c>
      <c r="J59" s="220">
        <f>September!J59+October!J59+November!J59+December!J59+January!J59+February!J59+March!J59+April!J59+May!J59+June!J59+July!J59+August!J59+Adj!J59</f>
        <v>292</v>
      </c>
      <c r="K59" s="220">
        <f>September!K59+October!K59+November!K59+December!K59+January!K59+February!K59+March!K59+April!K59+May!K59+June!K59+July!K59+August!K59+Adj!K59</f>
        <v>0</v>
      </c>
      <c r="L59" s="288">
        <f>September!L59+October!L59+November!L59+December!L59+January!L59+February!L59+March!L59+April!L59+May!L59+June!L59+July!L59+August!L59+Adj!L59</f>
        <v>9547</v>
      </c>
      <c r="M59" s="220">
        <f>September!M59+October!M59+November!M59+December!M59+January!M59+February!M59+March!M59+April!M59+May!M59+June!M59+July!M59+August!M59+Adj!M59</f>
        <v>978</v>
      </c>
      <c r="N59" s="220">
        <f>September!N59+October!N59+November!N59+December!N59+January!N59+February!N59+March!N59+April!N59+May!N59+June!N59+July!N59+August!N59+Adj!N59</f>
        <v>523</v>
      </c>
      <c r="O59" s="220">
        <f>September!O59+October!O59+November!O59+December!O59+January!O59+February!O59+March!O59+April!O59+May!O59+June!O59+July!O59+August!O59+Adj!O59</f>
        <v>611</v>
      </c>
      <c r="P59" s="220">
        <f>September!P59+October!P59+November!P59+December!P59+January!P59+February!P59+March!P59+April!P59+May!P59+June!P59+July!P59+August!P59+Adj!P59</f>
        <v>31</v>
      </c>
      <c r="Q59" s="220">
        <f>September!Q59+October!Q59+November!Q59+December!Q59+January!Q59+February!Q59+March!Q59+April!Q59+May!Q59+June!Q59+July!Q59+August!Q59+Adj!Q59</f>
        <v>10</v>
      </c>
      <c r="R59" s="220">
        <f>September!R59+October!R59+November!R59+December!R59+January!R59+February!R59+March!R59+April!R59+May!R59+June!R59+July!R59+August!R59+Adj!R59</f>
        <v>0</v>
      </c>
      <c r="S59" s="220">
        <f>September!S59+October!S59+November!S59+December!S59+January!S59+February!S59+March!S59+April!S59+May!S59+June!S59+July!S59+August!S59+Adj!S59</f>
        <v>0</v>
      </c>
      <c r="T59" s="220">
        <f>September!T59+October!T59+November!T59+December!T59+January!T59+February!T59+March!T59+April!T59+May!T59+June!T59+July!T59+August!T59+Adj!T59</f>
        <v>49</v>
      </c>
      <c r="U59" s="220">
        <f>September!U59+October!U59+November!U59+December!U59+January!U59+February!U59+March!U59+April!U59+May!U59+June!U59+July!U59+August!U59+Adj!U59</f>
        <v>0</v>
      </c>
      <c r="V59" s="288">
        <f>September!V59+October!V59+November!V59+December!V59+January!V59+February!V59+March!V59+April!V59+May!V59+June!V59+July!V59+August!V59+Adj!V59</f>
        <v>2202</v>
      </c>
      <c r="W59" s="220">
        <f>September!W59+October!W59+November!W59+December!W59+January!W59+February!W59+March!W59+April!W59+May!W59+June!W59+July!W59+August!W59+Adj!W59</f>
        <v>8344</v>
      </c>
      <c r="X59" s="220">
        <f>September!X59+October!X59+November!X59+December!X59+January!X59+February!X59+March!X59+April!X59+May!X59+June!X59+July!X59+August!X59+Adj!X59</f>
        <v>0</v>
      </c>
      <c r="Y59" s="220">
        <f>September!Y59+October!Y59+November!Y59+December!Y59+January!Y59+February!Y59+March!Y59+April!Y59+May!Y59+June!Y59+July!Y59+August!Y59+Adj!Y59</f>
        <v>0</v>
      </c>
      <c r="Z59" s="220">
        <f>September!Z59+October!Z59+November!Z59+December!Z59+January!Z59+February!Z59+March!Z59+April!Z59+May!Z59+June!Z59+July!Z59+August!Z59+Adj!Z59</f>
        <v>20093</v>
      </c>
      <c r="AA59" s="220">
        <f>September!AA59+October!AA59+November!AA59+December!AA59+January!AA59+February!AA59+March!AA59+April!AA59+May!AA59+June!AA59+July!AA59+August!AA59+Adj!AA59</f>
        <v>8457</v>
      </c>
    </row>
    <row r="60" spans="1:30" x14ac:dyDescent="0.25">
      <c r="A60" s="117" t="s">
        <v>112</v>
      </c>
      <c r="B60" s="137" t="s">
        <v>307</v>
      </c>
      <c r="C60" s="220">
        <f>September!C60+October!C60+November!C60+December!C60+January!C60+February!C60+March!C60+April!C60+May!C60+June!C60+July!C60+August!C60+Adj!C60</f>
        <v>42724</v>
      </c>
      <c r="D60" s="220">
        <f>September!D60+October!D60+November!D60+December!D60+January!D60+February!D60+March!D60+April!D60+May!D60+June!D60+July!D60+August!D60+Adj!D60</f>
        <v>22119</v>
      </c>
      <c r="E60" s="220">
        <f>September!E60+October!E60+November!E60+December!E60+January!E60+February!E60+March!E60+April!E60+May!E60+June!E60+July!E60+August!E60+Adj!E60</f>
        <v>21907</v>
      </c>
      <c r="F60" s="220">
        <f>September!F60+October!F60+November!F60+December!F60+January!F60+February!F60+March!F60+April!F60+May!F60+June!F60+July!F60+August!F60+Adj!F60</f>
        <v>649</v>
      </c>
      <c r="G60" s="220">
        <f>September!G60+October!G60+November!G60+December!G60+January!G60+February!G60+March!G60+April!G60+May!G60+June!G60+July!G60+August!G60+Adj!G60</f>
        <v>859</v>
      </c>
      <c r="H60" s="220">
        <f>September!H60+October!H60+November!H60+December!H60+January!H60+February!H60+March!H60+April!H60+May!H60+June!H60+July!H60+August!H60+Adj!H60</f>
        <v>127</v>
      </c>
      <c r="I60" s="220">
        <f>September!I60+October!I60+November!I60+December!I60+January!I60+February!I60+March!I60+April!I60+May!I60+June!I60+July!I60+August!I60+Adj!I60</f>
        <v>5483</v>
      </c>
      <c r="J60" s="220">
        <f>September!J60+October!J60+November!J60+December!J60+January!J60+February!J60+March!J60+April!J60+May!J60+June!J60+July!J60+August!J60+Adj!J60</f>
        <v>4738</v>
      </c>
      <c r="K60" s="220">
        <f>September!K60+October!K60+November!K60+December!K60+January!K60+February!K60+March!K60+April!K60+May!K60+June!K60+July!K60+August!K60+Adj!K60</f>
        <v>0</v>
      </c>
      <c r="L60" s="288">
        <f>September!L60+October!L60+November!L60+December!L60+January!L60+February!L60+March!L60+April!L60+May!L60+June!L60+July!L60+August!L60+Adj!L60</f>
        <v>98606</v>
      </c>
      <c r="M60" s="220">
        <f>September!M60+October!M60+November!M60+December!M60+January!M60+February!M60+March!M60+April!M60+May!M60+June!M60+July!M60+August!M60+Adj!M60</f>
        <v>12819</v>
      </c>
      <c r="N60" s="220">
        <f>September!N60+October!N60+November!N60+December!N60+January!N60+February!N60+March!N60+April!N60+May!N60+June!N60+July!N60+August!N60+Adj!N60</f>
        <v>21109</v>
      </c>
      <c r="O60" s="220">
        <f>September!O60+October!O60+November!O60+December!O60+January!O60+February!O60+March!O60+April!O60+May!O60+June!O60+July!O60+August!O60+Adj!O60</f>
        <v>7778</v>
      </c>
      <c r="P60" s="220">
        <f>September!P60+October!P60+November!P60+December!P60+January!P60+February!P60+March!P60+April!P60+May!P60+June!P60+July!P60+August!P60+Adj!P60</f>
        <v>563</v>
      </c>
      <c r="Q60" s="220">
        <f>September!Q60+October!Q60+November!Q60+December!Q60+January!Q60+February!Q60+March!Q60+April!Q60+May!Q60+June!Q60+July!Q60+August!Q60+Adj!Q60</f>
        <v>947</v>
      </c>
      <c r="R60" s="220">
        <f>September!R60+October!R60+November!R60+December!R60+January!R60+February!R60+March!R60+April!R60+May!R60+June!R60+July!R60+August!R60+Adj!R60</f>
        <v>1069</v>
      </c>
      <c r="S60" s="220">
        <f>September!S60+October!S60+November!S60+December!S60+January!S60+February!S60+March!S60+April!S60+May!S60+June!S60+July!S60+August!S60+Adj!S60</f>
        <v>190</v>
      </c>
      <c r="T60" s="220">
        <f>September!T60+October!T60+November!T60+December!T60+January!T60+February!T60+March!T60+April!T60+May!T60+June!T60+July!T60+August!T60+Adj!T60</f>
        <v>525</v>
      </c>
      <c r="U60" s="220">
        <f>September!U60+October!U60+November!U60+December!U60+January!U60+February!U60+March!U60+April!U60+May!U60+June!U60+July!U60+August!U60+Adj!U60</f>
        <v>0</v>
      </c>
      <c r="V60" s="288">
        <f>September!V60+October!V60+November!V60+December!V60+January!V60+February!V60+March!V60+April!V60+May!V60+June!V60+July!V60+August!V60+Adj!V60</f>
        <v>45000</v>
      </c>
      <c r="W60" s="220">
        <f>September!W60+October!W60+November!W60+December!W60+January!W60+February!W60+March!W60+April!W60+May!W60+June!W60+July!W60+August!W60+Adj!W60</f>
        <v>2174</v>
      </c>
      <c r="X60" s="220">
        <f>September!X60+October!X60+November!X60+December!X60+January!X60+February!X60+March!X60+April!X60+May!X60+June!X60+July!X60+August!X60+Adj!X60</f>
        <v>0</v>
      </c>
      <c r="Y60" s="220">
        <f>September!Y60+October!Y60+November!Y60+December!Y60+January!Y60+February!Y60+March!Y60+April!Y60+May!Y60+June!Y60+July!Y60+August!Y60+Adj!Y60</f>
        <v>0</v>
      </c>
      <c r="Z60" s="220">
        <f>September!Z60+October!Z60+November!Z60+December!Z60+January!Z60+February!Z60+March!Z60+April!Z60+May!Z60+June!Z60+July!Z60+August!Z60+Adj!Z60</f>
        <v>145780</v>
      </c>
      <c r="AA60" s="220">
        <f>September!AA60+October!AA60+November!AA60+December!AA60+January!AA60+February!AA60+March!AA60+April!AA60+May!AA60+June!AA60+July!AA60+August!AA60+Adj!AA60</f>
        <v>99983</v>
      </c>
    </row>
    <row r="61" spans="1:30" x14ac:dyDescent="0.25">
      <c r="A61" s="117" t="s">
        <v>120</v>
      </c>
      <c r="B61" s="137" t="s">
        <v>318</v>
      </c>
      <c r="C61" s="220">
        <f>September!C61+October!C61+November!C61+December!C61+January!C61+February!C61+March!C61+April!C61+May!C61+June!C61+July!C61+August!C61+Adj!C61</f>
        <v>69660</v>
      </c>
      <c r="D61" s="220">
        <f>September!D61+October!D61+November!D61+December!D61+January!D61+February!D61+March!D61+April!D61+May!D61+June!D61+July!D61+August!D61+Adj!D61</f>
        <v>21650</v>
      </c>
      <c r="E61" s="220">
        <f>September!E61+October!E61+November!E61+December!E61+January!E61+February!E61+March!E61+April!E61+May!E61+June!E61+July!E61+August!E61+Adj!E61</f>
        <v>22407</v>
      </c>
      <c r="F61" s="220">
        <f>September!F61+October!F61+November!F61+December!F61+January!F61+February!F61+March!F61+April!F61+May!F61+June!F61+July!F61+August!F61+Adj!F61</f>
        <v>885</v>
      </c>
      <c r="G61" s="220">
        <f>September!G61+October!G61+November!G61+December!G61+January!G61+February!G61+March!G61+April!G61+May!G61+June!G61+July!G61+August!G61+Adj!G61</f>
        <v>1492</v>
      </c>
      <c r="H61" s="220">
        <f>September!H61+October!H61+November!H61+December!H61+January!H61+February!H61+March!H61+April!H61+May!H61+June!H61+July!H61+August!H61+Adj!H61</f>
        <v>179</v>
      </c>
      <c r="I61" s="220">
        <f>September!I61+October!I61+November!I61+December!I61+January!I61+February!I61+March!I61+April!I61+May!I61+June!I61+July!I61+August!I61+Adj!I61</f>
        <v>812</v>
      </c>
      <c r="J61" s="220">
        <f>September!J61+October!J61+November!J61+December!J61+January!J61+February!J61+March!J61+April!J61+May!J61+June!J61+July!J61+August!J61+Adj!J61</f>
        <v>8574</v>
      </c>
      <c r="K61" s="220">
        <f>September!K61+October!K61+November!K61+December!K61+January!K61+February!K61+March!K61+April!K61+May!K61+June!K61+July!K61+August!K61+Adj!K61</f>
        <v>5535</v>
      </c>
      <c r="L61" s="288">
        <f>September!L61+October!L61+November!L61+December!L61+January!L61+February!L61+March!L61+April!L61+May!L61+June!L61+July!L61+August!L61+Adj!L61</f>
        <v>131194</v>
      </c>
      <c r="M61" s="220">
        <f>September!M61+October!M61+November!M61+December!M61+January!M61+February!M61+March!M61+April!M61+May!M61+June!M61+July!M61+August!M61+Adj!M61</f>
        <v>26401</v>
      </c>
      <c r="N61" s="220">
        <f>September!N61+October!N61+November!N61+December!N61+January!N61+February!N61+March!N61+April!N61+May!N61+June!N61+July!N61+August!N61+Adj!N61</f>
        <v>22808</v>
      </c>
      <c r="O61" s="220">
        <f>September!O61+October!O61+November!O61+December!O61+January!O61+February!O61+March!O61+April!O61+May!O61+June!O61+July!O61+August!O61+Adj!O61</f>
        <v>17970</v>
      </c>
      <c r="P61" s="220">
        <f>September!P61+October!P61+November!P61+December!P61+January!P61+February!P61+March!P61+April!P61+May!P61+June!P61+July!P61+August!P61+Adj!P61</f>
        <v>900</v>
      </c>
      <c r="Q61" s="220">
        <f>September!Q61+October!Q61+November!Q61+December!Q61+January!Q61+February!Q61+March!Q61+April!Q61+May!Q61+June!Q61+July!Q61+August!Q61+Adj!Q61</f>
        <v>814</v>
      </c>
      <c r="R61" s="220">
        <f>September!R61+October!R61+November!R61+December!R61+January!R61+February!R61+March!R61+April!R61+May!R61+June!R61+July!R61+August!R61+Adj!R61</f>
        <v>904</v>
      </c>
      <c r="S61" s="220">
        <f>September!S61+October!S61+November!S61+December!S61+January!S61+February!S61+March!S61+April!S61+May!S61+June!S61+July!S61+August!S61+Adj!S61</f>
        <v>11</v>
      </c>
      <c r="T61" s="220">
        <f>September!T61+October!T61+November!T61+December!T61+January!T61+February!T61+March!T61+April!T61+May!T61+June!T61+July!T61+August!T61+Adj!T61</f>
        <v>987</v>
      </c>
      <c r="U61" s="220">
        <f>September!U61+October!U61+November!U61+December!U61+January!U61+February!U61+March!U61+April!U61+May!U61+June!U61+July!U61+August!U61+Adj!U61</f>
        <v>41</v>
      </c>
      <c r="V61" s="288">
        <f>September!V61+October!V61+November!V61+December!V61+January!V61+February!V61+March!V61+April!V61+May!V61+June!V61+July!V61+August!V61+Adj!V61</f>
        <v>70836</v>
      </c>
      <c r="W61" s="220">
        <f>September!W61+October!W61+November!W61+December!W61+January!W61+February!W61+March!W61+April!W61+May!W61+June!W61+July!W61+August!W61+Adj!W61</f>
        <v>5259</v>
      </c>
      <c r="X61" s="220">
        <f>September!X61+October!X61+November!X61+December!X61+January!X61+February!X61+March!X61+April!X61+May!X61+June!X61+July!X61+August!X61+Adj!X61</f>
        <v>0</v>
      </c>
      <c r="Y61" s="220">
        <f>September!Y61+October!Y61+November!Y61+December!Y61+January!Y61+February!Y61+March!Y61+April!Y61+May!Y61+June!Y61+July!Y61+August!Y61+Adj!Y61</f>
        <v>0</v>
      </c>
      <c r="Z61" s="220">
        <f>September!Z61+October!Z61+November!Z61+December!Z61+January!Z61+February!Z61+March!Z61+April!Z61+May!Z61+June!Z61+July!Z61+August!Z61+Adj!Z61</f>
        <v>207289</v>
      </c>
      <c r="AA61" s="220">
        <f>September!AA61+October!AA61+November!AA61+December!AA61+January!AA61+February!AA61+March!AA61+April!AA61+May!AA61+June!AA61+July!AA61+August!AA61+Adj!AA61</f>
        <v>147880</v>
      </c>
    </row>
    <row r="62" spans="1:30" x14ac:dyDescent="0.25">
      <c r="A62" s="117" t="s">
        <v>131</v>
      </c>
      <c r="B62" s="137" t="s">
        <v>308</v>
      </c>
      <c r="C62" s="220">
        <f>September!C62+October!C62+November!C62+December!C62+January!C62+February!C62+March!C62+April!C62+May!C62+June!C62+July!C62+August!C62+Adj!C62</f>
        <v>28513</v>
      </c>
      <c r="D62" s="220">
        <f>September!D62+October!D62+November!D62+December!D62+January!D62+February!D62+March!D62+April!D62+May!D62+June!D62+July!D62+August!D62+Adj!D62</f>
        <v>11590</v>
      </c>
      <c r="E62" s="220">
        <f>September!E62+October!E62+November!E62+December!E62+January!E62+February!E62+March!E62+April!E62+May!E62+June!E62+July!E62+August!E62+Adj!E62</f>
        <v>12445</v>
      </c>
      <c r="F62" s="220">
        <f>September!F62+October!F62+November!F62+December!F62+January!F62+February!F62+March!F62+April!F62+May!F62+June!F62+July!F62+August!F62+Adj!F62</f>
        <v>1022</v>
      </c>
      <c r="G62" s="220">
        <f>September!G62+October!G62+November!G62+December!G62+January!G62+February!G62+March!G62+April!G62+May!G62+June!G62+July!G62+August!G62+Adj!G62</f>
        <v>912</v>
      </c>
      <c r="H62" s="220">
        <f>September!H62+October!H62+November!H62+December!H62+January!H62+February!H62+March!H62+April!H62+May!H62+June!H62+July!H62+August!H62+Adj!H62</f>
        <v>40</v>
      </c>
      <c r="I62" s="220">
        <f>September!I62+October!I62+November!I62+December!I62+January!I62+February!I62+March!I62+April!I62+May!I62+June!I62+July!I62+August!I62+Adj!I62</f>
        <v>152</v>
      </c>
      <c r="J62" s="220">
        <f>September!J62+October!J62+November!J62+December!J62+January!J62+February!J62+March!J62+April!J62+May!J62+June!J62+July!J62+August!J62+Adj!J62</f>
        <v>4816</v>
      </c>
      <c r="K62" s="220">
        <f>September!K62+October!K62+November!K62+December!K62+January!K62+February!K62+March!K62+April!K62+May!K62+June!K62+July!K62+August!K62+Adj!K62</f>
        <v>1</v>
      </c>
      <c r="L62" s="288">
        <f>September!L62+October!L62+November!L62+December!L62+January!L62+February!L62+March!L62+April!L62+May!L62+June!L62+July!L62+August!L62+Adj!L62</f>
        <v>59491</v>
      </c>
      <c r="M62" s="220">
        <f>September!M62+October!M62+November!M62+December!M62+January!M62+February!M62+March!M62+April!M62+May!M62+June!M62+July!M62+August!M62+Adj!M62</f>
        <v>18187</v>
      </c>
      <c r="N62" s="220">
        <f>September!N62+October!N62+November!N62+December!N62+January!N62+February!N62+March!N62+April!N62+May!N62+June!N62+July!N62+August!N62+Adj!N62</f>
        <v>26401</v>
      </c>
      <c r="O62" s="220">
        <f>September!O62+October!O62+November!O62+December!O62+January!O62+February!O62+March!O62+April!O62+May!O62+June!O62+July!O62+August!O62+Adj!O62</f>
        <v>16601</v>
      </c>
      <c r="P62" s="220">
        <f>September!P62+October!P62+November!P62+December!P62+January!P62+February!P62+March!P62+April!P62+May!P62+June!P62+July!P62+August!P62+Adj!P62</f>
        <v>865</v>
      </c>
      <c r="Q62" s="220">
        <f>September!Q62+October!Q62+November!Q62+December!Q62+January!Q62+February!Q62+March!Q62+April!Q62+May!Q62+June!Q62+July!Q62+August!Q62+Adj!Q62</f>
        <v>803</v>
      </c>
      <c r="R62" s="220">
        <f>September!R62+October!R62+November!R62+December!R62+January!R62+February!R62+March!R62+April!R62+May!R62+June!R62+July!R62+August!R62+Adj!R62</f>
        <v>216</v>
      </c>
      <c r="S62" s="220">
        <f>September!S62+October!S62+November!S62+December!S62+January!S62+February!S62+March!S62+April!S62+May!S62+June!S62+July!S62+August!S62+Adj!S62</f>
        <v>0</v>
      </c>
      <c r="T62" s="220">
        <f>September!T62+October!T62+November!T62+December!T62+January!T62+February!T62+March!T62+April!T62+May!T62+June!T62+July!T62+August!T62+Adj!T62</f>
        <v>399</v>
      </c>
      <c r="U62" s="220">
        <f>September!U62+October!U62+November!U62+December!U62+January!U62+February!U62+March!U62+April!U62+May!U62+June!U62+July!U62+August!U62+Adj!U62</f>
        <v>0</v>
      </c>
      <c r="V62" s="288">
        <f>September!V62+October!V62+November!V62+December!V62+January!V62+February!V62+March!V62+April!V62+May!V62+June!V62+July!V62+August!V62+Adj!V62</f>
        <v>63472</v>
      </c>
      <c r="W62" s="220">
        <f>September!W62+October!W62+November!W62+December!W62+January!W62+February!W62+March!W62+April!W62+May!W62+June!W62+July!W62+August!W62+Adj!W62</f>
        <v>14988</v>
      </c>
      <c r="X62" s="220">
        <f>September!X62+October!X62+November!X62+December!X62+January!X62+February!X62+March!X62+April!X62+May!X62+June!X62+July!X62+August!X62+Adj!X62</f>
        <v>0</v>
      </c>
      <c r="Y62" s="220">
        <f>September!Y62+October!Y62+November!Y62+December!Y62+January!Y62+February!Y62+March!Y62+April!Y62+May!Y62+June!Y62+July!Y62+August!Y62+Adj!Y62</f>
        <v>0</v>
      </c>
      <c r="Z62" s="220">
        <f>September!Z62+October!Z62+November!Z62+December!Z62+January!Z62+February!Z62+March!Z62+April!Z62+May!Z62+June!Z62+July!Z62+August!Z62+Adj!Z62</f>
        <v>137951</v>
      </c>
      <c r="AA62" s="220">
        <f>September!AA62+October!AA62+November!AA62+December!AA62+January!AA62+February!AA62+March!AA62+April!AA62+May!AA62+June!AA62+July!AA62+August!AA62+Adj!AA62</f>
        <v>86579</v>
      </c>
    </row>
    <row r="63" spans="1:30" ht="26.4" x14ac:dyDescent="0.25">
      <c r="A63" s="117" t="s">
        <v>133</v>
      </c>
      <c r="B63" s="137" t="s">
        <v>319</v>
      </c>
      <c r="C63" s="220">
        <f>September!C63+October!C63+November!C63+December!C63+January!C63+February!C63+March!C63+April!C63+May!C63+June!C63+July!C63+August!C63+Adj!C63</f>
        <v>9017</v>
      </c>
      <c r="D63" s="220">
        <f>September!D63+October!D63+November!D63+December!D63+January!D63+February!D63+March!D63+April!D63+May!D63+June!D63+July!D63+August!D63+Adj!D63</f>
        <v>7848</v>
      </c>
      <c r="E63" s="220">
        <f>September!E63+October!E63+November!E63+December!E63+January!E63+February!E63+March!E63+April!E63+May!E63+June!E63+July!E63+August!E63+Adj!E63</f>
        <v>3679</v>
      </c>
      <c r="F63" s="220">
        <f>September!F63+October!F63+November!F63+December!F63+January!F63+February!F63+March!F63+April!F63+May!F63+June!F63+July!F63+August!F63+Adj!F63</f>
        <v>422</v>
      </c>
      <c r="G63" s="220">
        <f>September!G63+October!G63+November!G63+December!G63+January!G63+February!G63+March!G63+April!G63+May!G63+June!G63+July!G63+August!G63+Adj!G63</f>
        <v>310</v>
      </c>
      <c r="H63" s="220">
        <f>September!H63+October!H63+November!H63+December!H63+January!H63+February!H63+March!H63+April!H63+May!H63+June!H63+July!H63+August!H63+Adj!H63</f>
        <v>21</v>
      </c>
      <c r="I63" s="220">
        <f>September!I63+October!I63+November!I63+December!I63+January!I63+February!I63+March!I63+April!I63+May!I63+June!I63+July!I63+August!I63+Adj!I63</f>
        <v>200</v>
      </c>
      <c r="J63" s="220">
        <f>September!J63+October!J63+November!J63+December!J63+January!J63+February!J63+March!J63+April!J63+May!J63+June!J63+July!J63+August!J63+Adj!J63</f>
        <v>996</v>
      </c>
      <c r="K63" s="220">
        <f>September!K63+October!K63+November!K63+December!K63+January!K63+February!K63+March!K63+April!K63+May!K63+June!K63+July!K63+August!K63+Adj!K63</f>
        <v>0</v>
      </c>
      <c r="L63" s="288">
        <f>September!L63+October!L63+November!L63+December!L63+January!L63+February!L63+March!L63+April!L63+May!L63+June!L63+July!L63+August!L63+Adj!L63</f>
        <v>22493</v>
      </c>
      <c r="M63" s="220">
        <f>September!M63+October!M63+November!M63+December!M63+January!M63+February!M63+March!M63+April!M63+May!M63+June!M63+July!M63+August!M63+Adj!M63</f>
        <v>4343</v>
      </c>
      <c r="N63" s="220">
        <f>September!N63+October!N63+November!N63+December!N63+January!N63+February!N63+March!N63+April!N63+May!N63+June!N63+July!N63+August!N63+Adj!N63</f>
        <v>5425</v>
      </c>
      <c r="O63" s="220">
        <f>September!O63+October!O63+November!O63+December!O63+January!O63+February!O63+March!O63+April!O63+May!O63+June!O63+July!O63+August!O63+Adj!O63</f>
        <v>3464</v>
      </c>
      <c r="P63" s="220">
        <f>September!P63+October!P63+November!P63+December!P63+January!P63+February!P63+March!P63+April!P63+May!P63+June!P63+July!P63+August!P63+Adj!P63</f>
        <v>177</v>
      </c>
      <c r="Q63" s="220">
        <f>September!Q63+October!Q63+November!Q63+December!Q63+January!Q63+February!Q63+March!Q63+April!Q63+May!Q63+June!Q63+July!Q63+August!Q63+Adj!Q63</f>
        <v>138</v>
      </c>
      <c r="R63" s="220">
        <f>September!R63+October!R63+November!R63+December!R63+January!R63+February!R63+March!R63+April!R63+May!R63+June!R63+July!R63+August!R63+Adj!R63</f>
        <v>48</v>
      </c>
      <c r="S63" s="220">
        <f>September!S63+October!S63+November!S63+December!S63+January!S63+February!S63+March!S63+April!S63+May!S63+June!S63+July!S63+August!S63+Adj!S63</f>
        <v>0</v>
      </c>
      <c r="T63" s="220">
        <f>September!T63+October!T63+November!T63+December!T63+January!T63+February!T63+March!T63+April!T63+May!T63+June!T63+July!T63+August!T63+Adj!T63</f>
        <v>154</v>
      </c>
      <c r="U63" s="220">
        <f>September!U63+October!U63+November!U63+December!U63+January!U63+February!U63+March!U63+April!U63+May!U63+June!U63+July!U63+August!U63+Adj!U63</f>
        <v>0</v>
      </c>
      <c r="V63" s="288">
        <f>September!V63+October!V63+November!V63+December!V63+January!V63+February!V63+March!V63+April!V63+May!V63+June!V63+July!V63+August!V63+Adj!V63</f>
        <v>13749</v>
      </c>
      <c r="W63" s="220">
        <f>September!W63+October!W63+November!W63+December!W63+January!W63+February!W63+March!W63+April!W63+May!W63+June!W63+July!W63+August!W63+Adj!W63</f>
        <v>4707</v>
      </c>
      <c r="X63" s="220">
        <f>September!X63+October!X63+November!X63+December!X63+January!X63+February!X63+March!X63+April!X63+May!X63+June!X63+July!X63+August!X63+Adj!X63</f>
        <v>0</v>
      </c>
      <c r="Y63" s="220">
        <f>September!Y63+October!Y63+November!Y63+December!Y63+January!Y63+February!Y63+March!Y63+April!Y63+May!Y63+June!Y63+July!Y63+August!Y63+Adj!Y63</f>
        <v>0</v>
      </c>
      <c r="Z63" s="220">
        <f>September!Z63+October!Z63+November!Z63+December!Z63+January!Z63+February!Z63+March!Z63+April!Z63+May!Z63+June!Z63+July!Z63+August!Z63+Adj!Z63</f>
        <v>40949</v>
      </c>
      <c r="AA63" s="220">
        <f>September!AA63+October!AA63+November!AA63+December!AA63+January!AA63+February!AA63+March!AA63+April!AA63+May!AA63+June!AA63+July!AA63+August!AA63+Adj!AA63</f>
        <v>27232</v>
      </c>
    </row>
    <row r="64" spans="1:30" ht="26.4" x14ac:dyDescent="0.25">
      <c r="A64" s="117" t="s">
        <v>134</v>
      </c>
      <c r="B64" s="137" t="s">
        <v>320</v>
      </c>
      <c r="C64" s="220">
        <f>September!C64+October!C64+November!C64+December!C64+January!C64+February!C64+March!C64+April!C64+May!C64+June!C64+July!C64+August!C64+Adj!C64</f>
        <v>7471</v>
      </c>
      <c r="D64" s="220">
        <f>September!D64+October!D64+November!D64+December!D64+January!D64+February!D64+March!D64+April!D64+May!D64+June!D64+July!D64+August!D64+Adj!D64</f>
        <v>3711</v>
      </c>
      <c r="E64" s="220">
        <f>September!E64+October!E64+November!E64+December!E64+January!E64+February!E64+March!E64+April!E64+May!E64+June!E64+July!E64+August!E64+Adj!E64</f>
        <v>1528</v>
      </c>
      <c r="F64" s="220">
        <f>September!F64+October!F64+November!F64+December!F64+January!F64+February!F64+March!F64+April!F64+May!F64+June!F64+July!F64+August!F64+Adj!F64</f>
        <v>315</v>
      </c>
      <c r="G64" s="220">
        <f>September!G64+October!G64+November!G64+December!G64+January!G64+February!G64+March!G64+April!G64+May!G64+June!G64+July!G64+August!G64+Adj!G64</f>
        <v>161</v>
      </c>
      <c r="H64" s="220">
        <f>September!H64+October!H64+November!H64+December!H64+January!H64+February!H64+March!H64+April!H64+May!H64+June!H64+July!H64+August!H64+Adj!H64</f>
        <v>0</v>
      </c>
      <c r="I64" s="220">
        <f>September!I64+October!I64+November!I64+December!I64+January!I64+February!I64+March!I64+April!I64+May!I64+June!I64+July!I64+August!I64+Adj!I64</f>
        <v>815</v>
      </c>
      <c r="J64" s="220">
        <f>September!J64+October!J64+November!J64+December!J64+January!J64+February!J64+March!J64+April!J64+May!J64+June!J64+July!J64+August!J64+Adj!J64</f>
        <v>642</v>
      </c>
      <c r="K64" s="220">
        <f>September!K64+October!K64+November!K64+December!K64+January!K64+February!K64+March!K64+April!K64+May!K64+June!K64+July!K64+August!K64+Adj!K64</f>
        <v>0</v>
      </c>
      <c r="L64" s="288">
        <f>September!L64+October!L64+November!L64+December!L64+January!L64+February!L64+March!L64+April!L64+May!L64+June!L64+July!L64+August!L64+Adj!L64</f>
        <v>14643</v>
      </c>
      <c r="M64" s="220">
        <f>September!M64+October!M64+November!M64+December!M64+January!M64+February!M64+March!M64+April!M64+May!M64+June!M64+July!M64+August!M64+Adj!M64</f>
        <v>2321</v>
      </c>
      <c r="N64" s="220">
        <f>September!N64+October!N64+November!N64+December!N64+January!N64+February!N64+March!N64+April!N64+May!N64+June!N64+July!N64+August!N64+Adj!N64</f>
        <v>1865</v>
      </c>
      <c r="O64" s="220">
        <f>September!O64+October!O64+November!O64+December!O64+January!O64+February!O64+March!O64+April!O64+May!O64+June!O64+July!O64+August!O64+Adj!O64</f>
        <v>1515</v>
      </c>
      <c r="P64" s="220">
        <f>September!P64+October!P64+November!P64+December!P64+January!P64+February!P64+March!P64+April!P64+May!P64+June!P64+July!P64+August!P64+Adj!P64</f>
        <v>50</v>
      </c>
      <c r="Q64" s="220">
        <f>September!Q64+October!Q64+November!Q64+December!Q64+January!Q64+February!Q64+March!Q64+April!Q64+May!Q64+June!Q64+July!Q64+August!Q64+Adj!Q64</f>
        <v>70</v>
      </c>
      <c r="R64" s="220">
        <f>September!R64+October!R64+November!R64+December!R64+January!R64+February!R64+March!R64+April!R64+May!R64+June!R64+July!R64+August!R64+Adj!R64</f>
        <v>121</v>
      </c>
      <c r="S64" s="220">
        <f>September!S64+October!S64+November!S64+December!S64+January!S64+February!S64+March!S64+April!S64+May!S64+June!S64+July!S64+August!S64+Adj!S64</f>
        <v>0</v>
      </c>
      <c r="T64" s="220">
        <f>September!T64+October!T64+November!T64+December!T64+January!T64+February!T64+March!T64+April!T64+May!T64+June!T64+July!T64+August!T64+Adj!T64</f>
        <v>14</v>
      </c>
      <c r="U64" s="220">
        <f>September!U64+October!U64+November!U64+December!U64+January!U64+February!U64+March!U64+April!U64+May!U64+June!U64+July!U64+August!U64+Adj!U64</f>
        <v>0</v>
      </c>
      <c r="V64" s="288">
        <f>September!V64+October!V64+November!V64+December!V64+January!V64+February!V64+March!V64+April!V64+May!V64+June!V64+July!V64+August!V64+Adj!V64</f>
        <v>5956</v>
      </c>
      <c r="W64" s="220">
        <f>September!W64+October!W64+November!W64+December!W64+January!W64+February!W64+March!W64+April!W64+May!W64+June!W64+July!W64+August!W64+Adj!W64</f>
        <v>4538</v>
      </c>
      <c r="X64" s="220">
        <f>September!X64+October!X64+November!X64+December!X64+January!X64+February!X64+March!X64+April!X64+May!X64+June!X64+July!X64+August!X64+Adj!X64</f>
        <v>0</v>
      </c>
      <c r="Y64" s="220">
        <f>September!Y64+October!Y64+November!Y64+December!Y64+January!Y64+February!Y64+March!Y64+April!Y64+May!Y64+June!Y64+July!Y64+August!Y64+Adj!Y64</f>
        <v>0</v>
      </c>
      <c r="Z64" s="220">
        <f>September!Z64+October!Z64+November!Z64+December!Z64+January!Z64+February!Z64+March!Z64+April!Z64+May!Z64+June!Z64+July!Z64+August!Z64+Adj!Z64</f>
        <v>25137</v>
      </c>
      <c r="AA64" s="220">
        <f>September!AA64+October!AA64+November!AA64+December!AA64+January!AA64+February!AA64+March!AA64+April!AA64+May!AA64+June!AA64+July!AA64+August!AA64+Adj!AA64</f>
        <v>15733</v>
      </c>
    </row>
    <row r="65" spans="1:30" x14ac:dyDescent="0.25">
      <c r="A65" s="117" t="s">
        <v>145</v>
      </c>
      <c r="B65" s="137" t="s">
        <v>309</v>
      </c>
      <c r="C65" s="220">
        <f>September!C65+October!C65+November!C65+December!C65+January!C65+February!C65+March!C65+April!C65+May!C65+June!C65+July!C65+August!C65+Adj!C65</f>
        <v>10968</v>
      </c>
      <c r="D65" s="220">
        <f>September!D65+October!D65+November!D65+December!D65+January!D65+February!D65+March!D65+April!D65+May!D65+June!D65+July!D65+August!D65+Adj!D65</f>
        <v>4083</v>
      </c>
      <c r="E65" s="220">
        <f>September!E65+October!E65+November!E65+December!E65+January!E65+February!E65+March!E65+April!E65+May!E65+June!E65+July!E65+August!E65+Adj!E65</f>
        <v>3514</v>
      </c>
      <c r="F65" s="220">
        <f>September!F65+October!F65+November!F65+December!F65+January!F65+February!F65+March!F65+April!F65+May!F65+June!F65+July!F65+August!F65+Adj!F65</f>
        <v>694</v>
      </c>
      <c r="G65" s="220">
        <f>September!G65+October!G65+November!G65+December!G65+January!G65+February!G65+March!G65+April!G65+May!G65+June!G65+July!G65+August!G65+Adj!G65</f>
        <v>394</v>
      </c>
      <c r="H65" s="220">
        <f>September!H65+October!H65+November!H65+December!H65+January!H65+February!H65+March!H65+April!H65+May!H65+June!H65+July!H65+August!H65+Adj!H65</f>
        <v>1</v>
      </c>
      <c r="I65" s="220">
        <f>September!I65+October!I65+November!I65+December!I65+January!I65+February!I65+March!I65+April!I65+May!I65+June!I65+July!I65+August!I65+Adj!I65</f>
        <v>25</v>
      </c>
      <c r="J65" s="220">
        <f>September!J65+October!J65+November!J65+December!J65+January!J65+February!J65+March!J65+April!J65+May!J65+June!J65+July!J65+August!J65+Adj!J65</f>
        <v>2518</v>
      </c>
      <c r="K65" s="220">
        <f>September!K65+October!K65+November!K65+December!K65+January!K65+February!K65+March!K65+April!K65+May!K65+June!K65+July!K65+August!K65+Adj!K65</f>
        <v>0</v>
      </c>
      <c r="L65" s="288">
        <f>September!L65+October!L65+November!L65+December!L65+January!L65+February!L65+March!L65+April!L65+May!L65+June!L65+July!L65+August!L65+Adj!L65</f>
        <v>22197</v>
      </c>
      <c r="M65" s="220">
        <f>September!M65+October!M65+November!M65+December!M65+January!M65+February!M65+March!M65+April!M65+May!M65+June!M65+July!M65+August!M65+Adj!M65</f>
        <v>16653</v>
      </c>
      <c r="N65" s="220">
        <f>September!N65+October!N65+November!N65+December!N65+January!N65+February!N65+March!N65+April!N65+May!N65+June!N65+July!N65+August!N65+Adj!N65</f>
        <v>12341</v>
      </c>
      <c r="O65" s="220">
        <f>September!O65+October!O65+November!O65+December!O65+January!O65+February!O65+March!O65+April!O65+May!O65+June!O65+July!O65+August!O65+Adj!O65</f>
        <v>11931</v>
      </c>
      <c r="P65" s="220">
        <f>September!P65+October!P65+November!P65+December!P65+January!P65+February!P65+March!P65+April!P65+May!P65+June!P65+July!P65+August!P65+Adj!P65</f>
        <v>470</v>
      </c>
      <c r="Q65" s="220">
        <f>September!Q65+October!Q65+November!Q65+December!Q65+January!Q65+February!Q65+March!Q65+April!Q65+May!Q65+June!Q65+July!Q65+August!Q65+Adj!Q65</f>
        <v>453</v>
      </c>
      <c r="R65" s="220">
        <f>September!R65+October!R65+November!R65+December!R65+January!R65+February!R65+March!R65+April!R65+May!R65+June!R65+July!R65+August!R65+Adj!R65</f>
        <v>794</v>
      </c>
      <c r="S65" s="220">
        <f>September!S65+October!S65+November!S65+December!S65+January!S65+February!S65+March!S65+April!S65+May!S65+June!S65+July!S65+August!S65+Adj!S65</f>
        <v>7</v>
      </c>
      <c r="T65" s="220">
        <f>September!T65+October!T65+November!T65+December!T65+January!T65+February!T65+March!T65+April!T65+May!T65+June!T65+July!T65+August!T65+Adj!T65</f>
        <v>2530</v>
      </c>
      <c r="U65" s="220">
        <f>September!U65+October!U65+November!U65+December!U65+January!U65+February!U65+March!U65+April!U65+May!U65+June!U65+July!U65+August!U65+Adj!U65</f>
        <v>0</v>
      </c>
      <c r="V65" s="288">
        <f>September!V65+October!V65+November!V65+December!V65+January!V65+February!V65+March!V65+April!V65+May!V65+June!V65+July!V65+August!V65+Adj!V65</f>
        <v>45179</v>
      </c>
      <c r="W65" s="220">
        <f>September!W65+October!W65+November!W65+December!W65+January!W65+February!W65+March!W65+April!W65+May!W65+June!W65+July!W65+August!W65+Adj!W65</f>
        <v>4997</v>
      </c>
      <c r="X65" s="220">
        <f>September!X65+October!X65+November!X65+December!X65+January!X65+February!X65+March!X65+April!X65+May!X65+June!X65+July!X65+August!X65+Adj!X65</f>
        <v>0</v>
      </c>
      <c r="Y65" s="220">
        <f>September!Y65+October!Y65+November!Y65+December!Y65+January!Y65+February!Y65+March!Y65+April!Y65+May!Y65+June!Y65+July!Y65+August!Y65+Adj!Y65</f>
        <v>0</v>
      </c>
      <c r="Z65" s="220">
        <f>September!Z65+October!Z65+November!Z65+December!Z65+January!Z65+February!Z65+March!Z65+April!Z65+May!Z65+June!Z65+July!Z65+August!Z65+Adj!Z65</f>
        <v>72373</v>
      </c>
      <c r="AA65" s="220">
        <f>September!AA65+October!AA65+November!AA65+December!AA65+January!AA65+February!AA65+March!AA65+April!AA65+May!AA65+June!AA65+July!AA65+August!AA65+Adj!AA65</f>
        <v>45209</v>
      </c>
    </row>
    <row r="66" spans="1:30" x14ac:dyDescent="0.25">
      <c r="A66" s="117" t="s">
        <v>149</v>
      </c>
      <c r="B66" s="137" t="s">
        <v>353</v>
      </c>
      <c r="C66" s="220">
        <f>September!C66+October!C66+November!C66+December!C66+January!C66+February!C66+March!C66+April!C66+May!C66+June!C66+July!C66+August!C66+Adj!C66</f>
        <v>2575</v>
      </c>
      <c r="D66" s="220">
        <f>September!D66+October!D66+November!D66+December!D66+January!D66+February!D66+March!D66+April!D66+May!D66+June!D66+July!D66+August!D66+Adj!D66</f>
        <v>1243</v>
      </c>
      <c r="E66" s="220">
        <f>September!E66+October!E66+November!E66+December!E66+January!E66+February!E66+March!E66+April!E66+May!E66+June!E66+July!E66+August!E66+Adj!E66</f>
        <v>938</v>
      </c>
      <c r="F66" s="220">
        <f>September!F66+October!F66+November!F66+December!F66+January!F66+February!F66+March!F66+April!F66+May!F66+June!F66+July!F66+August!F66+Adj!F66</f>
        <v>237</v>
      </c>
      <c r="G66" s="220">
        <f>September!G66+October!G66+November!G66+December!G66+January!G66+February!G66+March!G66+April!G66+May!G66+June!G66+July!G66+August!G66+Adj!G66</f>
        <v>62</v>
      </c>
      <c r="H66" s="220">
        <f>September!H66+October!H66+November!H66+December!H66+January!H66+February!H66+March!H66+April!H66+May!H66+June!H66+July!H66+August!H66+Adj!H66</f>
        <v>25</v>
      </c>
      <c r="I66" s="220">
        <f>September!I66+October!I66+November!I66+December!I66+January!I66+February!I66+March!I66+April!I66+May!I66+June!I66+July!I66+August!I66+Adj!I66</f>
        <v>1448</v>
      </c>
      <c r="J66" s="220">
        <f>September!J66+October!J66+November!J66+December!J66+January!J66+February!J66+March!J66+April!J66+May!J66+June!J66+July!J66+August!J66+Adj!J66</f>
        <v>342</v>
      </c>
      <c r="K66" s="220">
        <f>September!K66+October!K66+November!K66+December!K66+January!K66+February!K66+March!K66+April!K66+May!K66+June!K66+July!K66+August!K66+Adj!K66</f>
        <v>0</v>
      </c>
      <c r="L66" s="288">
        <f>September!L66+October!L66+November!L66+December!L66+January!L66+February!L66+March!L66+April!L66+May!L66+June!L66+July!L66+August!L66+Adj!L66</f>
        <v>6870</v>
      </c>
      <c r="M66" s="220">
        <f>September!M66+October!M66+November!M66+December!M66+January!M66+February!M66+March!M66+April!M66+May!M66+June!M66+July!M66+August!M66+Adj!M66</f>
        <v>1980</v>
      </c>
      <c r="N66" s="220">
        <f>September!N66+October!N66+November!N66+December!N66+January!N66+February!N66+March!N66+April!N66+May!N66+June!N66+July!N66+August!N66+Adj!N66</f>
        <v>1832</v>
      </c>
      <c r="O66" s="220">
        <f>September!O66+October!O66+November!O66+December!O66+January!O66+February!O66+March!O66+April!O66+May!O66+June!O66+July!O66+August!O66+Adj!O66</f>
        <v>1317</v>
      </c>
      <c r="P66" s="220">
        <f>September!P66+October!P66+November!P66+December!P66+January!P66+February!P66+March!P66+April!P66+May!P66+June!P66+July!P66+August!P66+Adj!P66</f>
        <v>67</v>
      </c>
      <c r="Q66" s="220">
        <f>September!Q66+October!Q66+November!Q66+December!Q66+January!Q66+February!Q66+March!Q66+April!Q66+May!Q66+June!Q66+July!Q66+August!Q66+Adj!Q66</f>
        <v>69</v>
      </c>
      <c r="R66" s="220">
        <f>September!R66+October!R66+November!R66+December!R66+January!R66+February!R66+March!R66+April!R66+May!R66+June!R66+July!R66+August!R66+Adj!R66</f>
        <v>82</v>
      </c>
      <c r="S66" s="220">
        <f>September!S66+October!S66+November!S66+December!S66+January!S66+February!S66+March!S66+April!S66+May!S66+June!S66+July!S66+August!S66+Adj!S66</f>
        <v>0</v>
      </c>
      <c r="T66" s="220">
        <f>September!T66+October!T66+November!T66+December!T66+January!T66+February!T66+March!T66+April!T66+May!T66+June!T66+July!T66+August!T66+Adj!T66</f>
        <v>0</v>
      </c>
      <c r="U66" s="220">
        <f>September!U66+October!U66+November!U66+December!U66+January!U66+February!U66+March!U66+April!U66+May!U66+June!U66+July!U66+August!U66+Adj!U66</f>
        <v>0</v>
      </c>
      <c r="V66" s="288">
        <f>September!V66+October!V66+November!V66+December!V66+January!V66+February!V66+March!V66+April!V66+May!V66+June!V66+July!V66+August!V66+Adj!V66</f>
        <v>5347</v>
      </c>
      <c r="W66" s="220">
        <f>September!W66+October!W66+November!W66+December!W66+January!W66+February!W66+March!W66+April!W66+May!W66+June!W66+July!W66+August!W66+Adj!W66</f>
        <v>3241</v>
      </c>
      <c r="X66" s="220">
        <f>September!X66+October!X66+November!X66+December!X66+January!X66+February!X66+March!X66+April!X66+May!X66+June!X66+July!X66+August!X66+Adj!X66</f>
        <v>0</v>
      </c>
      <c r="Y66" s="220">
        <f>September!Y66+October!Y66+November!Y66+December!Y66+January!Y66+February!Y66+March!Y66+April!Y66+May!Y66+June!Y66+July!Y66+August!Y66+Adj!Y66</f>
        <v>0</v>
      </c>
      <c r="Z66" s="220">
        <f>September!Z66+October!Z66+November!Z66+December!Z66+January!Z66+February!Z66+March!Z66+April!Z66+May!Z66+June!Z66+July!Z66+August!Z66+Adj!Z66</f>
        <v>15458</v>
      </c>
      <c r="AA66" s="220">
        <f>September!AA66+October!AA66+November!AA66+December!AA66+January!AA66+February!AA66+March!AA66+April!AA66+May!AA66+June!AA66+July!AA66+August!AA66+Adj!AA66</f>
        <v>7934</v>
      </c>
    </row>
    <row r="67" spans="1:30" x14ac:dyDescent="0.25">
      <c r="A67" s="117" t="s">
        <v>182</v>
      </c>
      <c r="B67" s="137" t="s">
        <v>357</v>
      </c>
      <c r="C67" s="220">
        <f>September!C67+October!C67+November!C67+December!C67+January!C67+February!C67+March!C67+April!C67+May!C67+June!C67+July!C67+August!C67+Adj!C67</f>
        <v>23619</v>
      </c>
      <c r="D67" s="220">
        <f>September!D67+October!D67+November!D67+December!D67+January!D67+February!D67+March!D67+April!D67+May!D67+June!D67+July!D67+August!D67+Adj!D67</f>
        <v>3311</v>
      </c>
      <c r="E67" s="220">
        <f>September!E67+October!E67+November!E67+December!E67+January!E67+February!E67+March!E67+April!E67+May!E67+June!E67+July!E67+August!E67+Adj!E67</f>
        <v>9972</v>
      </c>
      <c r="F67" s="220">
        <f>September!F67+October!F67+November!F67+December!F67+January!F67+February!F67+March!F67+April!F67+May!F67+June!F67+July!F67+August!F67+Adj!F67</f>
        <v>371</v>
      </c>
      <c r="G67" s="220">
        <f>September!G67+October!G67+November!G67+December!G67+January!G67+February!G67+March!G67+April!G67+May!G67+June!G67+July!G67+August!G67+Adj!G67</f>
        <v>237</v>
      </c>
      <c r="H67" s="220">
        <f>September!H67+October!H67+November!H67+December!H67+January!H67+February!H67+March!H67+April!H67+May!H67+June!H67+July!H67+August!H67+Adj!H67</f>
        <v>0</v>
      </c>
      <c r="I67" s="220">
        <f>September!I67+October!I67+November!I67+December!I67+January!I67+February!I67+March!I67+April!I67+May!I67+June!I67+July!I67+August!I67+Adj!I67</f>
        <v>112</v>
      </c>
      <c r="J67" s="220">
        <f>September!J67+October!J67+November!J67+December!J67+January!J67+February!J67+March!J67+April!J67+May!J67+June!J67+July!J67+August!J67+Adj!J67</f>
        <v>799</v>
      </c>
      <c r="K67" s="220">
        <f>September!K67+October!K67+November!K67+December!K67+January!K67+February!K67+March!K67+April!K67+May!K67+June!K67+July!K67+August!K67+Adj!K67</f>
        <v>2</v>
      </c>
      <c r="L67" s="288">
        <f>September!L67+October!L67+November!L67+December!L67+January!L67+February!L67+March!L67+April!L67+May!L67+June!L67+July!L67+August!L67+Adj!L67</f>
        <v>38423</v>
      </c>
      <c r="M67" s="220">
        <f>September!M67+October!M67+November!M67+December!M67+January!M67+February!M67+March!M67+April!M67+May!M67+June!M67+July!M67+August!M67+Adj!M67</f>
        <v>4391</v>
      </c>
      <c r="N67" s="220">
        <f>September!N67+October!N67+November!N67+December!N67+January!N67+February!N67+March!N67+April!N67+May!N67+June!N67+July!N67+August!N67+Adj!N67</f>
        <v>4872</v>
      </c>
      <c r="O67" s="220">
        <f>September!O67+October!O67+November!O67+December!O67+January!O67+February!O67+March!O67+April!O67+May!O67+June!O67+July!O67+August!O67+Adj!O67</f>
        <v>2279</v>
      </c>
      <c r="P67" s="220">
        <f>September!P67+October!P67+November!P67+December!P67+January!P67+February!P67+March!P67+April!P67+May!P67+June!P67+July!P67+August!P67+Adj!P67</f>
        <v>95</v>
      </c>
      <c r="Q67" s="220">
        <f>September!Q67+October!Q67+November!Q67+December!Q67+January!Q67+February!Q67+March!Q67+April!Q67+May!Q67+June!Q67+July!Q67+August!Q67+Adj!Q67</f>
        <v>247</v>
      </c>
      <c r="R67" s="220">
        <f>September!R67+October!R67+November!R67+December!R67+January!R67+February!R67+March!R67+April!R67+May!R67+June!R67+July!R67+August!R67+Adj!R67</f>
        <v>181</v>
      </c>
      <c r="S67" s="220">
        <f>September!S67+October!S67+November!S67+December!S67+January!S67+February!S67+March!S67+April!S67+May!S67+June!S67+July!S67+August!S67+Adj!S67</f>
        <v>0</v>
      </c>
      <c r="T67" s="220">
        <f>September!T67+October!T67+November!T67+December!T67+January!T67+February!T67+March!T67+April!T67+May!T67+June!T67+July!T67+August!T67+Adj!T67</f>
        <v>102</v>
      </c>
      <c r="U67" s="220">
        <f>September!U67+October!U67+November!U67+December!U67+January!U67+February!U67+March!U67+April!U67+May!U67+June!U67+July!U67+August!U67+Adj!U67</f>
        <v>0</v>
      </c>
      <c r="V67" s="288">
        <f>September!V67+October!V67+November!V67+December!V67+January!V67+February!V67+March!V67+April!V67+May!V67+June!V67+July!V67+August!V67+Adj!V67</f>
        <v>12167</v>
      </c>
      <c r="W67" s="220">
        <f>September!W67+October!W67+November!W67+December!W67+January!W67+February!W67+March!W67+April!W67+May!W67+June!W67+July!W67+August!W67+Adj!W67</f>
        <v>14406</v>
      </c>
      <c r="X67" s="220">
        <f>September!X67+October!X67+November!X67+December!X67+January!X67+February!X67+March!X67+April!X67+May!X67+June!X67+July!X67+August!X67+Adj!X67</f>
        <v>0</v>
      </c>
      <c r="Y67" s="220">
        <f>September!Y67+October!Y67+November!Y67+December!Y67+January!Y67+February!Y67+March!Y67+April!Y67+May!Y67+June!Y67+July!Y67+August!Y67+Adj!Y67</f>
        <v>0</v>
      </c>
      <c r="Z67" s="220">
        <f>September!Z67+October!Z67+November!Z67+December!Z67+January!Z67+February!Z67+March!Z67+April!Z67+May!Z67+June!Z67+July!Z67+August!Z67+Adj!Z67</f>
        <v>64996</v>
      </c>
      <c r="AA67" s="220">
        <f>September!AA67+October!AA67+November!AA67+December!AA67+January!AA67+February!AA67+March!AA67+April!AA67+May!AA67+June!AA67+July!AA67+August!AA67+Adj!AA67</f>
        <v>36661</v>
      </c>
    </row>
    <row r="68" spans="1:30" x14ac:dyDescent="0.25">
      <c r="A68" s="117" t="s">
        <v>185</v>
      </c>
      <c r="B68" s="137" t="s">
        <v>310</v>
      </c>
      <c r="C68" s="220">
        <f>September!C68+October!C68+November!C68+December!C68+January!C68+February!C68+March!C68+April!C68+May!C68+June!C68+July!C68+August!C68+Adj!C68</f>
        <v>0</v>
      </c>
      <c r="D68" s="220">
        <f>September!D68+October!D68+November!D68+December!D68+January!D68+February!D68+March!D68+April!D68+May!D68+June!D68+July!D68+August!D68+Adj!D68</f>
        <v>0</v>
      </c>
      <c r="E68" s="220">
        <f>September!E68+October!E68+November!E68+December!E68+January!E68+February!E68+March!E68+April!E68+May!E68+June!E68+July!E68+August!E68+Adj!E68</f>
        <v>1418</v>
      </c>
      <c r="F68" s="220">
        <f>September!F68+October!F68+November!F68+December!F68+January!F68+February!F68+March!F68+April!F68+May!F68+June!F68+July!F68+August!F68+Adj!F68</f>
        <v>0</v>
      </c>
      <c r="G68" s="220">
        <f>September!G68+October!G68+November!G68+December!G68+January!G68+February!G68+March!G68+April!G68+May!G68+June!G68+July!G68+August!G68+Adj!G68</f>
        <v>0</v>
      </c>
      <c r="H68" s="220">
        <f>September!H68+October!H68+November!H68+December!H68+January!H68+February!H68+March!H68+April!H68+May!H68+June!H68+July!H68+August!H68+Adj!H68</f>
        <v>0</v>
      </c>
      <c r="I68" s="220">
        <f>September!I68+October!I68+November!I68+December!I68+January!I68+February!I68+March!I68+April!I68+May!I68+June!I68+July!I68+August!I68+Adj!I68</f>
        <v>0</v>
      </c>
      <c r="J68" s="220">
        <f>September!J68+October!J68+November!J68+December!J68+January!J68+February!J68+March!J68+April!J68+May!J68+June!J68+July!J68+August!J68+Adj!J68</f>
        <v>8708</v>
      </c>
      <c r="K68" s="220">
        <f>September!K68+October!K68+November!K68+December!K68+January!K68+February!K68+March!K68+April!K68+May!K68+June!K68+July!K68+August!K68+Adj!K68</f>
        <v>0</v>
      </c>
      <c r="L68" s="288">
        <f>September!L68+October!L68+November!L68+December!L68+January!L68+February!L68+March!L68+April!L68+May!L68+June!L68+July!L68+August!L68+Adj!L68</f>
        <v>10126</v>
      </c>
      <c r="M68" s="220">
        <f>September!M68+October!M68+November!M68+December!M68+January!M68+February!M68+March!M68+April!M68+May!M68+June!M69+July!M68+August!M68+Adj!M68</f>
        <v>262</v>
      </c>
      <c r="N68" s="220">
        <f>September!N68+October!N68+November!N68+December!N68+January!N68+February!N68+March!N68+April!N68+May!N68+June!N69+July!N68+August!N68+Adj!N68</f>
        <v>693</v>
      </c>
      <c r="O68" s="220">
        <f>September!O68+October!O68+November!O68+December!O68+January!O68+February!O68+March!O68+April!O68+May!O68+June!O69+July!O68+August!O68+Adj!O68</f>
        <v>245</v>
      </c>
      <c r="P68" s="220">
        <f>September!P68+October!P68+November!P68+December!P68+January!P68+February!P68+March!P68+April!P68+May!P68+June!P69+July!P68+August!P68+Adj!P68</f>
        <v>19</v>
      </c>
      <c r="Q68" s="220">
        <f>September!Q68+October!Q68+November!Q68+December!Q68+January!Q68+February!Q68+March!Q68+April!Q68+May!Q68+June!Q69+July!Q68+August!Q68+Adj!Q68</f>
        <v>2</v>
      </c>
      <c r="R68" s="220">
        <f>September!R68+October!R68+November!R68+December!R68+January!R68+February!R68+March!R68+April!R68+May!R68+June!R69+July!R68+August!R68+Adj!R68</f>
        <v>0</v>
      </c>
      <c r="S68" s="220">
        <f>September!S68+October!S68+November!S68+December!S68+January!S68+February!S68+March!S68+April!S68+May!S68+June!S69+July!S68+August!S68+Adj!S68</f>
        <v>0</v>
      </c>
      <c r="T68" s="220">
        <f>September!T68+October!T68+November!T68+December!T68+January!T68+February!T68+March!T68+April!T68+May!T68+June!T69+July!T68+August!T68+Adj!T68</f>
        <v>5</v>
      </c>
      <c r="U68" s="220">
        <f>September!U68+October!U68+November!U68+December!U68+January!U68+February!U68+March!U68+April!U68+May!U68+June!U69+July!U68+August!U68+Adj!U68</f>
        <v>0</v>
      </c>
      <c r="V68" s="288">
        <f>September!V68+October!V68+November!V68+December!V68+January!V68+February!V68+March!V68+April!V68+May!V68+June!V68+July!V68+August!V68+Adj!V68</f>
        <v>0</v>
      </c>
      <c r="W68" s="220">
        <f>September!W68+October!W68+November!W68+December!W68+January!W68+February!W68+March!W68+April!W68+May!W68+June!W68+July!W68+August!W68+Adj!W68</f>
        <v>21515</v>
      </c>
      <c r="X68" s="220">
        <f>September!X68+October!X68+November!X68+December!X68+January!X68+February!X68+March!X68+April!X68+May!X68+June!X68+July!X68+August!X68+Adj!X68</f>
        <v>0</v>
      </c>
      <c r="Y68" s="220">
        <f>September!Y68+October!Y68+November!Y68+December!Y68+January!Y68+February!Y68+March!Y68+April!Y68+May!Y68+June!Y68+July!Y68+August!Y68+Adj!Y68</f>
        <v>0</v>
      </c>
      <c r="Z68" s="220">
        <f>September!Z68+October!Z68+November!Z68+December!Z68+January!Z68+February!Z68+March!Z68+April!Z68+May!Z68+June!Z68+July!Z68+August!Z68+Adj!Z68</f>
        <v>31641</v>
      </c>
      <c r="AA68" s="220">
        <f>September!AA68+October!AA68+November!AA68+December!AA68+January!AA68+February!AA68+March!AA68+April!AA68+May!AA68+June!AA68+July!AA68+August!AA68+Adj!AA68</f>
        <v>0</v>
      </c>
    </row>
    <row r="69" spans="1:30" x14ac:dyDescent="0.25">
      <c r="A69" s="117" t="s">
        <v>188</v>
      </c>
      <c r="B69" s="137" t="s">
        <v>311</v>
      </c>
      <c r="C69" s="220">
        <f>September!C69+October!C69+November!C69+December!C69+January!C69+February!C69+March!C69+April!C69+May!C69+June!C69+July!C69+August!C69+Adj!C69</f>
        <v>2986</v>
      </c>
      <c r="D69" s="220">
        <f>September!D69+October!D69+November!D69+December!D69+January!D69+February!D69+March!D69+April!D69+May!D69+June!D69+July!D69+August!D69+Adj!D69</f>
        <v>2584</v>
      </c>
      <c r="E69" s="220">
        <f>September!E69+October!E69+November!E69+December!E69+January!E69+February!E69+March!E69+April!E69+May!E69+June!E69+July!E69+August!E69+Adj!E69</f>
        <v>1499</v>
      </c>
      <c r="F69" s="220">
        <f>September!F69+October!F69+November!F69+December!F69+January!F69+February!F69+March!F69+April!F69+May!F69+June!F69+July!F69+August!F69+Adj!F69</f>
        <v>102</v>
      </c>
      <c r="G69" s="220">
        <f>September!G69+October!G69+November!G69+December!G69+January!G69+February!G69+March!G69+April!G69+May!G69+June!G69+July!G69+August!G69+Adj!G69</f>
        <v>84</v>
      </c>
      <c r="H69" s="220">
        <f>September!H69+October!H69+November!H69+December!H69+January!H69+February!H69+March!H69+April!H69+May!H69+June!H69+July!H69+August!H69+Adj!H69</f>
        <v>0</v>
      </c>
      <c r="I69" s="220">
        <f>September!I69+October!I69+November!I69+December!I69+January!I69+February!I69+March!I69+April!I69+May!I69+June!I69+July!I69+August!I69+Adj!I69</f>
        <v>125</v>
      </c>
      <c r="J69" s="220">
        <f>September!J69+October!J69+November!J69+December!J69+January!J69+February!J69+March!J69+April!J69+May!J69+June!J69+July!J69+August!J69+Adj!J69</f>
        <v>1255</v>
      </c>
      <c r="K69" s="220">
        <f>September!K69+October!K69+November!K69+December!K69+January!K69+February!K69+March!K69+April!K69+May!K69+June!K69+July!K69+August!K69+Adj!K69</f>
        <v>0</v>
      </c>
      <c r="L69" s="288">
        <f>September!L69+October!L69+November!L69+December!L69+January!L69+February!L69+March!L69+April!L69+May!L69+June!L69+July!L69+August!L69+Adj!L69</f>
        <v>8635</v>
      </c>
      <c r="M69" s="220">
        <f>September!M69+October!M69+November!M69+December!M69+January!M69+February!M69+March!M69+April!M69+May!M69+June!M70+July!M69+August!M69+Adj!M69</f>
        <v>2123</v>
      </c>
      <c r="N69" s="220">
        <f>September!N69+October!N69+November!N69+December!N69+January!N69+February!N69+March!N69+April!N69+May!N69+June!N70+July!N69+August!N69+Adj!N69</f>
        <v>3144</v>
      </c>
      <c r="O69" s="220">
        <f>September!O69+October!O69+November!O69+December!O69+January!O69+February!O69+March!O69+April!O69+May!O69+June!O70+July!O69+August!O69+Adj!O69</f>
        <v>1591</v>
      </c>
      <c r="P69" s="220">
        <f>September!P69+October!P69+November!P69+December!P69+January!P69+February!P69+March!P69+April!P69+May!P69+June!P70+July!P69+August!P69+Adj!P69</f>
        <v>73</v>
      </c>
      <c r="Q69" s="220">
        <f>September!Q69+October!Q69+November!Q69+December!Q69+January!Q69+February!Q69+March!Q69+April!Q69+May!Q69+June!Q70+July!Q69+August!Q69+Adj!Q69</f>
        <v>165</v>
      </c>
      <c r="R69" s="220">
        <f>September!R69+October!R69+November!R69+December!R69+January!R69+February!R69+March!R69+April!R69+May!R69+June!R70+July!R69+August!R69+Adj!R69</f>
        <v>26</v>
      </c>
      <c r="S69" s="220">
        <f>September!S69+October!S69+November!S69+December!S69+January!S69+February!S69+March!S69+April!S69+May!S69+June!S70+July!S69+August!S69+Adj!S69</f>
        <v>0</v>
      </c>
      <c r="T69" s="220">
        <f>September!T69+October!T69+November!T69+December!T69+January!T69+February!T69+March!T69+April!T69+May!T69+June!T70+July!T69+August!T69+Adj!T69</f>
        <v>38</v>
      </c>
      <c r="U69" s="220">
        <f>September!U69+October!U69+November!U69+December!U69+January!U69+February!U69+March!U69+April!U69+May!U69+June!U70+July!U69+August!U69+Adj!U69</f>
        <v>0</v>
      </c>
      <c r="V69" s="288">
        <f>September!V69+October!V69+November!V69+December!V69+January!V69+February!V69+March!V69+April!V69+May!V69+June!V69+July!V69+August!V69+Adj!V69</f>
        <v>8047</v>
      </c>
      <c r="W69" s="220">
        <f>September!W69+October!W69+November!W69+December!W69+January!W69+February!W69+March!W69+April!W69+May!W69+June!W69+July!W69+August!W69+Adj!W69</f>
        <v>2364</v>
      </c>
      <c r="X69" s="220">
        <f>September!X69+October!X69+November!X69+December!X69+January!X69+February!X69+March!X69+April!X69+May!X69+June!X69+July!X69+August!X69+Adj!X69</f>
        <v>0</v>
      </c>
      <c r="Y69" s="220">
        <f>September!Y69+October!Y69+November!Y69+December!Y69+January!Y69+February!Y69+March!Y69+April!Y69+May!Y69+June!Y69+July!Y69+August!Y69+Adj!Y69</f>
        <v>0</v>
      </c>
      <c r="Z69" s="220">
        <f>September!Z69+October!Z69+November!Z69+December!Z69+January!Z69+February!Z69+March!Z69+April!Z69+May!Z69+June!Z69+July!Z69+August!Z69+Adj!Z69</f>
        <v>19046</v>
      </c>
      <c r="AA69" s="220">
        <f>September!AA69+October!AA69+November!AA69+December!AA69+January!AA69+February!AA69+March!AA69+April!AA69+May!AA69+June!AA69+July!AA69+August!AA69+Adj!AA69</f>
        <v>11700</v>
      </c>
    </row>
    <row r="70" spans="1:30" x14ac:dyDescent="0.25">
      <c r="A70" s="117" t="s">
        <v>192</v>
      </c>
      <c r="B70" s="137" t="s">
        <v>312</v>
      </c>
      <c r="C70" s="220">
        <f>September!C70+October!C70+November!C70+December!C70+January!C70+February!C70+March!C70+April!C70+May!C70+June!C70+July!C70+August!C70+Adj!C70</f>
        <v>246</v>
      </c>
      <c r="D70" s="220">
        <f>September!D70+October!D70+November!D70+December!D70+January!D70+February!D70+March!D70+April!D70+May!D70+June!D70+July!D70+August!D70+Adj!D70</f>
        <v>151</v>
      </c>
      <c r="E70" s="220">
        <f>September!E70+October!E70+November!E70+December!E70+January!E70+February!E70+March!E70+April!E70+May!E70+June!E70+July!E70+August!E70+Adj!E70</f>
        <v>40</v>
      </c>
      <c r="F70" s="220">
        <f>September!F70+October!F70+November!F70+December!F70+January!F70+February!F70+March!F70+April!F70+May!F70+June!F70+July!F70+August!F70+Adj!F70</f>
        <v>4</v>
      </c>
      <c r="G70" s="220">
        <f>September!G70+October!G70+November!G70+December!G70+January!G70+February!G70+March!G70+April!G70+May!G70+June!G70+July!G70+August!G70+Adj!G70</f>
        <v>3</v>
      </c>
      <c r="H70" s="220">
        <f>September!H70+October!H70+November!H70+December!H70+January!H70+February!H70+March!H70+April!H70+May!H70+June!H70+July!H70+August!H70+Adj!H70</f>
        <v>0</v>
      </c>
      <c r="I70" s="220">
        <f>September!I70+October!I70+November!I70+December!I70+January!I70+February!I70+March!I70+April!I70+May!I70+June!I70+July!I70+August!I70+Adj!I70</f>
        <v>19</v>
      </c>
      <c r="J70" s="220">
        <f>September!J70+October!J70+November!J70+December!J70+January!J70+February!J70+March!J70+April!J70+May!J70+June!J70+July!J70+August!J70+Adj!J70</f>
        <v>90</v>
      </c>
      <c r="K70" s="220">
        <f>September!K70+October!K70+November!K70+December!K70+January!K70+February!K70+March!K70+April!K70+May!K70+June!K70+July!K70+August!K70+Adj!K70</f>
        <v>0</v>
      </c>
      <c r="L70" s="288">
        <f>September!L70+October!L70+November!L70+December!L70+January!L70+February!L70+March!L70+April!L70+May!L70+June!L70+July!L70+August!L70+Adj!L70</f>
        <v>553</v>
      </c>
      <c r="M70" s="220">
        <f>September!M70+October!M70+November!M70+December!M70+January!M70+February!M70+March!M70+April!M70+May!M70+June!M71+July!M70+August!M70+Adj!M70</f>
        <v>2814</v>
      </c>
      <c r="N70" s="220">
        <f>September!N70+October!N70+November!N70+December!N70+January!N70+February!N70+March!N70+April!N70+May!N70+June!N71+July!N70+August!N70+Adj!N70</f>
        <v>1763</v>
      </c>
      <c r="O70" s="220">
        <f>September!O70+October!O70+November!O70+December!O70+January!O70+February!O70+March!O70+April!O70+May!O70+June!O71+July!O70+August!O70+Adj!O70</f>
        <v>795</v>
      </c>
      <c r="P70" s="220">
        <f>September!P70+October!P70+November!P70+December!P70+January!P70+February!P70+March!P70+April!P70+May!P70+June!P71+July!P70+August!P70+Adj!P70</f>
        <v>95</v>
      </c>
      <c r="Q70" s="220">
        <f>September!Q70+October!Q70+November!Q70+December!Q70+January!Q70+February!Q70+March!Q70+April!Q70+May!Q70+June!Q71+July!Q70+August!Q70+Adj!Q70</f>
        <v>124</v>
      </c>
      <c r="R70" s="220">
        <f>September!R70+October!R70+November!R70+December!R70+January!R70+February!R70+March!R70+April!R70+May!R70+June!R71+July!R70+August!R70+Adj!R70</f>
        <v>12</v>
      </c>
      <c r="S70" s="220">
        <f>September!S70+October!S70+November!S70+December!S70+January!S70+February!S70+March!S70+April!S70+May!S70+June!S71+July!S70+August!S70+Adj!S70</f>
        <v>0</v>
      </c>
      <c r="T70" s="220">
        <f>September!T70+October!T70+November!T70+December!T70+January!T70+February!T70+March!T70+April!T70+May!T70+June!T71+July!T70+August!T70+Adj!T70</f>
        <v>92</v>
      </c>
      <c r="U70" s="220">
        <f>September!U70+October!U70+November!U70+December!U70+January!U70+February!U70+March!U70+April!U70+May!U70+June!U71+July!U70+August!U70+Adj!U70</f>
        <v>0</v>
      </c>
      <c r="V70" s="288">
        <f>September!V70+October!V70+November!V70+December!V70+January!V70+February!V70+March!V70+April!V70+May!V70+June!V70+July!V70+August!V70+Adj!V70</f>
        <v>6034</v>
      </c>
      <c r="W70" s="220">
        <f>September!W70+October!W70+November!W70+December!W70+January!W70+February!W70+March!W70+April!W70+May!W70+June!W70+July!W70+August!W70+Adj!W70</f>
        <v>5067</v>
      </c>
      <c r="X70" s="220">
        <f>September!X70+October!X70+November!X70+December!X70+January!X70+February!X70+March!X70+April!X70+May!X70+June!X70+July!X70+August!X70+Adj!X70</f>
        <v>0</v>
      </c>
      <c r="Y70" s="220">
        <f>September!Y70+October!Y70+November!Y70+December!Y70+January!Y70+February!Y70+March!Y70+April!Y70+May!Y70+June!Y70+July!Y70+August!Y70+Adj!Y70</f>
        <v>0</v>
      </c>
      <c r="Z70" s="220">
        <f>September!Z70+October!Z70+November!Z70+December!Z70+January!Z70+February!Z70+March!Z70+April!Z70+May!Z70+June!Z70+July!Z70+August!Z70+Adj!Z70</f>
        <v>11654</v>
      </c>
      <c r="AA70" s="220">
        <f>September!AA70+October!AA70+November!AA70+December!AA70+January!AA70+February!AA70+March!AA70+April!AA70+May!AA70+June!AA70+July!AA70+August!AA70+Adj!AA70</f>
        <v>5359</v>
      </c>
    </row>
    <row r="71" spans="1:30" ht="27" thickBot="1" x14ac:dyDescent="0.3">
      <c r="A71" s="124" t="s">
        <v>193</v>
      </c>
      <c r="B71" s="143" t="s">
        <v>325</v>
      </c>
      <c r="C71" s="220">
        <f>September!C71+October!C71+November!C71+December!C71+January!C71+February!C71+March!C71+April!C71+May!C71+June!C71+July!C71+August!C71+Adj!C71</f>
        <v>0</v>
      </c>
      <c r="D71" s="220">
        <f>September!D71+October!D71+November!D71+December!D71+January!D71+February!D71+March!D71+April!D71+May!D71+June!D71+July!D71+August!D71+Adj!D71</f>
        <v>0</v>
      </c>
      <c r="E71" s="220">
        <f>September!E71+October!E71+November!E71+December!E71+January!E71+February!E71+March!E71+April!E71+May!E71+June!E71+July!E71+August!E71+Adj!E71</f>
        <v>0</v>
      </c>
      <c r="F71" s="220">
        <f>September!F71+October!F71+November!F71+December!F71+January!F71+February!F71+March!F71+April!F71+May!F71+June!F71+July!F71+August!F71+Adj!F71</f>
        <v>0</v>
      </c>
      <c r="G71" s="220">
        <f>September!G71+October!G71+November!G71+December!G71+January!G71+February!G71+March!G71+April!G71+May!G71+June!G71+July!G71+August!G71+Adj!G71</f>
        <v>0</v>
      </c>
      <c r="H71" s="220">
        <f>September!H71+October!H71+November!H71+December!H71+January!H71+February!H71+March!H71+April!H71+May!H71+June!H71+July!H71+August!H71+Adj!H71</f>
        <v>0</v>
      </c>
      <c r="I71" s="220">
        <f>September!I71+October!I71+November!I71+December!I71+January!I71+February!I71+March!I71+April!I71+May!I71+June!I71+July!I71+August!I71+Adj!I71</f>
        <v>6737</v>
      </c>
      <c r="J71" s="220">
        <f>September!J71+October!J71+November!J71+December!J71+January!J71+February!J71+March!J71+April!J71+May!J71+June!J71+July!J71+August!J71+Adj!J71</f>
        <v>2326</v>
      </c>
      <c r="K71" s="220">
        <f>September!K71+October!K71+November!K71+December!K71+January!K71+February!K71+March!K71+April!K71+May!K71+June!K71+July!K71+August!K71+Adj!K71</f>
        <v>0</v>
      </c>
      <c r="L71" s="289">
        <f>September!L71+October!L71+November!L71+December!L71+January!L71+February!L71+March!L71+April!L71+May!L71+June!L71+July!L71+August!L71+Adj!L71</f>
        <v>9063</v>
      </c>
      <c r="M71" s="220">
        <f>September!M71+October!M71+November!M71+December!M71+January!M71+February!M71+March!M71+April!M71+May!M71+June!M71+July!M71+August!M71+Adj!M71</f>
        <v>0</v>
      </c>
      <c r="N71" s="220">
        <f>September!N71+October!N71+November!N71+December!N71+January!N71+February!N71+March!N71+April!N71+May!N71+June!N71+July!N71+August!N71+Adj!N71</f>
        <v>0</v>
      </c>
      <c r="O71" s="220">
        <f>September!O71+October!O71+November!O71+December!O71+January!O71+February!O71+March!O71+April!O71+May!O71+June!O71+July!O71+August!O71+Adj!O71</f>
        <v>0</v>
      </c>
      <c r="P71" s="220">
        <f>September!P71+October!P71+November!P71+December!P71+January!P71+February!P71+March!P71+April!P71+May!P71+June!P71+July!P71+August!P71+Adj!P71</f>
        <v>0</v>
      </c>
      <c r="Q71" s="220">
        <f>September!Q71+October!Q71+November!Q71+December!Q71+January!Q71+February!Q71+March!Q71+April!Q71+May!Q71+June!Q71+July!Q71+August!Q71+Adj!Q71</f>
        <v>0</v>
      </c>
      <c r="R71" s="220">
        <f>September!R71+October!R71+November!R71+December!R71+January!R71+February!R71+March!R71+April!R71+May!R71+June!R71+July!R71+August!R71+Adj!R71</f>
        <v>0</v>
      </c>
      <c r="S71" s="220">
        <f>September!S71+October!S71+November!S71+December!S71+January!S71+February!S71+March!S71+April!S71+May!S71+June!S71+July!S71+August!S71+Adj!S71</f>
        <v>0</v>
      </c>
      <c r="T71" s="220">
        <f>September!T71+October!T71+November!T71+December!T71+January!T71+February!T71+March!T71+April!T71+May!T71+June!T71+July!T71+August!T71+Adj!T71</f>
        <v>0</v>
      </c>
      <c r="U71" s="220">
        <f>September!U71+October!U71+November!U71+December!U71+January!U71+February!U71+March!U71+April!U71+May!U71+June!U71+July!U71+August!U71+Adj!U71</f>
        <v>0</v>
      </c>
      <c r="V71" s="289">
        <f>September!V71+October!V71+November!V71+December!V71+January!V71+February!V71+March!V71+April!V71+May!V71+June!V71+July!V71+August!V71+Adj!V71</f>
        <v>0</v>
      </c>
      <c r="W71" s="282">
        <f>September!W71+October!W71+November!W71+December!W71+January!W71+February!W71+March!W71+April!W71+May!W71+June!W71+July!W71+August!W71+Adj!W71</f>
        <v>74909</v>
      </c>
      <c r="X71" s="220">
        <f>September!X71+October!X71+November!X71+December!X71+January!X71+February!X71+March!X71+April!X71+May!X71+June!X71+July!X71+August!X71+Adj!X71</f>
        <v>0</v>
      </c>
      <c r="Y71" s="220">
        <f>September!Y71+October!Y71+November!Y71+December!Y71+January!Y71+February!Y71+March!Y71+April!Y71+May!Y71+June!Y71+July!Y71+August!Y71+Adj!Y71</f>
        <v>0</v>
      </c>
      <c r="Z71" s="220">
        <f>September!Z71+October!Z71+November!Z71+December!Z71+January!Z71+February!Z71+March!Z71+April!Z71+May!Z71+June!Z71+July!Z71+August!Z71+Adj!Z71</f>
        <v>83972</v>
      </c>
      <c r="AA71" s="220">
        <f>September!AA71+October!AA71+November!AA71+December!AA71+January!AA71+February!AA71+March!AA71+April!AA71+May!AA71+June!AA71+July!AA71+August!AA71+Adj!AA71</f>
        <v>0</v>
      </c>
    </row>
    <row r="72" spans="1:30" s="109" customFormat="1" ht="14.4" thickBot="1" x14ac:dyDescent="0.3">
      <c r="A72" s="127"/>
      <c r="B72" s="159" t="s">
        <v>460</v>
      </c>
      <c r="C72" s="283">
        <f>September!C72+October!C72+November!C72+December!C72+January!C72+February!C72+March!C72+April!C72+May!C72+June!C72+July!C72+August!C72+Adj!C72</f>
        <v>267291</v>
      </c>
      <c r="D72" s="283">
        <f>September!D72+October!D72+November!D72+December!D72+January!D72+February!D72+March!D72+April!D72+May!D72+June!D72+July!D72+August!D72+Adj!D72</f>
        <v>115692</v>
      </c>
      <c r="E72" s="283">
        <f>September!E72+October!E72+November!E72+December!E72+January!E72+February!E72+March!E72+April!E72+May!E72+June!E72+July!E72+August!E72+Adj!E72</f>
        <v>112263</v>
      </c>
      <c r="F72" s="283">
        <f>September!F72+October!F72+November!F72+December!F72+January!F72+February!F72+March!F72+April!F72+May!F72+June!F72+July!F72+August!F72+Adj!F72</f>
        <v>7522</v>
      </c>
      <c r="G72" s="283">
        <f>September!G72+October!G72+November!G72+December!G72+January!G72+February!G72+March!G72+April!G72+May!G72+June!G72+July!G72+August!G72+Adj!G72</f>
        <v>5569</v>
      </c>
      <c r="H72" s="283">
        <f>September!H72+October!H72+November!H72+December!H72+January!H72+February!H72+March!H72+April!H72+May!H72+June!H72+July!H72+August!H72+Adj!H72</f>
        <v>518</v>
      </c>
      <c r="I72" s="283">
        <f>September!I72+October!I72+November!I72+December!I72+January!I72+February!I72+March!I72+April!I72+May!I72+June!I72+July!I72+August!I72+Adj!I72</f>
        <v>17966</v>
      </c>
      <c r="J72" s="283">
        <f>September!J72+October!J72+November!J72+December!J72+January!J72+February!J72+March!J72+April!J72+May!J72+June!J72+July!J72+August!J72+Adj!J72</f>
        <v>75869</v>
      </c>
      <c r="K72" s="283">
        <f>September!K72+October!K72+November!K72+December!K72+January!K72+February!K72+March!K72+April!K72+May!K72+June!K72+July!K72+August!K72+Adj!K72</f>
        <v>5637</v>
      </c>
      <c r="L72" s="283">
        <f>September!L72+October!L72+November!L72+December!L72+January!L72+February!L72+March!L72+April!L72+May!L72+June!L72+July!L72+August!L72+Adj!L72</f>
        <v>608327</v>
      </c>
      <c r="M72" s="283">
        <f>September!M72+October!M72+November!M72+December!M72+January!M72+February!M72+March!M72+April!M72+May!M72+June!M72+July!M72+August!M72+Adj!M72</f>
        <v>101147</v>
      </c>
      <c r="N72" s="283">
        <f>September!N72+October!N72+November!N72+December!N72+January!N72+February!N72+March!N72+April!N72+May!N72+June!N72+July!N72+August!N72+Adj!N72</f>
        <v>118053</v>
      </c>
      <c r="O72" s="283">
        <f>September!O72+October!O72+November!O72+December!O72+January!O72+February!O72+March!O72+April!O72+May!O72+June!O72+July!O72+August!O72+Adj!O72</f>
        <v>74621</v>
      </c>
      <c r="P72" s="283">
        <f>September!P72+October!P72+November!P72+December!P72+January!P72+February!P72+March!P72+April!P72+May!P72+June!P72+July!P72+August!P72+Adj!P72</f>
        <v>3691</v>
      </c>
      <c r="Q72" s="283">
        <f>September!Q72+October!Q72+November!Q72+December!Q72+January!Q72+February!Q72+March!Q72+April!Q72+May!Q72+June!Q72+July!Q72+August!Q72+Adj!Q72</f>
        <v>4268</v>
      </c>
      <c r="R72" s="283">
        <f>September!R72+October!R72+November!R72+December!R72+January!R72+February!R72+March!R72+April!R72+May!R72+June!R72+July!R72+August!R72+Adj!R72</f>
        <v>4349</v>
      </c>
      <c r="S72" s="283">
        <f>September!S72+October!S72+November!S72+December!S72+January!S72+February!S72+March!S72+April!S72+May!S72+June!S72+July!S72+August!S72+Adj!S72</f>
        <v>208</v>
      </c>
      <c r="T72" s="283">
        <f>September!T72+October!T72+November!T72+December!T72+January!T72+February!T72+March!T72+April!T72+May!T72+June!T72+July!T72+August!T72+Adj!T72</f>
        <v>5504</v>
      </c>
      <c r="U72" s="283">
        <f>September!U72+October!U72+November!U72+December!U72+January!U72+February!U72+March!U72+April!U72+May!U72+June!U72+July!U72+August!U72+Adj!U72</f>
        <v>41</v>
      </c>
      <c r="V72" s="283">
        <f>September!V72+October!V72+November!V72+December!V72+January!V72+February!V72+March!V72+April!V72+May!V72+June!V72+July!V72+August!V72+Adj!V72</f>
        <v>311882</v>
      </c>
      <c r="W72" s="283">
        <f>September!W72+October!W72+November!W72+December!W72+January!W72+February!W72+March!W72+April!W72+May!W72+June!W72+July!W72+August!W72+Adj!W72</f>
        <v>494201</v>
      </c>
      <c r="X72" s="283">
        <f>SUM(X56:X71)</f>
        <v>0</v>
      </c>
      <c r="Y72" s="283">
        <f>SUM(Y56:Y71)</f>
        <v>0</v>
      </c>
      <c r="Z72" s="283">
        <f>SUM(Z56:Z71)</f>
        <v>1414410</v>
      </c>
      <c r="AA72" s="284">
        <f>SUM(AA56:AA71)</f>
        <v>619074</v>
      </c>
      <c r="AC72"/>
      <c r="AD72"/>
    </row>
    <row r="73" spans="1:30" x14ac:dyDescent="0.25">
      <c r="A73" s="285" t="s">
        <v>65</v>
      </c>
      <c r="B73" s="279" t="s">
        <v>326</v>
      </c>
      <c r="C73" s="220">
        <f>September!C73+October!C73+November!C73+December!C73+January!C73+February!C73+March!C73+April!C73+May!C73+June!C73+July!C73+August!C73+Adj!C73</f>
        <v>11879</v>
      </c>
      <c r="D73" s="220">
        <f>September!D73+October!D73+November!D73+December!D73+January!D73+February!D73+March!D73+April!D73+May!D73+June!D73+July!D73+August!D73+Adj!D73</f>
        <v>6244</v>
      </c>
      <c r="E73" s="220">
        <f>September!E73+October!E73+November!E73+December!E73+January!E73+February!E73+March!E73+April!E73+May!E73+June!E73+July!E73+August!E73+Adj!E73</f>
        <v>7424</v>
      </c>
      <c r="F73" s="220">
        <f>September!F73+October!F73+November!F73+December!F73+January!F73+February!F73+March!F73+April!F73+May!F73+June!F73+July!F73+August!F73+Adj!F73</f>
        <v>148</v>
      </c>
      <c r="G73" s="220">
        <f>September!G73+October!G73+November!G73+December!G73+January!G73+February!G73+March!G73+April!G73+May!G73+June!G73+July!G73+August!G73+Adj!G73</f>
        <v>635</v>
      </c>
      <c r="H73" s="220">
        <f>September!H73+October!H73+November!H73+December!H73+January!H73+February!H73+March!H73+April!H73+May!H73+June!H73+July!H73+August!H73+Adj!H73</f>
        <v>19</v>
      </c>
      <c r="I73" s="220">
        <f>September!I73+October!I73+November!I73+December!I73+January!I73+February!I73+March!I73+April!I73+May!I73+June!I73+July!I73+August!I73+Adj!I73</f>
        <v>1885</v>
      </c>
      <c r="J73" s="220">
        <f>September!J73+October!J73+November!J73+December!J73+January!J73+February!J73+March!J73+April!J73+May!J73+June!J73+July!J73+August!J73+Adj!J73</f>
        <v>2579</v>
      </c>
      <c r="K73" s="220">
        <f>September!K73+October!K73+November!K73+December!K73+January!K73+February!K73+March!K73+April!K73+May!K73+June!K73+July!K73+August!K73+Adj!K73</f>
        <v>762</v>
      </c>
      <c r="L73" s="288">
        <f>September!L73+October!L73+November!L73+December!L73+January!L73+February!L73+March!L73+April!L73+May!L73+June!L73+July!L73+August!L73+Adj!L73</f>
        <v>31575</v>
      </c>
      <c r="M73" s="220">
        <f>September!M73+October!M73+November!M73+December!M73+January!M73+February!M73+March!M73+April!M73+May!M73+June!M73+July!M73+August!M73+Adj!M73</f>
        <v>8591</v>
      </c>
      <c r="N73" s="220">
        <f>September!N73+October!N73+November!N73+December!N73+January!N73+February!N73+March!N73+April!N73+May!N73+June!N73+July!N73+August!N73+Adj!N73</f>
        <v>12717</v>
      </c>
      <c r="O73" s="220">
        <f>September!O73+October!O73+November!O73+December!O73+January!O73+February!O73+March!O73+April!O73+May!O73+June!O73+July!O73+August!O73+Adj!O73</f>
        <v>7170</v>
      </c>
      <c r="P73" s="220">
        <f>September!P73+October!P73+November!P73+December!P73+January!P73+February!P73+March!P73+April!P73+May!P73+June!P73+July!P73+August!P73+Adj!P73</f>
        <v>673</v>
      </c>
      <c r="Q73" s="220">
        <f>September!Q73+October!Q73+November!Q73+December!Q73+January!Q73+February!Q73+March!Q73+April!Q73+May!Q73+June!Q73+July!Q73+August!Q73+Adj!Q73</f>
        <v>734</v>
      </c>
      <c r="R73" s="220">
        <f>September!R73+October!R73+November!R73+December!R73+January!R73+February!R73+March!R73+April!R73+May!R73+June!R73+July!R73+August!R73+Adj!R73</f>
        <v>74</v>
      </c>
      <c r="S73" s="220">
        <f>September!S73+October!S73+November!S73+December!S73+January!S73+February!S73+March!S73+April!S73+May!S73+June!S73+July!S73+August!S73+Adj!S73</f>
        <v>120</v>
      </c>
      <c r="T73" s="220">
        <f>September!T73+October!T73+November!T73+December!T73+January!T73+February!T73+March!T73+April!T73+May!T73+June!T73+July!T73+August!T73+Adj!T73</f>
        <v>46</v>
      </c>
      <c r="U73" s="220">
        <f>September!U73+October!U73+November!U73+December!U73+January!U73+February!U73+March!U73+April!U73+May!U73+June!U73+July!U73+August!U73+Adj!U73</f>
        <v>25</v>
      </c>
      <c r="V73" s="288">
        <f>September!V73+October!V73+November!V73+December!V73+January!V73+February!V73+March!V73+April!V73+May!V73+June!V73+July!V73+August!V73+Adj!V73</f>
        <v>30150</v>
      </c>
      <c r="W73" s="220">
        <f>September!W73+October!W73+November!W73+December!W73+January!W73+February!W73+March!W73+April!W73+May!W73+June!W73+July!W73+August!W73+Adj!W73</f>
        <v>13283</v>
      </c>
      <c r="X73" s="220">
        <f>September!X73+October!X73+November!X73+December!X73+January!X73+February!X73+March!X73+April!X73+May!X73+June!X73+July!X73+August!X73+Adj!X73</f>
        <v>0</v>
      </c>
      <c r="Y73" s="220">
        <f>September!Y73+October!Y73+November!Y73+December!Y73+January!Y73+February!Y73+March!Y73+April!Y73+May!Y73+June!Y73+July!Y73+August!Y73+Adj!Y73</f>
        <v>0</v>
      </c>
      <c r="Z73" s="220">
        <f>September!Z73+October!Z73+November!Z73+December!Z73+January!Z73+February!Z73+March!Z73+April!Z73+May!Z73+June!Z73+July!Z73+August!Z73+Adj!Z73</f>
        <v>75008</v>
      </c>
      <c r="AA73" s="220">
        <f>September!AA73+October!AA73+November!AA73+December!AA73+January!AA73+February!AA73+March!AA73+April!AA73+May!AA73+June!AA73+July!AA73+August!AA73+Adj!AA73</f>
        <v>41039</v>
      </c>
    </row>
    <row r="74" spans="1:30" x14ac:dyDescent="0.25">
      <c r="A74" s="117" t="s">
        <v>81</v>
      </c>
      <c r="B74" s="137" t="s">
        <v>327</v>
      </c>
      <c r="C74" s="220">
        <f>September!C74+October!C74+November!C74+December!C74+January!C74+February!C74+March!C74+April!C74+May!C74+June!C74+July!C74+August!C74+Adj!C74</f>
        <v>15794</v>
      </c>
      <c r="D74" s="220">
        <f>September!D74+October!D74+November!D74+December!D74+January!D74+February!D74+March!D74+April!D74+May!D74+June!D74+July!D74+August!D74+Adj!D74</f>
        <v>5129</v>
      </c>
      <c r="E74" s="220">
        <f>September!E74+October!E74+November!E74+December!E74+January!E74+February!E74+March!E74+April!E74+May!E74+June!E74+July!E74+August!E74+Adj!E74</f>
        <v>3842</v>
      </c>
      <c r="F74" s="220">
        <f>September!F74+October!F74+November!F74+December!F74+January!F74+February!F74+March!F74+April!F74+May!F74+June!F74+July!F74+August!F74+Adj!F74</f>
        <v>863</v>
      </c>
      <c r="G74" s="220">
        <f>September!G74+October!G74+November!G74+December!G74+January!G74+February!G74+March!G74+April!G74+May!G74+June!G74+July!G74+August!G74+Adj!G74</f>
        <v>378</v>
      </c>
      <c r="H74" s="220">
        <f>September!H74+October!H74+November!H74+December!H74+January!H74+February!H74+March!H74+April!H74+May!H74+June!H74+July!H74+August!H74+Adj!H74</f>
        <v>13</v>
      </c>
      <c r="I74" s="220">
        <f>September!I74+October!I74+November!I74+December!I74+January!I74+February!I74+March!I74+April!I74+May!I74+June!I74+July!I74+August!I74+Adj!I74</f>
        <v>988</v>
      </c>
      <c r="J74" s="220">
        <f>September!J74+October!J74+November!J74+December!J74+January!J74+February!J74+March!J74+April!J74+May!J74+June!J74+July!J74+August!J74+Adj!J74</f>
        <v>793</v>
      </c>
      <c r="K74" s="220">
        <f>September!K74+October!K74+November!K74+December!K74+January!K74+February!K74+March!K74+April!K74+May!K74+June!K74+July!K74+August!K74+Adj!K74</f>
        <v>145</v>
      </c>
      <c r="L74" s="288">
        <f>September!L74+October!L74+November!L74+December!L74+January!L74+February!L74+March!L74+April!L74+May!L74+June!L74+July!L74+August!L74+Adj!L74</f>
        <v>27945</v>
      </c>
      <c r="M74" s="220">
        <f>September!M74+October!M74+November!M74+December!M74+January!M74+February!M74+March!M74+April!M74+May!M74+June!M74+July!M74+August!M74+Adj!M74</f>
        <v>13431</v>
      </c>
      <c r="N74" s="220">
        <f>September!N74+October!N74+November!N74+December!N74+January!N74+February!N74+March!N74+April!N74+May!N74+June!N74+July!N74+August!N74+Adj!N74</f>
        <v>11788</v>
      </c>
      <c r="O74" s="220">
        <f>September!O74+October!O74+November!O74+December!O74+January!O74+February!O74+March!O74+April!O74+May!O74+June!O74+July!O74+August!O74+Adj!O74</f>
        <v>4797</v>
      </c>
      <c r="P74" s="220">
        <f>September!P74+October!P74+November!P74+December!P74+January!P74+February!P74+March!P74+April!P74+May!P74+June!P74+July!P74+August!P74+Adj!P74</f>
        <v>578</v>
      </c>
      <c r="Q74" s="220">
        <f>September!Q74+October!Q74+November!Q74+December!Q74+January!Q74+February!Q74+March!Q74+April!Q74+May!Q74+June!Q74+July!Q74+August!Q74+Adj!Q74</f>
        <v>469</v>
      </c>
      <c r="R74" s="220">
        <f>September!R74+October!R74+November!R74+December!R74+January!R74+February!R74+March!R74+April!R74+May!R74+June!R74+July!R74+August!R74+Adj!R74</f>
        <v>273</v>
      </c>
      <c r="S74" s="220">
        <f>September!S74+October!S74+November!S74+December!S74+January!S74+February!S74+March!S74+April!S74+May!S74+June!S74+July!S74+August!S74+Adj!S74</f>
        <v>419</v>
      </c>
      <c r="T74" s="220">
        <f>September!T74+October!T74+November!T74+December!T74+January!T74+February!T74+March!T74+April!T74+May!T74+June!T74+July!T74+August!T74+Adj!T74</f>
        <v>392</v>
      </c>
      <c r="U74" s="220">
        <f>September!U74+October!U74+November!U74+December!U74+January!U74+February!U74+March!U74+April!U74+May!U74+June!U74+July!U74+August!U74+Adj!U74</f>
        <v>64</v>
      </c>
      <c r="V74" s="288">
        <f>September!V74+October!V74+November!V74+December!V74+January!V74+February!V74+March!V74+April!V74+May!V74+June!V74+July!V74+August!V74+Adj!V74</f>
        <v>32211</v>
      </c>
      <c r="W74" s="220">
        <f>September!W74+October!W74+November!W74+December!W74+January!W74+February!W74+March!W74+April!W74+May!W74+June!W74+July!W74+August!W74+Adj!W74</f>
        <v>41413</v>
      </c>
      <c r="X74" s="220">
        <f>September!X74+October!X74+November!X74+December!X74+January!X74+February!X74+March!X74+April!X74+May!X74+June!X74+July!X74+August!X74+Adj!X74</f>
        <v>0</v>
      </c>
      <c r="Y74" s="220">
        <f>September!Y74+October!Y74+November!Y74+December!Y74+January!Y74+February!Y74+March!Y74+April!Y74+May!Y74+June!Y74+July!Y74+August!Y74+Adj!Y74</f>
        <v>0</v>
      </c>
      <c r="Z74" s="220">
        <f>September!Z74+October!Z74+November!Z74+December!Z74+January!Z74+February!Z74+March!Z74+April!Z74+May!Z74+June!Z74+July!Z74+August!Z74+Adj!Z74</f>
        <v>101569</v>
      </c>
      <c r="AA74" s="220">
        <f>September!AA74+October!AA74+November!AA74+December!AA74+January!AA74+February!AA74+March!AA74+April!AA74+May!AA74+June!AA74+July!AA74+August!AA74+Adj!AA74</f>
        <v>47792</v>
      </c>
    </row>
    <row r="75" spans="1:30" x14ac:dyDescent="0.25">
      <c r="A75" s="117" t="s">
        <v>87</v>
      </c>
      <c r="B75" s="137" t="s">
        <v>292</v>
      </c>
      <c r="C75" s="220">
        <f>September!C75+October!C75+November!C75+December!C75+January!C75+February!C75+March!C75+April!C75+May!C75+June!C75+July!C75+August!C75+Adj!C75</f>
        <v>19061</v>
      </c>
      <c r="D75" s="220">
        <f>September!D75+October!D75+November!D75+December!D75+January!D75+February!D75+March!D75+April!D75+May!D75+June!D75+July!D75+August!D75+Adj!D75</f>
        <v>13757</v>
      </c>
      <c r="E75" s="220">
        <f>September!E75+October!E75+November!E75+December!E75+January!E75+February!E75+March!E75+April!E75+May!E75+June!E75+July!E75+August!E75+Adj!E75</f>
        <v>10134</v>
      </c>
      <c r="F75" s="220">
        <f>September!F75+October!F75+November!F75+December!F75+January!F75+February!F75+March!F75+April!F75+May!F75+June!F75+July!F75+August!F75+Adj!F75</f>
        <v>546</v>
      </c>
      <c r="G75" s="220">
        <f>September!G75+October!G75+November!G75+December!G75+January!G75+February!G75+March!G75+April!G75+May!G75+June!G75+July!G75+August!G75+Adj!G75</f>
        <v>477</v>
      </c>
      <c r="H75" s="220">
        <f>September!H75+October!H75+November!H75+December!H75+January!H75+February!H75+March!H75+April!H75+May!H75+June!H75+July!H75+August!H75+Adj!H75</f>
        <v>134</v>
      </c>
      <c r="I75" s="220">
        <f>September!I75+October!I75+November!I75+December!I75+January!I75+February!I75+March!I75+April!I75+May!I75+June!I75+July!I75+August!I75+Adj!I75</f>
        <v>266</v>
      </c>
      <c r="J75" s="220">
        <f>September!J75+October!J75+November!J75+December!J75+January!J75+February!J75+March!J75+April!J75+May!J75+June!J75+July!J75+August!J75+Adj!J75</f>
        <v>2084</v>
      </c>
      <c r="K75" s="220">
        <f>September!K75+October!K75+November!K75+December!K75+January!K75+February!K75+March!K75+April!K75+May!K75+June!K75+July!K75+August!K75+Adj!K75</f>
        <v>1</v>
      </c>
      <c r="L75" s="288">
        <f>September!L75+October!L75+November!L75+December!L75+January!L75+February!L75+March!L75+April!L75+May!L75+June!L75+July!L75+August!L75+Adj!L75</f>
        <v>46460</v>
      </c>
      <c r="M75" s="220">
        <f>September!M75+October!M75+November!M75+December!M75+January!M75+February!M75+March!M75+April!M75+May!M75+June!M75+July!M75+August!M75+Adj!M75</f>
        <v>7537</v>
      </c>
      <c r="N75" s="220">
        <f>September!N75+October!N75+November!N75+December!N75+January!N75+February!N75+March!N75+April!N75+May!N75+June!N75+July!N75+August!N75+Adj!N75</f>
        <v>11311</v>
      </c>
      <c r="O75" s="220">
        <f>September!O75+October!O75+November!O75+December!O75+January!O75+February!O75+March!O75+April!O75+May!O75+June!O75+July!O75+August!O75+Adj!O75</f>
        <v>8429</v>
      </c>
      <c r="P75" s="220">
        <f>September!P75+October!P75+November!P75+December!P75+January!P75+February!P75+March!P75+April!P75+May!P75+June!P75+July!P75+August!P75+Adj!P75</f>
        <v>463</v>
      </c>
      <c r="Q75" s="220">
        <f>September!Q75+October!Q75+November!Q75+December!Q75+January!Q75+February!Q75+March!Q75+April!Q75+May!Q75+June!Q75+July!Q75+August!Q75+Adj!Q75</f>
        <v>431</v>
      </c>
      <c r="R75" s="220">
        <f>September!R75+October!R75+November!R75+December!R75+January!R75+February!R75+March!R75+April!R75+May!R75+June!R75+July!R75+August!R75+Adj!R75</f>
        <v>636</v>
      </c>
      <c r="S75" s="220">
        <f>September!S75+October!S75+November!S75+December!S75+January!S75+February!S75+March!S75+April!S75+May!S75+June!S75+July!S75+August!S75+Adj!S75</f>
        <v>6</v>
      </c>
      <c r="T75" s="220">
        <f>September!T75+October!T75+November!T75+December!T75+January!T75+February!T75+March!T75+April!T75+May!T75+June!T75+July!T75+August!T75+Adj!T75</f>
        <v>3018</v>
      </c>
      <c r="U75" s="220">
        <f>September!U75+October!U75+November!U75+December!U75+January!U75+February!U75+March!U75+April!U75+May!U75+June!U75+July!U75+August!U75+Adj!U75</f>
        <v>2</v>
      </c>
      <c r="V75" s="288">
        <f>September!V75+October!V75+November!V75+December!V75+January!V75+February!V75+March!V75+April!V75+May!V75+June!V75+July!V75+August!V75+Adj!V75</f>
        <v>31833</v>
      </c>
      <c r="W75" s="220">
        <f>September!W75+October!W75+November!W75+December!W75+January!W75+February!W75+March!W75+April!W75+May!W75+June!W75+July!W75+August!W75+Adj!W75</f>
        <v>5555</v>
      </c>
      <c r="X75" s="220">
        <f>September!X75+October!X75+November!X75+December!X75+January!X75+February!X75+March!X75+April!X75+May!X75+June!X75+July!X75+August!X75+Adj!X75</f>
        <v>0</v>
      </c>
      <c r="Y75" s="220">
        <f>September!Y75+October!Y75+November!Y75+December!Y75+January!Y75+February!Y75+March!Y75+April!Y75+May!Y75+June!Y75+July!Y75+August!Y75+Adj!Y75</f>
        <v>0</v>
      </c>
      <c r="Z75" s="220">
        <f>September!Z75+October!Z75+November!Z75+December!Z75+January!Z75+February!Z75+March!Z75+April!Z75+May!Z75+June!Z75+July!Z75+August!Z75+Adj!Z75</f>
        <v>83848</v>
      </c>
      <c r="AA75" s="220">
        <f>September!AA75+October!AA75+November!AA75+December!AA75+January!AA75+February!AA75+March!AA75+April!AA75+May!AA75+June!AA75+July!AA75+August!AA75+Adj!AA75</f>
        <v>52678</v>
      </c>
    </row>
    <row r="76" spans="1:30" x14ac:dyDescent="0.25">
      <c r="A76" s="117" t="s">
        <v>92</v>
      </c>
      <c r="B76" s="137" t="s">
        <v>328</v>
      </c>
      <c r="C76" s="220">
        <f>September!C76+October!C76+November!C76+December!C76+January!C76+February!C76+March!C76+April!C76+May!C76+June!C76+July!C76+August!C76+Adj!C76</f>
        <v>4360</v>
      </c>
      <c r="D76" s="220">
        <f>September!D76+October!D76+November!D76+December!D76+January!D76+February!D76+March!D76+April!D76+May!D76+June!D76+July!D76+August!D76+Adj!D76</f>
        <v>736</v>
      </c>
      <c r="E76" s="220">
        <f>September!E76+October!E76+November!E76+December!E76+January!E76+February!E76+March!E76+April!E76+May!E76+June!E76+July!E76+August!E76+Adj!E76</f>
        <v>1346</v>
      </c>
      <c r="F76" s="220">
        <f>September!F76+October!F76+November!F76+December!F76+January!F76+February!F76+March!F76+April!F76+May!F76+June!F76+July!F76+August!F76+Adj!F76</f>
        <v>153</v>
      </c>
      <c r="G76" s="220">
        <f>September!G76+October!G76+November!G76+December!G76+January!G76+February!G76+March!G76+April!G76+May!G76+June!G76+July!G76+August!G76+Adj!G76</f>
        <v>85</v>
      </c>
      <c r="H76" s="220">
        <f>September!H76+October!H76+November!H76+December!H76+January!H76+February!H76+March!H76+April!H76+May!H76+June!H76+July!H76+August!H76+Adj!H76</f>
        <v>10</v>
      </c>
      <c r="I76" s="220">
        <f>September!I76+October!I76+November!I76+December!I76+January!I76+February!I76+March!I76+April!I76+May!I76+June!I76+July!I76+August!I76+Adj!I76</f>
        <v>697</v>
      </c>
      <c r="J76" s="220">
        <f>September!J76+October!J76+November!J76+December!J76+January!J76+February!J76+March!J76+April!J76+May!J76+June!J76+July!J76+August!J76+Adj!J76</f>
        <v>438</v>
      </c>
      <c r="K76" s="220">
        <f>September!K76+October!K76+November!K76+December!K76+January!K76+February!K76+March!K76+April!K76+May!K76+June!K76+July!K76+August!K76+Adj!K76</f>
        <v>0</v>
      </c>
      <c r="L76" s="288">
        <f>September!L76+October!L76+November!L76+December!L76+January!L76+February!L76+March!L76+April!L76+May!L76+June!L76+July!L76+August!L76+Adj!L76</f>
        <v>7825</v>
      </c>
      <c r="M76" s="220">
        <f>September!M76+October!M76+November!M76+December!M76+January!M76+February!M76+March!M76+April!M76+May!M76+June!M76+July!M76+August!M76+Adj!M76</f>
        <v>5011</v>
      </c>
      <c r="N76" s="220">
        <f>September!N76+October!N76+November!N76+December!N76+January!N76+February!N76+March!N76+April!N76+May!N76+June!N76+July!N76+August!N76+Adj!N76</f>
        <v>4858</v>
      </c>
      <c r="O76" s="220">
        <f>September!O76+October!O76+November!O76+December!O76+January!O76+February!O76+March!O76+April!O76+May!O76+June!O76+July!O76+August!O76+Adj!O76</f>
        <v>2694</v>
      </c>
      <c r="P76" s="220">
        <f>September!P76+October!P76+November!P76+December!P76+January!P76+February!P76+March!P76+April!P76+May!P76+June!P76+July!P76+August!P76+Adj!P76</f>
        <v>284</v>
      </c>
      <c r="Q76" s="220">
        <f>September!Q76+October!Q76+November!Q76+December!Q76+January!Q76+February!Q76+March!Q76+April!Q76+May!Q76+June!Q76+July!Q76+August!Q76+Adj!Q76</f>
        <v>159</v>
      </c>
      <c r="R76" s="220">
        <f>September!R76+October!R76+November!R76+December!R76+January!R76+February!R76+March!R76+April!R76+May!R76+June!R76+July!R76+August!R76+Adj!R76</f>
        <v>102</v>
      </c>
      <c r="S76" s="220">
        <f>September!S76+October!S76+November!S76+December!S76+January!S76+February!S76+March!S76+April!S76+May!S76+June!S76+July!S76+August!S76+Adj!S76</f>
        <v>0</v>
      </c>
      <c r="T76" s="220">
        <f>September!T76+October!T76+November!T76+December!T76+January!T76+February!T76+March!T76+April!T76+May!T76+June!T76+July!T76+August!T76+Adj!T76</f>
        <v>20</v>
      </c>
      <c r="U76" s="220">
        <f>September!U76+October!U76+November!U76+December!U76+January!U76+February!U76+March!U76+April!U76+May!U76+June!U76+July!U76+August!U76+Adj!U76</f>
        <v>80</v>
      </c>
      <c r="V76" s="288">
        <f>September!V76+October!V76+November!V76+December!V76+January!V76+February!V76+March!V76+April!V76+May!V76+June!V76+July!V76+August!V76+Adj!V76</f>
        <v>13208</v>
      </c>
      <c r="W76" s="220">
        <f>September!W76+October!W76+November!W76+December!W76+January!W76+February!W76+March!W76+April!W76+May!W76+June!W76+July!W76+August!W76+Adj!W76</f>
        <v>5336</v>
      </c>
      <c r="X76" s="220">
        <f>September!X76+October!X76+November!X76+December!X76+January!X76+February!X76+March!X76+April!X76+May!X76+June!X76+July!X76+August!X76+Adj!X76</f>
        <v>0</v>
      </c>
      <c r="Y76" s="220">
        <f>September!Y76+October!Y76+November!Y76+December!Y76+January!Y76+February!Y76+March!Y76+April!Y76+May!Y76+June!Y76+July!Y76+August!Y76+Adj!Y76</f>
        <v>0</v>
      </c>
      <c r="Z76" s="220">
        <f>September!Z76+October!Z76+November!Z76+December!Z76+January!Z76+February!Z76+March!Z76+April!Z76+May!Z76+June!Z76+July!Z76+August!Z76+Adj!Z76</f>
        <v>26369</v>
      </c>
      <c r="AA76" s="220">
        <f>September!AA76+October!AA76+November!AA76+December!AA76+January!AA76+February!AA76+March!AA76+April!AA76+May!AA76+June!AA76+July!AA76+August!AA76+Adj!AA76</f>
        <v>15482</v>
      </c>
    </row>
    <row r="77" spans="1:30" x14ac:dyDescent="0.25">
      <c r="A77" s="117" t="s">
        <v>96</v>
      </c>
      <c r="B77" s="137" t="s">
        <v>293</v>
      </c>
      <c r="C77" s="220">
        <f>September!C77+October!C77+November!C77+December!C77+January!C77+February!C77+March!C77+April!C77+May!C77+June!C77+July!C77+August!C77+Adj!C77</f>
        <v>81571</v>
      </c>
      <c r="D77" s="220">
        <f>September!D77+October!D77+November!D77+December!D77+January!D77+February!D77+March!D77+April!D77+May!D77+June!D77+July!D77+August!D77+Adj!D77</f>
        <v>20628</v>
      </c>
      <c r="E77" s="220">
        <f>September!E77+October!E77+November!E77+December!E77+January!E77+February!E77+March!E77+April!E77+May!E77+June!E77+July!E77+August!E77+Adj!E77</f>
        <v>47571</v>
      </c>
      <c r="F77" s="220">
        <f>September!F77+October!F77+November!F77+December!F77+January!F77+February!F77+March!F77+April!F77+May!F77+June!F77+July!F77+August!F77+Adj!F77</f>
        <v>1737</v>
      </c>
      <c r="G77" s="220">
        <f>September!G77+October!G77+November!G77+December!G77+January!G77+February!G77+March!G77+April!G77+May!G77+June!G77+July!G77+August!G77+Adj!G77</f>
        <v>1621</v>
      </c>
      <c r="H77" s="220">
        <f>September!H77+October!H77+November!H77+December!H77+January!H77+February!H77+March!H77+April!H77+May!H77+June!H77+July!H77+August!H77+Adj!H77</f>
        <v>67</v>
      </c>
      <c r="I77" s="220">
        <f>September!I77+October!I77+November!I77+December!I77+January!I77+February!I77+March!I77+April!I77+May!I77+June!I77+July!I77+August!I77+Adj!I77</f>
        <v>3113</v>
      </c>
      <c r="J77" s="220">
        <f>September!J77+October!J77+November!J77+December!J77+January!J77+February!J77+March!J77+April!J77+May!J77+June!J77+July!J77+August!J77+Adj!J77</f>
        <v>6060</v>
      </c>
      <c r="K77" s="220">
        <f>September!K77+October!K77+November!K77+December!K77+January!K77+February!K77+March!K77+April!K77+May!K77+June!K77+July!K77+August!K77+Adj!K77</f>
        <v>6</v>
      </c>
      <c r="L77" s="288">
        <f>September!L77+October!L77+November!L77+December!L77+January!L77+February!L77+March!L77+April!L77+May!L77+June!L77+July!L77+August!L77+Adj!L77</f>
        <v>162374</v>
      </c>
      <c r="M77" s="220">
        <f>September!M77+October!M77+November!M77+December!M77+January!M77+February!M77+March!M77+April!M77+May!M77+June!M77+July!M77+August!M77+Adj!M77</f>
        <v>8905</v>
      </c>
      <c r="N77" s="220">
        <f>September!N77+October!N77+November!N77+December!N77+January!N77+February!N77+March!N77+April!N77+May!N77+June!N77+July!N77+August!N77+Adj!N77</f>
        <v>11019</v>
      </c>
      <c r="O77" s="220">
        <f>September!O77+October!O77+November!O77+December!O77+January!O77+February!O77+March!O77+April!O77+May!O77+June!O77+July!O77+August!O77+Adj!O77</f>
        <v>12809</v>
      </c>
      <c r="P77" s="220">
        <f>September!P77+October!P77+November!P77+December!P77+January!P77+February!P77+March!P77+April!P77+May!P77+June!P77+July!P77+August!P77+Adj!P77</f>
        <v>247</v>
      </c>
      <c r="Q77" s="220">
        <f>September!Q77+October!Q77+November!Q77+December!Q77+January!Q77+February!Q77+March!Q77+April!Q77+May!Q77+June!Q77+July!Q77+August!Q77+Adj!Q77</f>
        <v>507</v>
      </c>
      <c r="R77" s="220">
        <f>September!R77+October!R77+November!R77+December!R77+January!R77+February!R77+March!R77+April!R77+May!R77+June!R77+July!R77+August!R77+Adj!R77</f>
        <v>795</v>
      </c>
      <c r="S77" s="220">
        <f>September!S77+October!S77+November!S77+December!S77+January!S77+February!S77+March!S77+April!S77+May!S77+June!S77+July!S77+August!S77+Adj!S77</f>
        <v>930</v>
      </c>
      <c r="T77" s="220">
        <f>September!T77+October!T77+November!T77+December!T77+January!T77+February!T77+March!T77+April!T77+May!T77+June!T77+July!T77+August!T77+Adj!T77</f>
        <v>993</v>
      </c>
      <c r="U77" s="220">
        <f>September!U77+October!U77+November!U77+December!U77+January!U77+February!U77+March!U77+April!U77+May!U77+June!U77+July!U77+August!U77+Adj!U77</f>
        <v>0</v>
      </c>
      <c r="V77" s="288">
        <f>September!V77+October!V77+November!V77+December!V77+January!V77+February!V77+March!V77+April!V77+May!V77+June!V77+July!V77+August!V77+Adj!V77</f>
        <v>36205</v>
      </c>
      <c r="W77" s="220">
        <f>September!W77+October!W77+November!W77+December!W77+January!W77+February!W77+March!W77+April!W77+May!W77+June!W77+July!W77+August!W77+Adj!W77</f>
        <v>11725</v>
      </c>
      <c r="X77" s="220">
        <f>September!X77+October!X77+November!X77+December!X77+January!X77+February!X77+March!X77+April!X77+May!X77+June!X77+July!X77+August!X77+Adj!X77</f>
        <v>0</v>
      </c>
      <c r="Y77" s="220">
        <f>September!Y77+October!Y77+November!Y77+December!Y77+January!Y77+February!Y77+March!Y77+April!Y77+May!Y77+June!Y77+July!Y77+August!Y77+Adj!Y77</f>
        <v>0</v>
      </c>
      <c r="Z77" s="220">
        <f>September!Z77+October!Z77+November!Z77+December!Z77+January!Z77+February!Z77+March!Z77+April!Z77+May!Z77+June!Z77+July!Z77+August!Z77+Adj!Z77</f>
        <v>210304</v>
      </c>
      <c r="AA77" s="220">
        <f>September!AA77+October!AA77+November!AA77+December!AA77+January!AA77+February!AA77+March!AA77+April!AA77+May!AA77+June!AA77+July!AA77+August!AA77+Adj!AA77</f>
        <v>124113</v>
      </c>
    </row>
    <row r="78" spans="1:30" x14ac:dyDescent="0.25">
      <c r="A78" s="117" t="s">
        <v>100</v>
      </c>
      <c r="B78" s="137" t="s">
        <v>295</v>
      </c>
      <c r="C78" s="220">
        <f>September!C78+October!C78+November!C78+December!C78+January!C78+February!C78+March!C78+April!C78+May!C78+June!C78+July!C78+August!C78+Adj!C78</f>
        <v>22488</v>
      </c>
      <c r="D78" s="220">
        <f>September!D78+October!D78+November!D78+December!D78+January!D78+February!D78+March!D78+April!D78+May!D78+June!D78+July!D78+August!D78+Adj!D78</f>
        <v>4332</v>
      </c>
      <c r="E78" s="220">
        <f>September!E78+October!E78+November!E78+December!E78+January!E78+February!E78+March!E78+April!E78+May!E78+June!E78+July!E78+August!E78+Adj!E78</f>
        <v>5167</v>
      </c>
      <c r="F78" s="220">
        <f>September!F78+October!F78+November!F78+December!F78+January!F78+February!F78+March!F78+April!F78+May!F78+June!F78+July!F78+August!F78+Adj!F78</f>
        <v>757</v>
      </c>
      <c r="G78" s="220">
        <f>September!G78+October!G78+November!G78+December!G78+January!G78+February!G78+March!G78+April!G78+May!G78+June!G78+July!G78+August!G78+Adj!G78</f>
        <v>344</v>
      </c>
      <c r="H78" s="220">
        <f>September!H78+October!H78+November!H78+December!H78+January!H78+February!H78+March!H78+April!H78+May!H78+June!H78+July!H78+August!H78+Adj!H78</f>
        <v>0</v>
      </c>
      <c r="I78" s="220">
        <f>September!I78+October!I78+November!I78+December!I78+January!I78+February!I78+March!I78+April!I78+May!I78+June!I78+July!I78+August!I78+Adj!I78</f>
        <v>0</v>
      </c>
      <c r="J78" s="220">
        <f>September!J78+October!J78+November!J78+December!J78+January!J78+February!J78+March!J78+April!J78+May!J78+June!J78+July!J78+August!J78+Adj!J78</f>
        <v>862</v>
      </c>
      <c r="K78" s="220">
        <f>September!K78+October!K78+November!K78+December!K78+January!K78+February!K78+March!K78+April!K78+May!K78+June!K78+July!K78+August!K78+Adj!K78</f>
        <v>4</v>
      </c>
      <c r="L78" s="288">
        <f>September!L78+October!L78+November!L78+December!L78+January!L78+February!L78+March!L78+April!L78+May!L78+June!L78+July!L78+August!L78+Adj!L78</f>
        <v>33954</v>
      </c>
      <c r="M78" s="220">
        <f>September!M78+October!M78+November!M78+December!M78+January!M78+February!M78+March!M78+April!M78+May!M78+June!M78+July!M78+August!M78+Adj!M78</f>
        <v>7963</v>
      </c>
      <c r="N78" s="220">
        <f>September!N78+October!N78+November!N78+December!N78+January!N78+February!N78+March!N78+April!N78+May!N78+June!N78+July!N78+August!N78+Adj!N78</f>
        <v>9927</v>
      </c>
      <c r="O78" s="220">
        <f>September!O78+October!O78+November!O78+December!O78+January!O78+February!O78+March!O78+April!O78+May!O78+June!O78+July!O78+August!O78+Adj!O78</f>
        <v>6086</v>
      </c>
      <c r="P78" s="220">
        <f>September!P78+October!P78+November!P78+December!P78+January!P78+February!P78+March!P78+April!P78+May!P78+June!P78+July!P78+August!P78+Adj!P78</f>
        <v>531</v>
      </c>
      <c r="Q78" s="220">
        <f>September!Q78+October!Q78+November!Q78+December!Q78+January!Q78+February!Q78+March!Q78+April!Q78+May!Q78+June!Q78+July!Q78+August!Q78+Adj!Q78</f>
        <v>264</v>
      </c>
      <c r="R78" s="220">
        <f>September!R78+October!R78+November!R78+December!R78+January!R78+February!R78+March!R78+April!R78+May!R78+June!R78+July!R78+August!R78+Adj!R78</f>
        <v>112</v>
      </c>
      <c r="S78" s="220">
        <f>September!S78+October!S78+November!S78+December!S78+January!S78+February!S78+March!S78+April!S78+May!S78+June!S78+July!S78+August!S78+Adj!S78</f>
        <v>0</v>
      </c>
      <c r="T78" s="220">
        <f>September!T78+October!T78+November!T78+December!T78+January!T78+February!T78+March!T78+April!T78+May!T78+June!T78+July!T78+August!T78+Adj!T78</f>
        <v>380</v>
      </c>
      <c r="U78" s="220">
        <f>September!U78+October!U78+November!U78+December!U78+January!U78+February!U78+March!U78+April!U78+May!U78+June!U78+July!U78+August!U78+Adj!U78</f>
        <v>0</v>
      </c>
      <c r="V78" s="288">
        <f>September!V78+October!V78+November!V78+December!V78+January!V78+February!V78+March!V78+April!V78+May!V78+June!V78+July!V78+August!V78+Adj!V78</f>
        <v>25263</v>
      </c>
      <c r="W78" s="220">
        <f>September!W78+October!W78+November!W78+December!W78+January!W78+February!W78+March!W78+April!W78+May!W78+June!W78+July!W78+August!W78+Adj!W78</f>
        <v>8232</v>
      </c>
      <c r="X78" s="220">
        <f>September!X78+October!X78+November!X78+December!X78+January!X78+February!X78+March!X78+April!X78+May!X78+June!X78+July!X78+August!X78+Adj!X78</f>
        <v>0</v>
      </c>
      <c r="Y78" s="220">
        <f>September!Y78+October!Y78+November!Y78+December!Y78+January!Y78+February!Y78+March!Y78+April!Y78+May!Y78+June!Y78+July!Y78+August!Y78+Adj!Y78</f>
        <v>0</v>
      </c>
      <c r="Z78" s="220">
        <f>September!Z78+October!Z78+November!Z78+December!Z78+January!Z78+February!Z78+March!Z78+April!Z78+May!Z78+June!Z78+July!Z78+August!Z78+Adj!Z78</f>
        <v>67449</v>
      </c>
      <c r="AA78" s="220">
        <f>September!AA78+October!AA78+November!AA78+December!AA78+January!AA78+February!AA78+March!AA78+April!AA78+May!AA78+June!AA78+July!AA78+August!AA78+Adj!AA78</f>
        <v>46002</v>
      </c>
    </row>
    <row r="79" spans="1:30" x14ac:dyDescent="0.25">
      <c r="A79" s="117" t="s">
        <v>108</v>
      </c>
      <c r="B79" s="137" t="s">
        <v>296</v>
      </c>
      <c r="C79" s="220">
        <f>September!C79+October!C79+November!C79+December!C79+January!C79+February!C79+March!C79+April!C79+May!C79+June!C79+July!C79+August!C79+Adj!C79</f>
        <v>8057</v>
      </c>
      <c r="D79" s="220">
        <f>September!D79+October!D79+November!D79+December!D79+January!D79+February!D79+March!D79+April!D79+May!D79+June!D79+July!D79+August!D79+Adj!D79</f>
        <v>3978</v>
      </c>
      <c r="E79" s="220">
        <f>September!E79+October!E79+November!E79+December!E79+January!E79+February!E79+March!E79+April!E79+May!E79+June!E79+July!E79+August!E79+Adj!E79</f>
        <v>3329</v>
      </c>
      <c r="F79" s="220">
        <f>September!F79+October!F79+November!F79+December!F79+January!F79+February!F79+March!F79+April!F79+May!F79+June!F79+July!F79+August!F79+Adj!F79</f>
        <v>854</v>
      </c>
      <c r="G79" s="220">
        <f>September!G79+October!G79+November!G79+December!G79+January!G79+February!G79+March!G79+April!G79+May!G79+June!G79+July!G79+August!G79+Adj!G79</f>
        <v>409</v>
      </c>
      <c r="H79" s="220">
        <f>September!H79+October!H79+November!H79+December!H79+January!H79+February!H79+March!H79+April!H79+May!H79+June!H79+July!H79+August!H79+Adj!H79</f>
        <v>0</v>
      </c>
      <c r="I79" s="220">
        <f>September!I79+October!I79+November!I79+December!I79+January!I79+February!I79+March!I79+April!I79+May!I79+June!I79+July!I79+August!I79+Adj!I79</f>
        <v>343</v>
      </c>
      <c r="J79" s="220">
        <f>September!J79+October!J79+November!J79+December!J79+January!J79+February!J79+March!J79+April!J79+May!J79+June!J79+July!J79+August!J79+Adj!J79</f>
        <v>1667</v>
      </c>
      <c r="K79" s="220">
        <f>September!K79+October!K79+November!K79+December!K79+January!K79+February!K79+March!K79+April!K79+May!K79+June!K79+July!K79+August!K79+Adj!K79</f>
        <v>0</v>
      </c>
      <c r="L79" s="288">
        <f>September!L79+October!L79+November!L79+December!L79+January!L79+February!L79+March!L79+April!L79+May!L79+June!L79+July!L79+August!L79+Adj!L79</f>
        <v>18637</v>
      </c>
      <c r="M79" s="220">
        <f>September!M79+October!M79+November!M79+December!M79+January!M79+February!M79+March!M79+April!M79+May!M79+June!M79+July!M79+August!M79+Adj!M79</f>
        <v>4771</v>
      </c>
      <c r="N79" s="220">
        <f>September!N79+October!N79+November!N79+December!N79+January!N79+February!N79+March!N79+April!N79+May!N79+June!N79+July!N79+August!N79+Adj!N79</f>
        <v>5862</v>
      </c>
      <c r="O79" s="220">
        <f>September!O79+October!O79+November!O79+December!O79+January!O79+February!O79+March!O79+April!O79+May!O79+June!O79+July!O79+August!O79+Adj!O79</f>
        <v>3712</v>
      </c>
      <c r="P79" s="220">
        <f>September!P79+October!P79+November!P79+December!P79+January!P79+February!P79+March!P79+April!P79+May!P79+June!P79+July!P79+August!P79+Adj!P79</f>
        <v>425</v>
      </c>
      <c r="Q79" s="220">
        <f>September!Q79+October!Q79+November!Q79+December!Q79+January!Q79+February!Q79+March!Q79+April!Q79+May!Q79+June!Q79+July!Q79+August!Q79+Adj!Q79</f>
        <v>264</v>
      </c>
      <c r="R79" s="220">
        <f>September!R79+October!R79+November!R79+December!R79+January!R79+February!R79+March!R79+April!R79+May!R79+June!R79+July!R79+August!R79+Adj!R79</f>
        <v>402</v>
      </c>
      <c r="S79" s="220">
        <f>September!S79+October!S79+November!S79+December!S79+January!S79+February!S79+March!S79+April!S79+May!S79+June!S79+July!S79+August!S79+Adj!S79</f>
        <v>0</v>
      </c>
      <c r="T79" s="220">
        <f>September!T79+October!T79+November!T79+December!T79+January!T79+February!T79+March!T79+April!T79+May!T79+June!T79+July!T79+August!T79+Adj!T79</f>
        <v>2675</v>
      </c>
      <c r="U79" s="220">
        <f>September!U79+October!U79+November!U79+December!U79+January!U79+February!U79+March!U79+April!U79+May!U79+June!U79+July!U79+August!U79+Adj!U79</f>
        <v>0</v>
      </c>
      <c r="V79" s="288">
        <f>September!V79+October!V79+November!V79+December!V79+January!V79+February!V79+March!V79+April!V79+May!V79+June!V79+July!V79+August!V79+Adj!V79</f>
        <v>18111</v>
      </c>
      <c r="W79" s="220">
        <f>September!W79+October!W79+November!W79+December!W79+January!W79+February!W79+March!W79+April!W79+May!W79+June!W79+July!W79+August!W79+Adj!W79</f>
        <v>4230</v>
      </c>
      <c r="X79" s="220">
        <f>September!X79+October!X79+November!X79+December!X79+January!X79+February!X79+March!X79+April!X79+May!X79+June!X79+July!X79+August!X79+Adj!X79</f>
        <v>0</v>
      </c>
      <c r="Y79" s="220">
        <f>September!Y79+October!Y79+November!Y79+December!Y79+January!Y79+February!Y79+March!Y79+April!Y79+May!Y79+June!Y79+July!Y79+August!Y79+Adj!Y79</f>
        <v>0</v>
      </c>
      <c r="Z79" s="220">
        <f>September!Z79+October!Z79+November!Z79+December!Z79+January!Z79+February!Z79+March!Z79+April!Z79+May!Z79+June!Z79+July!Z79+August!Z79+Adj!Z79</f>
        <v>40978</v>
      </c>
      <c r="AA79" s="220">
        <f>September!AA79+October!AA79+November!AA79+December!AA79+January!AA79+February!AA79+March!AA79+April!AA79+May!AA79+June!AA79+July!AA79+August!AA79+Adj!AA79</f>
        <v>23947</v>
      </c>
    </row>
    <row r="80" spans="1:30" x14ac:dyDescent="0.25">
      <c r="A80" s="117" t="s">
        <v>109</v>
      </c>
      <c r="B80" s="137" t="s">
        <v>329</v>
      </c>
      <c r="C80" s="220">
        <f>September!C80+October!C80+November!C80+December!C80+January!C80+February!C80+March!C80+April!C80+May!C80+June!C80+July!C80+August!C80+Adj!C80</f>
        <v>6460</v>
      </c>
      <c r="D80" s="220">
        <f>September!D80+October!D80+November!D80+December!D80+January!D80+February!D80+March!D80+April!D80+May!D80+June!D80+July!D80+August!D80+Adj!D80</f>
        <v>4724</v>
      </c>
      <c r="E80" s="220">
        <f>September!E80+October!E80+November!E80+December!E80+January!E80+February!E80+March!E80+April!E80+May!E80+June!E80+July!E80+August!E80+Adj!E80</f>
        <v>4396</v>
      </c>
      <c r="F80" s="220">
        <f>September!F80+October!F80+November!F80+December!F80+January!F80+February!F80+March!F80+April!F80+May!F80+June!F80+July!F80+August!F80+Adj!F80</f>
        <v>322</v>
      </c>
      <c r="G80" s="220">
        <f>September!G80+October!G80+November!G80+December!G80+January!G80+February!G80+March!G80+April!G80+May!G80+June!G80+July!G80+August!G80+Adj!G80</f>
        <v>272</v>
      </c>
      <c r="H80" s="220">
        <f>September!H80+October!H80+November!H80+December!H80+January!H80+February!H80+March!H80+April!H80+May!H80+June!H80+July!H80+August!H80+Adj!H80</f>
        <v>0</v>
      </c>
      <c r="I80" s="220">
        <f>September!I80+October!I80+November!I80+December!I80+January!I80+February!I80+March!I80+April!I80+May!I80+June!I80+July!I80+August!I80+Adj!I80</f>
        <v>2402</v>
      </c>
      <c r="J80" s="220">
        <f>September!J80+October!J80+November!J80+December!J80+January!J80+February!J80+March!J80+April!J80+May!J80+June!J80+July!J80+August!J80+Adj!J80</f>
        <v>2191</v>
      </c>
      <c r="K80" s="220">
        <f>September!K80+October!K80+November!K80+December!K80+January!K80+February!K80+March!K80+April!K80+May!K80+June!K80+July!K80+August!K80+Adj!K80</f>
        <v>0</v>
      </c>
      <c r="L80" s="288">
        <f>September!L80+October!L80+November!L80+December!L80+January!L80+February!L80+March!L80+April!L80+May!L80+June!L80+July!L80+August!L80+Adj!L80</f>
        <v>20767</v>
      </c>
      <c r="M80" s="220">
        <f>September!M80+October!M80+November!M80+December!M80+January!M80+February!M80+March!M80+April!M80+May!M80+June!M80+July!M80+August!M80+Adj!M80</f>
        <v>6082</v>
      </c>
      <c r="N80" s="220">
        <f>September!N80+October!N80+November!N80+December!N80+January!N80+February!N80+March!N80+April!N80+May!N80+June!N80+July!N80+August!N80+Adj!N80</f>
        <v>8922</v>
      </c>
      <c r="O80" s="220">
        <f>September!O80+October!O80+November!O80+December!O80+January!O80+February!O80+March!O80+April!O80+May!O80+June!O80+July!O80+August!O80+Adj!O80</f>
        <v>5332</v>
      </c>
      <c r="P80" s="220">
        <f>September!P80+October!P80+November!P80+December!P80+January!P80+February!P80+March!P80+April!P80+May!P80+June!P80+July!P80+August!P80+Adj!P80</f>
        <v>447</v>
      </c>
      <c r="Q80" s="220">
        <f>September!Q80+October!Q80+November!Q80+December!Q80+January!Q80+February!Q80+March!Q80+April!Q80+May!Q80+June!Q80+July!Q80+August!Q80+Adj!Q80</f>
        <v>285</v>
      </c>
      <c r="R80" s="220">
        <f>September!R80+October!R80+November!R80+December!R80+January!R80+February!R80+March!R80+April!R80+May!R80+June!R80+July!R80+August!R80+Adj!R80</f>
        <v>182</v>
      </c>
      <c r="S80" s="220">
        <f>September!S80+October!S80+November!S80+December!S80+January!S80+February!S80+March!S80+April!S80+May!S80+June!S80+July!S80+August!S80+Adj!S80</f>
        <v>0</v>
      </c>
      <c r="T80" s="220">
        <f>September!T80+October!T80+November!T80+December!T80+January!T80+February!T80+March!T80+April!T80+May!T80+June!T80+July!T80+August!T80+Adj!T80</f>
        <v>48</v>
      </c>
      <c r="U80" s="220">
        <f>September!U80+October!U80+November!U80+December!U80+January!U80+February!U80+March!U80+April!U80+May!U80+June!U80+July!U80+August!U80+Adj!U80</f>
        <v>0</v>
      </c>
      <c r="V80" s="288">
        <f>September!V80+October!V80+November!V80+December!V80+January!V80+February!V80+March!V80+April!V80+May!V80+June!V80+July!V80+August!V80+Adj!V80</f>
        <v>21298</v>
      </c>
      <c r="W80" s="220">
        <f>September!W80+October!W80+November!W80+December!W80+January!W80+February!W80+March!W80+April!W80+May!W80+June!W80+July!W80+August!W80+Adj!W80</f>
        <v>3224</v>
      </c>
      <c r="X80" s="220">
        <f>September!X80+October!X80+November!X80+December!X80+January!X80+February!X80+March!X80+April!X80+May!X80+June!X80+July!X80+August!X80+Adj!X80</f>
        <v>0</v>
      </c>
      <c r="Y80" s="220">
        <f>September!Y80+October!Y80+November!Y80+December!Y80+January!Y80+February!Y80+March!Y80+April!Y80+May!Y80+June!Y80+July!Y80+August!Y80+Adj!Y80</f>
        <v>0</v>
      </c>
      <c r="Z80" s="220">
        <f>September!Z80+October!Z80+November!Z80+December!Z80+January!Z80+February!Z80+March!Z80+April!Z80+May!Z80+June!Z80+July!Z80+August!Z80+Adj!Z80</f>
        <v>45289</v>
      </c>
      <c r="AA80" s="220">
        <f>September!AA80+October!AA80+November!AA80+December!AA80+January!AA80+February!AA80+March!AA80+April!AA80+May!AA80+June!AA80+July!AA80+August!AA80+Adj!AA80</f>
        <v>26957</v>
      </c>
    </row>
    <row r="81" spans="1:30" x14ac:dyDescent="0.25">
      <c r="A81" s="117" t="s">
        <v>124</v>
      </c>
      <c r="B81" s="137" t="s">
        <v>330</v>
      </c>
      <c r="C81" s="220">
        <f>September!C81+October!C81+November!C81+December!C81+January!C81+February!C81+March!C81+April!C81+May!C81+June!C81+July!C81+August!C81+Adj!C81</f>
        <v>25759</v>
      </c>
      <c r="D81" s="220">
        <f>September!D81+October!D81+November!D81+December!D81+January!D81+February!D81+March!D81+April!D81+May!D81+June!D81+July!D81+August!D81+Adj!D81</f>
        <v>13238</v>
      </c>
      <c r="E81" s="220">
        <f>September!E81+October!E81+November!E81+December!E81+January!E81+February!E81+March!E81+April!E81+May!E81+June!E81+July!E81+August!E81+Adj!E81</f>
        <v>7877</v>
      </c>
      <c r="F81" s="220">
        <f>September!F81+October!F81+November!F81+December!F81+January!F81+February!F81+March!F81+April!F81+May!F81+June!F81+July!F81+August!F81+Adj!F81</f>
        <v>937</v>
      </c>
      <c r="G81" s="220">
        <f>September!G81+October!G81+November!G81+December!G81+January!G81+February!G81+March!G81+April!G81+May!G81+June!G81+July!G81+August!G81+Adj!G81</f>
        <v>1457</v>
      </c>
      <c r="H81" s="220">
        <f>September!H81+October!H81+November!H81+December!H81+January!H81+February!H81+March!H81+April!H81+May!H81+June!H81+July!H81+August!H81+Adj!H81</f>
        <v>0</v>
      </c>
      <c r="I81" s="220">
        <f>September!I81+October!I81+November!I81+December!I81+January!I81+February!I81+March!I81+April!I81+May!I81+June!I81+July!I81+August!I81+Adj!I81</f>
        <v>179</v>
      </c>
      <c r="J81" s="220">
        <f>September!J81+October!J81+November!J81+December!J81+January!J81+February!J81+March!J81+April!J81+May!J81+June!J81+July!J81+August!J81+Adj!J81</f>
        <v>1158</v>
      </c>
      <c r="K81" s="220">
        <f>September!K81+October!K81+November!K81+December!K81+January!K81+February!K81+March!K81+April!K81+May!K81+June!K81+July!K81+August!K81+Adj!K81</f>
        <v>182</v>
      </c>
      <c r="L81" s="288">
        <f>September!L81+October!L81+November!L81+December!L81+January!L81+February!L81+March!L81+April!L81+May!L81+June!L81+July!L81+August!L81+Adj!L81</f>
        <v>50787</v>
      </c>
      <c r="M81" s="220">
        <f>September!M81+October!M81+November!M81+December!M81+January!M81+February!M81+March!M81+April!M81+May!M81+June!M81+July!M81+August!M81+Adj!M81</f>
        <v>5871</v>
      </c>
      <c r="N81" s="220">
        <f>September!N81+October!N81+November!N81+December!N81+January!N81+February!N81+March!N81+April!N81+May!N81+June!N81+July!N81+August!N81+Adj!N81</f>
        <v>9356</v>
      </c>
      <c r="O81" s="220">
        <f>September!O81+October!O81+November!O81+December!O81+January!O81+February!O81+March!O81+April!O81+May!O81+June!O81+July!O81+August!O81+Adj!O81</f>
        <v>3431</v>
      </c>
      <c r="P81" s="220">
        <f>September!P81+October!P81+November!P81+December!P81+January!P81+February!P81+March!P81+April!P81+May!P81+June!P81+July!P81+August!P81+Adj!P81</f>
        <v>392</v>
      </c>
      <c r="Q81" s="220">
        <f>September!Q81+October!Q81+November!Q81+December!Q81+January!Q81+February!Q81+March!Q81+April!Q81+May!Q81+June!Q81+July!Q81+August!Q81+Adj!Q81</f>
        <v>694</v>
      </c>
      <c r="R81" s="220">
        <f>September!R81+October!R81+November!R81+December!R81+January!R81+February!R81+March!R81+April!R81+May!R81+June!R81+July!R81+August!R81+Adj!R81</f>
        <v>111</v>
      </c>
      <c r="S81" s="220">
        <f>September!S81+October!S81+November!S81+December!S81+January!S81+February!S81+March!S81+April!S81+May!S81+June!S81+July!S81+August!S81+Adj!S81</f>
        <v>0</v>
      </c>
      <c r="T81" s="220">
        <f>September!T81+October!T81+November!T81+December!T81+January!T81+February!T81+March!T81+April!T81+May!T81+June!T81+July!T81+August!T81+Adj!T81</f>
        <v>41</v>
      </c>
      <c r="U81" s="220">
        <f>September!U81+October!U81+November!U81+December!U81+January!U81+February!U81+March!U81+April!U81+May!U81+June!U81+July!U81+August!U81+Adj!U81</f>
        <v>83</v>
      </c>
      <c r="V81" s="288">
        <f>September!V81+October!V81+November!V81+December!V81+January!V81+February!V81+March!V81+April!V81+May!V81+June!V81+July!V81+August!V81+Adj!V81</f>
        <v>19979</v>
      </c>
      <c r="W81" s="220">
        <f>September!W81+October!W81+November!W81+December!W81+January!W81+February!W81+March!W81+April!W81+May!W81+June!W81+July!W81+August!W81+Adj!W81</f>
        <v>5136</v>
      </c>
      <c r="X81" s="220">
        <f>September!X81+October!X81+November!X81+December!X81+January!X81+February!X81+March!X81+April!X81+May!X81+June!X81+July!X81+August!X81+Adj!X81</f>
        <v>0</v>
      </c>
      <c r="Y81" s="220">
        <f>September!Y81+October!Y81+November!Y81+December!Y81+January!Y81+February!Y81+March!Y81+April!Y81+May!Y81+June!Y81+July!Y81+August!Y81+Adj!Y81</f>
        <v>0</v>
      </c>
      <c r="Z81" s="220">
        <f>September!Z81+October!Z81+November!Z81+December!Z81+January!Z81+February!Z81+March!Z81+April!Z81+May!Z81+June!Z81+July!Z81+August!Z81+Adj!Z81</f>
        <v>75902</v>
      </c>
      <c r="AA81" s="220">
        <f>September!AA81+October!AA81+November!AA81+December!AA81+January!AA81+February!AA81+March!AA81+April!AA81+May!AA81+June!AA81+July!AA81+August!AA81+Adj!AA81</f>
        <v>55818</v>
      </c>
    </row>
    <row r="82" spans="1:30" x14ac:dyDescent="0.25">
      <c r="A82" s="117" t="s">
        <v>126</v>
      </c>
      <c r="B82" s="137" t="s">
        <v>331</v>
      </c>
      <c r="C82" s="220">
        <f>September!C82+October!C82+November!C82+December!C82+January!C82+February!C82+March!C82+April!C82+May!C82+June!C82+July!C82+August!C82+Adj!C82</f>
        <v>14934</v>
      </c>
      <c r="D82" s="220">
        <f>September!D82+October!D82+November!D82+December!D82+January!D82+February!D82+March!D82+April!D82+May!D82+June!D82+July!D82+August!D82+Adj!D82</f>
        <v>5011</v>
      </c>
      <c r="E82" s="220">
        <f>September!E82+October!E82+November!E82+December!E82+January!E82+February!E82+March!E82+April!E82+May!E82+June!E82+July!E82+August!E82+Adj!E82</f>
        <v>5958</v>
      </c>
      <c r="F82" s="220">
        <f>September!F82+October!F82+November!F82+December!F82+January!F82+February!F82+March!F82+April!F82+May!F82+June!F82+July!F82+August!F82+Adj!F82</f>
        <v>529</v>
      </c>
      <c r="G82" s="220">
        <f>September!G82+October!G82+November!G82+December!G82+January!G82+February!G82+March!G82+April!G82+May!G82+June!G82+July!G82+August!G82+Adj!G82</f>
        <v>373</v>
      </c>
      <c r="H82" s="220">
        <f>September!H82+October!H82+November!H82+December!H82+January!H82+February!H82+March!H82+April!H82+May!H82+June!H82+July!H82+August!H82+Adj!H82</f>
        <v>0</v>
      </c>
      <c r="I82" s="220">
        <f>September!I82+October!I82+November!I82+December!I82+January!I82+February!I82+March!I82+April!I82+May!I82+June!I82+July!I82+August!I82+Adj!I82</f>
        <v>0</v>
      </c>
      <c r="J82" s="220">
        <f>September!J82+October!J82+November!J82+December!J82+January!J82+February!J82+March!J82+April!J82+May!J82+June!J82+July!J82+August!J82+Adj!J82</f>
        <v>2924</v>
      </c>
      <c r="K82" s="220">
        <f>September!K82+October!K82+November!K82+December!K82+January!K82+February!K82+March!K82+April!K82+May!K82+June!K82+July!K82+August!K82+Adj!K82</f>
        <v>128</v>
      </c>
      <c r="L82" s="288">
        <f>September!L82+October!L82+November!L82+December!L82+January!L82+February!L82+March!L82+April!L82+May!L82+June!L82+July!L82+August!L82+Adj!L82</f>
        <v>29857</v>
      </c>
      <c r="M82" s="220">
        <f>September!M82+October!M82+November!M82+December!M82+January!M82+February!M82+March!M82+April!M82+May!M82+June!M82+July!M82+August!M82+Adj!M82</f>
        <v>15089</v>
      </c>
      <c r="N82" s="220">
        <f>September!N82+October!N82+November!N82+December!N82+January!N82+February!N82+March!N82+April!N82+May!N82+June!N82+July!N82+August!N82+Adj!N82</f>
        <v>15057</v>
      </c>
      <c r="O82" s="220">
        <f>September!O82+October!O82+November!O82+December!O82+January!O82+February!O82+March!O82+April!O82+May!O82+June!O82+July!O82+August!O82+Adj!O82</f>
        <v>8873</v>
      </c>
      <c r="P82" s="220">
        <f>September!P82+October!P82+November!P82+December!P82+January!P82+February!P82+March!P82+April!P82+May!P82+June!P82+July!P82+August!P82+Adj!P82</f>
        <v>1353</v>
      </c>
      <c r="Q82" s="220">
        <f>September!Q82+October!Q82+November!Q82+December!Q82+January!Q82+February!Q82+March!Q82+April!Q82+May!Q82+June!Q82+July!Q82+August!Q82+Adj!Q82</f>
        <v>787</v>
      </c>
      <c r="R82" s="220">
        <f>September!R82+October!R82+November!R82+December!R82+January!R82+February!R82+March!R82+April!R82+May!R82+June!R82+July!R82+August!R82+Adj!R82</f>
        <v>256</v>
      </c>
      <c r="S82" s="220">
        <f>September!S82+October!S82+November!S82+December!S82+January!S82+February!S82+March!S82+April!S82+May!S82+June!S82+July!S82+August!S82+Adj!S82</f>
        <v>64</v>
      </c>
      <c r="T82" s="220">
        <f>September!T82+October!T82+November!T82+December!T82+January!T82+February!T82+March!T82+April!T82+May!T82+June!T82+July!T82+August!T82+Adj!T82</f>
        <v>1068</v>
      </c>
      <c r="U82" s="220">
        <f>September!U82+October!U82+November!U82+December!U82+January!U82+February!U82+March!U82+April!U82+May!U82+June!U82+July!U82+August!U82+Adj!U82</f>
        <v>25</v>
      </c>
      <c r="V82" s="288">
        <f>September!V82+October!V82+November!V82+December!V82+January!V82+February!V82+March!V82+April!V82+May!V82+June!V82+July!V82+August!V82+Adj!V82</f>
        <v>42572</v>
      </c>
      <c r="W82" s="220">
        <f>September!W82+October!W82+November!W82+December!W82+January!W82+February!W82+March!W82+April!W82+May!W82+June!W82+July!W82+August!W82+Adj!W82</f>
        <v>15554</v>
      </c>
      <c r="X82" s="220">
        <f>September!X82+October!X82+November!X82+December!X82+January!X82+February!X82+March!X82+April!X82+May!X82+June!X82+July!X82+August!X82+Adj!X82</f>
        <v>0</v>
      </c>
      <c r="Y82" s="220">
        <f>September!Y82+October!Y82+November!Y82+December!Y82+January!Y82+February!Y82+March!Y82+April!Y82+May!Y82+June!Y82+July!Y82+August!Y82+Adj!Y82</f>
        <v>0</v>
      </c>
      <c r="Z82" s="220">
        <f>September!Z82+October!Z82+November!Z82+December!Z82+January!Z82+February!Z82+March!Z82+April!Z82+May!Z82+June!Z82+July!Z82+August!Z82+Adj!Z82</f>
        <v>87983</v>
      </c>
      <c r="AA82" s="220">
        <f>September!AA82+October!AA82+November!AA82+December!AA82+January!AA82+February!AA82+March!AA82+April!AA82+May!AA82+June!AA82+July!AA82+August!AA82+Adj!AA82</f>
        <v>52126</v>
      </c>
    </row>
    <row r="83" spans="1:30" x14ac:dyDescent="0.25">
      <c r="A83" s="117" t="s">
        <v>132</v>
      </c>
      <c r="B83" s="137" t="s">
        <v>298</v>
      </c>
      <c r="C83" s="220">
        <f>September!C83+October!C83+November!C83+December!C83+January!C83+February!C83+March!C83+April!C83+May!C83+June!C83+July!C83+August!C83+Adj!C83</f>
        <v>25739</v>
      </c>
      <c r="D83" s="220">
        <f>September!D83+October!D83+November!D83+December!D83+January!D83+February!D83+March!D83+April!D83+May!D83+June!D83+July!D83+August!D83+Adj!D83</f>
        <v>30151</v>
      </c>
      <c r="E83" s="220">
        <f>September!E83+October!E83+November!E83+December!E83+January!E83+February!E83+March!E83+April!E83+May!E83+June!E83+July!E83+August!E83+Adj!E83</f>
        <v>13649</v>
      </c>
      <c r="F83" s="220">
        <f>September!F83+October!F83+November!F83+December!F83+January!F83+February!F83+March!F83+April!F83+May!F83+June!F83+July!F83+August!F83+Adj!F83</f>
        <v>1054</v>
      </c>
      <c r="G83" s="220">
        <f>September!G83+October!G83+November!G83+December!G83+January!G83+February!G83+March!G83+April!G83+May!G83+June!G83+July!G83+August!G83+Adj!G83</f>
        <v>1239</v>
      </c>
      <c r="H83" s="220">
        <f>September!H83+October!H83+November!H83+December!H83+January!H83+February!H83+March!H83+April!H83+May!H83+June!H83+July!H83+August!H83+Adj!H83</f>
        <v>117</v>
      </c>
      <c r="I83" s="220">
        <f>September!I83+October!I83+November!I83+December!I83+January!I83+February!I83+March!I83+April!I83+May!I83+June!I83+July!I83+August!I83+Adj!I83</f>
        <v>753</v>
      </c>
      <c r="J83" s="220">
        <f>September!J83+October!J83+November!J83+December!J83+January!J83+February!J83+March!J83+April!J83+May!J83+June!J83+July!J83+August!J83+Adj!J83</f>
        <v>3398</v>
      </c>
      <c r="K83" s="220">
        <f>September!K83+October!K83+November!K83+December!K83+January!K83+February!K83+March!K83+April!K83+May!K83+June!K83+July!K83+August!K83+Adj!K83</f>
        <v>2</v>
      </c>
      <c r="L83" s="288">
        <f>September!L83+October!L83+November!L83+December!L83+January!L83+February!L83+March!L83+April!L83+May!L83+June!L83+July!L83+August!L83+Adj!L83</f>
        <v>76102</v>
      </c>
      <c r="M83" s="220">
        <f>September!M83+October!M83+November!M83+December!M83+January!M83+February!M83+March!M83+April!M83+May!M83+June!M83+July!M83+August!M83+Adj!M83</f>
        <v>13231</v>
      </c>
      <c r="N83" s="220">
        <f>September!N83+October!N83+November!N83+December!N83+January!N83+February!N83+March!N83+April!N83+May!N83+June!N83+July!N83+August!N83+Adj!N83</f>
        <v>20596</v>
      </c>
      <c r="O83" s="220">
        <f>September!O83+October!O83+November!O83+December!O83+January!O83+February!O83+March!O83+April!O83+May!O83+June!O83+July!O83+August!O83+Adj!O83</f>
        <v>12471</v>
      </c>
      <c r="P83" s="220">
        <f>September!P83+October!P83+November!P83+December!P83+January!P83+February!P83+March!P83+April!P83+May!P83+June!P83+July!P83+August!P83+Adj!P83</f>
        <v>604</v>
      </c>
      <c r="Q83" s="220">
        <f>September!Q83+October!Q83+November!Q83+December!Q83+January!Q83+February!Q83+March!Q83+April!Q83+May!Q83+June!Q83+July!Q83+August!Q83+Adj!Q83</f>
        <v>536</v>
      </c>
      <c r="R83" s="220">
        <f>September!R83+October!R83+November!R83+December!R83+January!R83+February!R83+March!R83+April!R83+May!R83+June!R83+July!R83+August!R83+Adj!R83</f>
        <v>1252</v>
      </c>
      <c r="S83" s="220">
        <f>September!S83+October!S83+November!S83+December!S83+January!S83+February!S83+March!S83+April!S83+May!S83+June!S83+July!S83+August!S83+Adj!S83</f>
        <v>143</v>
      </c>
      <c r="T83" s="220">
        <f>September!T83+October!T83+November!T83+December!T83+January!T83+February!T83+March!T83+April!T83+May!T83+June!T83+July!T83+August!T83+Adj!T83</f>
        <v>302</v>
      </c>
      <c r="U83" s="220">
        <f>September!U83+October!U83+November!U83+December!U83+January!U83+February!U83+March!U83+April!U83+May!U83+June!U83+July!U83+August!U83+Adj!U83</f>
        <v>0</v>
      </c>
      <c r="V83" s="288">
        <f>September!V83+October!V83+November!V83+December!V83+January!V83+February!V83+March!V83+April!V83+May!V83+June!V83+July!V83+August!V83+Adj!V83</f>
        <v>49135</v>
      </c>
      <c r="W83" s="220">
        <f>September!W83+October!W83+November!W83+December!W83+January!W83+February!W83+March!W83+April!W83+May!W83+June!W83+July!W83+August!W83+Adj!W83</f>
        <v>12151</v>
      </c>
      <c r="X83" s="220">
        <f>September!X83+October!X83+November!X83+December!X83+January!X83+February!X83+March!X83+April!X83+May!X83+June!X83+July!X83+August!X83+Adj!X83</f>
        <v>0</v>
      </c>
      <c r="Y83" s="220">
        <f>September!Y83+October!Y83+November!Y83+December!Y83+January!Y83+February!Y83+March!Y83+April!Y83+May!Y83+June!Y83+July!Y83+August!Y83+Adj!Y83</f>
        <v>0</v>
      </c>
      <c r="Z83" s="220">
        <f>September!Z83+October!Z83+November!Z83+December!Z83+January!Z83+February!Z83+March!Z83+April!Z83+May!Z83+June!Z83+July!Z83+August!Z83+Adj!Z83</f>
        <v>137388</v>
      </c>
      <c r="AA83" s="220">
        <f>September!AA83+October!AA83+November!AA83+December!AA83+January!AA83+February!AA83+March!AA83+April!AA83+May!AA83+June!AA83+July!AA83+August!AA83+Adj!AA83</f>
        <v>91377</v>
      </c>
    </row>
    <row r="84" spans="1:30" x14ac:dyDescent="0.25">
      <c r="A84" s="117" t="s">
        <v>137</v>
      </c>
      <c r="B84" s="137" t="s">
        <v>299</v>
      </c>
      <c r="C84" s="220">
        <f>September!C84+October!C84+November!C84+December!C84+January!C84+February!C84+March!C84+April!C84+May!C84+June!C84+July!C84+August!C84+Adj!C84</f>
        <v>12030</v>
      </c>
      <c r="D84" s="220">
        <f>September!D84+October!D84+November!D84+December!D84+January!D84+February!D84+March!D84+April!D84+May!D84+June!D84+July!D84+August!D84+Adj!D84</f>
        <v>7636</v>
      </c>
      <c r="E84" s="220">
        <f>September!E84+October!E84+November!E84+December!E84+January!E84+February!E84+March!E84+April!E84+May!E84+June!E84+July!E84+August!E84+Adj!E84</f>
        <v>4290</v>
      </c>
      <c r="F84" s="220">
        <f>September!F84+October!F84+November!F84+December!F84+January!F84+February!F84+March!F84+April!F84+May!F84+June!F84+July!F84+August!F84+Adj!F84</f>
        <v>453</v>
      </c>
      <c r="G84" s="220">
        <f>September!G84+October!G84+November!G84+December!G84+January!G84+February!G84+March!G84+April!G84+May!G84+June!G84+July!G84+August!G84+Adj!G84</f>
        <v>588</v>
      </c>
      <c r="H84" s="220">
        <f>September!H84+October!H84+November!H84+December!H84+January!H84+February!H84+March!H84+April!H84+May!H84+June!H84+July!H84+August!H84+Adj!H84</f>
        <v>0</v>
      </c>
      <c r="I84" s="220">
        <f>September!I84+October!I84+November!I84+December!I84+January!I84+February!I84+March!I84+April!I84+May!I84+June!I84+July!I84+August!I84+Adj!I84</f>
        <v>23</v>
      </c>
      <c r="J84" s="220">
        <f>September!J84+October!J84+November!J84+December!J84+January!J84+February!J84+March!J84+April!J84+May!J84+June!J84+July!J84+August!J84+Adj!J84</f>
        <v>2461</v>
      </c>
      <c r="K84" s="220">
        <f>September!K84+October!K84+November!K84+December!K84+January!K84+February!K84+March!K84+April!K84+May!K84+June!K84+July!K84+August!K84+Adj!K84</f>
        <v>4</v>
      </c>
      <c r="L84" s="288">
        <f>September!L84+October!L84+November!L84+December!L84+January!L84+February!L84+March!L84+April!L84+May!L84+June!L84+July!L84+August!L84+Adj!L84</f>
        <v>27485</v>
      </c>
      <c r="M84" s="220">
        <f>September!M84+October!M84+November!M84+December!M84+January!M84+February!M84+March!M84+April!M84+May!M84+June!M84+July!M84+August!M84+Adj!M84</f>
        <v>15851</v>
      </c>
      <c r="N84" s="220">
        <f>September!N84+October!N84+November!N84+December!N84+January!N84+February!N84+March!N84+April!N84+May!N84+June!N84+July!N84+August!N84+Adj!N84</f>
        <v>19236</v>
      </c>
      <c r="O84" s="220">
        <f>September!O84+October!O84+November!O84+December!O84+January!O84+February!O84+March!O84+April!O84+May!O84+June!O84+July!O84+August!O84+Adj!O84</f>
        <v>11186</v>
      </c>
      <c r="P84" s="220">
        <f>September!P84+October!P84+November!P84+December!P84+January!P84+February!P84+March!P84+April!P84+May!P84+June!P84+July!P84+August!P84+Adj!P84</f>
        <v>655</v>
      </c>
      <c r="Q84" s="220">
        <f>September!Q84+October!Q84+November!Q84+December!Q84+January!Q84+February!Q84+March!Q84+April!Q84+May!Q84+June!Q84+July!Q84+August!Q84+Adj!Q84</f>
        <v>872</v>
      </c>
      <c r="R84" s="220">
        <f>September!R84+October!R84+November!R84+December!R84+January!R84+February!R84+March!R84+April!R84+May!R84+June!R84+July!R84+August!R84+Adj!R84</f>
        <v>158</v>
      </c>
      <c r="S84" s="220">
        <f>September!S84+October!S84+November!S84+December!S84+January!S84+February!S84+March!S84+April!S84+May!S84+June!S84+July!S84+August!S84+Adj!S84</f>
        <v>0</v>
      </c>
      <c r="T84" s="220">
        <f>September!T84+October!T84+November!T84+December!T84+January!T84+February!T84+March!T84+April!T84+May!T84+June!T84+July!T84+August!T84+Adj!T84</f>
        <v>273</v>
      </c>
      <c r="U84" s="220">
        <f>September!U84+October!U84+November!U84+December!U84+January!U84+February!U84+March!U84+April!U84+May!U84+June!U84+July!U84+August!U84+Adj!U84</f>
        <v>0</v>
      </c>
      <c r="V84" s="288">
        <f>September!V84+October!V84+November!V84+December!V84+January!V84+February!V84+March!V84+April!V84+May!V84+June!V84+July!V84+August!V84+Adj!V84</f>
        <v>48231</v>
      </c>
      <c r="W84" s="220">
        <f>September!W84+October!W84+November!W84+December!W84+January!W84+February!W84+March!W84+April!W84+May!W84+June!W84+July!W84+August!W84+Adj!W84</f>
        <v>5674</v>
      </c>
      <c r="X84" s="220">
        <f>September!X84+October!X84+November!X84+December!X84+January!X84+February!X84+March!X84+April!X84+May!X84+June!X84+July!X84+August!X84+Adj!X84</f>
        <v>0</v>
      </c>
      <c r="Y84" s="220">
        <f>September!Y84+October!Y84+November!Y84+December!Y84+January!Y84+February!Y84+March!Y84+April!Y84+May!Y84+June!Y84+July!Y84+August!Y84+Adj!Y84</f>
        <v>0</v>
      </c>
      <c r="Z84" s="220">
        <f>September!Z84+October!Z84+November!Z84+December!Z84+January!Z84+February!Z84+March!Z84+April!Z84+May!Z84+June!Z84+July!Z84+August!Z84+Adj!Z84</f>
        <v>81390</v>
      </c>
      <c r="AA84" s="220">
        <f>September!AA84+October!AA84+November!AA84+December!AA84+January!AA84+February!AA84+March!AA84+April!AA84+May!AA84+June!AA84+July!AA84+August!AA84+Adj!AA84</f>
        <v>55865</v>
      </c>
    </row>
    <row r="85" spans="1:30" x14ac:dyDescent="0.25">
      <c r="A85" s="117" t="s">
        <v>148</v>
      </c>
      <c r="B85" s="137" t="s">
        <v>300</v>
      </c>
      <c r="C85" s="220">
        <f>September!C85+October!C85+November!C85+December!C85+January!C85+February!C85+March!C85+April!C85+May!C85+June!C85+July!C85+August!C85+Adj!C85</f>
        <v>5806</v>
      </c>
      <c r="D85" s="220">
        <f>September!D85+October!D85+November!D85+December!D85+January!D85+February!D85+March!D85+April!D85+May!D85+June!D85+July!D85+August!D85+Adj!D85</f>
        <v>5755</v>
      </c>
      <c r="E85" s="220">
        <f>September!E85+October!E85+November!E85+December!E85+January!E85+February!E85+March!E85+April!E85+May!E85+June!E85+July!E85+August!E85+Adj!E85</f>
        <v>3332</v>
      </c>
      <c r="F85" s="220">
        <f>September!F85+October!F85+November!F85+December!F85+January!F85+February!F85+March!F85+April!F85+May!F85+June!F85+July!F85+August!F85+Adj!F85</f>
        <v>418</v>
      </c>
      <c r="G85" s="220">
        <f>September!G85+October!G85+November!G85+December!G85+January!G85+February!G85+March!G85+April!G85+May!G85+June!G85+July!G85+August!G85+Adj!G85</f>
        <v>281</v>
      </c>
      <c r="H85" s="220">
        <f>September!H85+October!H85+November!H85+December!H85+January!H85+February!H85+March!H85+April!H85+May!H85+June!H85+July!H85+August!H85+Adj!H85</f>
        <v>3</v>
      </c>
      <c r="I85" s="220">
        <f>September!I85+October!I85+November!I85+December!I85+January!I85+February!I85+March!I85+April!I85+May!I85+June!I85+July!I85+August!I85+Adj!I85</f>
        <v>246</v>
      </c>
      <c r="J85" s="220">
        <f>September!J85+October!J85+November!J85+December!J85+January!J85+February!J85+March!J85+April!J85+May!J85+June!J85+July!J85+August!J85+Adj!J85</f>
        <v>1059</v>
      </c>
      <c r="K85" s="220">
        <f>September!K85+October!K85+November!K85+December!K85+January!K85+February!K85+March!K85+April!K85+May!K85+June!K85+July!K85+August!K85+Adj!K85</f>
        <v>2</v>
      </c>
      <c r="L85" s="288">
        <f>September!L85+October!L85+November!L85+December!L85+January!L85+February!L85+March!L85+April!L85+May!L85+June!L85+July!L85+August!L85+Adj!L85</f>
        <v>16902</v>
      </c>
      <c r="M85" s="446">
        <f>September!M85+October!M85+November!M85+December!M85+January!M85+February!M85+March!M85+April!M85+May!M85+June!M85+July!M85+August!M85+Adj!M85</f>
        <v>6229</v>
      </c>
      <c r="N85" s="446">
        <f>September!N85+October!N85+November!N85+December!N85+January!N85+February!N85+March!N85+April!N85+May!N85+June!N85+July!N85+August!N85+Adj!N85</f>
        <v>6962</v>
      </c>
      <c r="O85" s="446">
        <f>September!O85+October!O85+November!O85+December!O85+January!O85+February!O85+March!O85+April!O85+May!O85+June!O85+July!O85+August!O85+Adj!O85</f>
        <v>4895</v>
      </c>
      <c r="P85" s="446">
        <f>September!P85+October!P85+November!P85+December!P85+January!P85+February!P85+March!P85+April!P85+May!P85+June!P85+July!P85+August!P85+Adj!P85</f>
        <v>256</v>
      </c>
      <c r="Q85" s="446">
        <f>September!Q85+October!Q85+November!Q85+December!Q85+January!Q85+February!Q85+March!Q85+April!Q85+May!Q85+June!Q85+July!Q85+August!Q85+Adj!Q85</f>
        <v>255</v>
      </c>
      <c r="R85" s="446">
        <f>September!R85+October!R85+November!R85+December!R85+January!R85+February!R85+March!R85+April!R85+May!R85+June!R85+July!R85+August!R85+Adj!R85</f>
        <v>389</v>
      </c>
      <c r="S85" s="446">
        <f>September!S85+October!S85+November!S85+December!S85+January!S85+February!S85+March!S85+April!S85+May!S85+June!S85+July!S85+August!S85+Adj!S85</f>
        <v>61</v>
      </c>
      <c r="T85" s="446">
        <f>September!T85+October!T85+November!T85+December!T85+January!T85+February!T85+March!T85+April!T85+May!T85+June!T85+July!T85+August!T85+Adj!T85</f>
        <v>159</v>
      </c>
      <c r="U85" s="446">
        <f>September!U85+October!U85+November!U85+December!U85+January!U85+February!U85+March!U85+April!U85+May!U85+June!U85+July!U85+August!U85+Adj!U85</f>
        <v>0</v>
      </c>
      <c r="V85" s="288">
        <f>September!V85+October!V85+November!V85+December!V85+January!V85+February!V85+March!V85+April!V85+May!V85+June!V85+July!V85+August!V85+Adj!V85</f>
        <v>19206</v>
      </c>
      <c r="W85" s="220">
        <f>September!W85+October!W85+November!W85+December!W85+January!W85+February!W85+March!W85+April!W85+May!W85+June!W85+July!W85+August!W85+Adj!W85</f>
        <v>2624</v>
      </c>
      <c r="X85" s="220">
        <f>September!X85+October!X85+November!X85+December!X85+January!X85+February!X85+March!X85+April!X85+May!X85+June!X85+July!X85+August!X85+Adj!X85</f>
        <v>0</v>
      </c>
      <c r="Y85" s="220">
        <f>September!Y85+October!Y85+November!Y85+December!Y85+January!Y85+February!Y85+March!Y85+April!Y85+May!Y85+June!Y85+July!Y85+August!Y85+Adj!Y85</f>
        <v>0</v>
      </c>
      <c r="Z85" s="220">
        <f>September!Z85+October!Z85+November!Z85+December!Z85+January!Z85+February!Z85+March!Z85+April!Z85+May!Z85+June!Z85+July!Z85+August!Z85+Adj!Z85</f>
        <v>38732</v>
      </c>
      <c r="AA85" s="220">
        <f>September!AA85+October!AA85+November!AA85+December!AA85+January!AA85+February!AA85+March!AA85+April!AA85+May!AA85+June!AA85+July!AA85+August!AA85+Adj!AA85</f>
        <v>25428</v>
      </c>
    </row>
    <row r="86" spans="1:30" x14ac:dyDescent="0.25">
      <c r="A86" s="117" t="s">
        <v>169</v>
      </c>
      <c r="B86" s="137" t="s">
        <v>301</v>
      </c>
      <c r="C86" s="220">
        <f>September!C86+October!C86+November!C86+December!C86+January!C86+February!C86+March!C86+April!C86+May!C86+June!C86+July!C86+August!C86+Adj!C86</f>
        <v>6255</v>
      </c>
      <c r="D86" s="220">
        <f>September!D86+October!D86+November!D86+December!D86+January!D86+February!D86+March!D86+April!D86+May!D86+June!D86+July!D86+August!D86+Adj!D86</f>
        <v>2820</v>
      </c>
      <c r="E86" s="220">
        <f>September!E86+October!E86+November!E86+December!E86+January!E86+February!E86+March!E86+April!E86+May!E86+June!E86+July!E86+August!E86+Adj!E86</f>
        <v>3115</v>
      </c>
      <c r="F86" s="220">
        <f>September!F86+October!F86+November!F86+December!F86+January!F86+February!F86+March!F86+April!F86+May!F86+June!F86+July!F86+August!F86+Adj!F86</f>
        <v>231</v>
      </c>
      <c r="G86" s="220">
        <f>September!G86+October!G86+November!G86+December!G86+January!G86+February!G86+March!G86+April!G86+May!G86+June!G86+July!G86+August!G86+Adj!G86</f>
        <v>701</v>
      </c>
      <c r="H86" s="220">
        <f>September!H86+October!H86+November!H86+December!H86+January!H86+February!H86+March!H86+April!H86+May!H86+June!H86+July!H86+August!H86+Adj!H86</f>
        <v>104</v>
      </c>
      <c r="I86" s="220">
        <f>September!I86+October!I86+November!I86+December!I86+January!I86+February!I86+March!I86+April!I86+May!I86+June!I86+July!I86+August!I86+Adj!I86</f>
        <v>526</v>
      </c>
      <c r="J86" s="220">
        <f>September!J86+October!J86+November!J86+December!J86+January!J86+February!J86+March!J86+April!J86+May!J86+June!J86+July!J86+August!J86+Adj!J86</f>
        <v>1099</v>
      </c>
      <c r="K86" s="220">
        <f>September!K86+October!K86+November!K86+December!K86+January!K86+February!K86+March!K86+April!K86+May!K86+June!K86+July!K86+August!K86+Adj!K86</f>
        <v>0</v>
      </c>
      <c r="L86" s="288">
        <f>September!L86+October!L86+November!L86+December!L86+January!L86+February!L86+March!L86+April!L86+May!L86+June!L86+July!L86+August!L86+Adj!L86</f>
        <v>14851</v>
      </c>
      <c r="M86" s="446">
        <f>September!M86+October!M86+November!M86+December!M86+January!M86+February!M86+March!M86+April!M86+May!M86+June!M86+July!M86+August!M86+Adj!M86</f>
        <v>2333</v>
      </c>
      <c r="N86" s="446">
        <f>September!N86+October!N86+November!N86+December!N86+January!N86+February!N86+March!N86+April!N86+May!N86+June!N86+July!N86+August!N86+Adj!N86</f>
        <v>5537</v>
      </c>
      <c r="O86" s="446">
        <f>September!O86+October!O86+November!O86+December!O86+January!O86+February!O86+March!O86+April!O86+May!O86+June!O86+July!O86+August!O86+Adj!O86</f>
        <v>1859</v>
      </c>
      <c r="P86" s="446">
        <f>September!P86+October!P86+November!P86+December!P86+January!P86+February!P86+March!P86+April!P86+May!P86+June!P86+July!P86+August!P86+Adj!P86</f>
        <v>294</v>
      </c>
      <c r="Q86" s="446">
        <f>September!Q86+October!Q86+November!Q86+December!Q86+January!Q86+February!Q86+March!Q86+April!Q86+May!Q86+June!Q86+July!Q86+August!Q86+Adj!Q86</f>
        <v>285</v>
      </c>
      <c r="R86" s="446">
        <f>September!R86+October!R86+November!R86+December!R86+January!R86+February!R86+March!R86+April!R86+May!R86+June!R86+July!R86+August!R86+Adj!R86</f>
        <v>98</v>
      </c>
      <c r="S86" s="446">
        <f>September!S86+October!S86+November!S86+December!S86+January!S86+February!S86+March!S86+April!S86+May!S86+June!S86+July!S86+August!S86+Adj!S86</f>
        <v>0</v>
      </c>
      <c r="T86" s="446">
        <f>September!T86+October!T86+November!T86+December!T86+January!T86+February!T86+March!T86+April!T86+May!T86+June!T86+July!T86+August!T86+Adj!T86</f>
        <v>297</v>
      </c>
      <c r="U86" s="446">
        <f>September!U86+October!U86+November!U86+December!U86+January!U86+February!U86+March!U86+April!U86+May!U86+June!U86+July!U86+August!U86+Adj!U86</f>
        <v>0</v>
      </c>
      <c r="V86" s="288">
        <f>September!V86+October!V86+November!V86+December!V86+January!V86+February!V86+March!V86+April!V86+May!V86+June!V86+July!V86+August!V86+Adj!V86</f>
        <v>10703</v>
      </c>
      <c r="W86" s="220">
        <f>September!W86+October!W86+November!W86+December!W86+January!W86+February!W86+March!W86+April!W86+May!W86+June!W86+July!W86+August!W86+Adj!W86</f>
        <v>0</v>
      </c>
      <c r="X86" s="220">
        <f>September!X86+October!X86+November!X86+December!X86+January!X86+February!X86+March!X86+April!X86+May!X86+June!X86+July!X86+August!X86+Adj!X86</f>
        <v>0</v>
      </c>
      <c r="Y86" s="220">
        <f>September!Y86+October!Y86+November!Y86+December!Y86+January!Y86+February!Y86+March!Y86+April!Y86+May!Y86+June!Y86+July!Y86+August!Y86+Adj!Y86</f>
        <v>0</v>
      </c>
      <c r="Z86" s="220">
        <f>September!Z86+October!Z86+November!Z86+December!Z86+January!Z86+February!Z86+March!Z86+April!Z86+May!Z86+June!Z86+July!Z86+August!Z86+Adj!Z86</f>
        <v>25554</v>
      </c>
      <c r="AA86" s="220">
        <f>September!AA86+October!AA86+November!AA86+December!AA86+January!AA86+February!AA86+March!AA86+April!AA86+May!AA86+June!AA86+July!AA86+August!AA86+Adj!AA86</f>
        <v>17470</v>
      </c>
    </row>
    <row r="87" spans="1:30" x14ac:dyDescent="0.25">
      <c r="A87" s="117" t="s">
        <v>172</v>
      </c>
      <c r="B87" s="137" t="s">
        <v>333</v>
      </c>
      <c r="C87" s="220">
        <f>September!C87+October!C87+November!C87+December!C87+January!C87+February!C87+March!C87+April!C87+May!C87+June!C87+July!C87+August!C87+Adj!C87</f>
        <v>185973</v>
      </c>
      <c r="D87" s="220">
        <f>September!D87+October!D87+November!D87+December!D87+January!D87+February!D87+March!D87+April!D87+May!D87+June!D87+July!D87+August!D87+Adj!D87</f>
        <v>41279</v>
      </c>
      <c r="E87" s="220">
        <f>September!E87+October!E87+November!E87+December!E87+January!E87+February!E87+March!E87+April!E87+May!E87+June!E87+July!E87+August!E87+Adj!E87</f>
        <v>33749</v>
      </c>
      <c r="F87" s="220">
        <f>September!F87+October!F87+November!F87+December!F87+January!F87+February!F87+March!F87+April!F87+May!F87+June!F87+July!F87+August!F87+Adj!F87</f>
        <v>3506</v>
      </c>
      <c r="G87" s="220">
        <f>September!G87+October!G87+November!G87+December!G87+January!G87+February!G87+March!G87+April!G87+May!G87+June!G87+July!G87+August!G87+Adj!G87</f>
        <v>1892</v>
      </c>
      <c r="H87" s="220">
        <f>September!H87+October!H87+November!H87+December!H87+January!H87+February!H87+March!H87+April!H87+May!H87+June!H87+July!H87+August!H87+Adj!H87</f>
        <v>191</v>
      </c>
      <c r="I87" s="220">
        <f>September!I87+October!I87+November!I87+December!I87+January!I87+February!I87+March!I87+April!I87+May!I87+June!I87+July!I87+August!I87+Adj!I87</f>
        <v>6415</v>
      </c>
      <c r="J87" s="220">
        <f>September!J87+October!J87+November!J87+December!J87+January!J87+February!J87+March!J87+April!J87+May!J87+June!J87+July!J87+August!J87+Adj!J87</f>
        <v>50805</v>
      </c>
      <c r="K87" s="220">
        <f>September!K87+October!K87+November!K87+December!K87+January!K87+February!K87+March!K87+April!K87+May!K87+June!K87+July!K87+August!K87+Adj!K87</f>
        <v>6</v>
      </c>
      <c r="L87" s="288">
        <f>September!L87+October!L87+November!L87+December!L87+January!L87+February!L87+March!L87+April!L87+May!L87+June!L87+July!L87+August!L87+Adj!L87</f>
        <v>323816</v>
      </c>
      <c r="M87" s="446">
        <f>September!M87+October!M87+November!M87+December!M87+January!M87+February!M87+March!M87+April!M87+May!M87+June!M87+July!M87+August!M87+Adj!M87</f>
        <v>30622</v>
      </c>
      <c r="N87" s="446">
        <f>September!N87+October!N87+November!N87+December!N87+January!N87+February!N87+March!N87+April!N87+May!N87+June!N87+July!N87+August!N87+Adj!N87</f>
        <v>26338</v>
      </c>
      <c r="O87" s="446">
        <f>September!O87+October!O87+November!O87+December!O87+January!O87+February!O87+March!O87+April!O87+May!O87+June!O87+July!O87+August!O87+Adj!O87</f>
        <v>10330</v>
      </c>
      <c r="P87" s="446">
        <f>September!P87+October!P87+November!P87+December!P87+January!P87+February!P87+March!P87+April!P87+May!P87+June!P87+July!P87+August!P87+Adj!P87</f>
        <v>1468</v>
      </c>
      <c r="Q87" s="446">
        <f>September!Q87+October!Q87+November!Q87+December!Q87+January!Q87+February!Q87+March!Q87+April!Q87+May!Q87+June!Q87+July!Q87+August!Q87+Adj!Q87</f>
        <v>840</v>
      </c>
      <c r="R87" s="446">
        <f>September!R87+October!R87+November!R87+December!R87+January!R87+February!R87+March!R87+April!R87+May!R87+June!R87+July!R87+August!R87+Adj!R87</f>
        <v>642</v>
      </c>
      <c r="S87" s="446">
        <f>September!S87+October!S87+November!S87+December!S87+January!S87+February!S87+March!S87+April!S87+May!S87+June!S87+July!S87+August!S87+Adj!S87</f>
        <v>357</v>
      </c>
      <c r="T87" s="446">
        <f>September!T87+October!T87+November!T87+December!T87+January!T87+February!T87+March!T87+April!T87+May!T87+June!T87+July!T87+August!T87+Adj!T87</f>
        <v>450</v>
      </c>
      <c r="U87" s="446">
        <f>September!U87+October!U87+November!U87+December!U87+January!U87+February!U87+March!U87+April!U87+May!U87+June!U87+July!U87+August!U87+Adj!U87</f>
        <v>0</v>
      </c>
      <c r="V87" s="288">
        <f>September!V87+October!V87+November!V87+December!V87+January!V87+February!V87+March!V87+April!V87+May!V87+June!V87+July!V87+August!V87+Adj!V87</f>
        <v>71047</v>
      </c>
      <c r="W87" s="220">
        <f>September!W87+October!W87+November!W87+December!W87+January!W87+February!W87+March!W87+April!W87+May!W87+June!W87+July!W87+August!W87+Adj!W87</f>
        <v>3165</v>
      </c>
      <c r="X87" s="220">
        <f>September!X87+October!X87+November!X87+December!X87+January!X87+February!X87+March!X87+April!X87+May!X87+June!X87+July!X87+August!X87+Adj!X87</f>
        <v>0</v>
      </c>
      <c r="Y87" s="220">
        <f>September!Y87+October!Y87+November!Y87+December!Y87+January!Y87+February!Y87+March!Y87+April!Y87+May!Y87+June!Y87+July!Y87+August!Y87+Adj!Y87</f>
        <v>0</v>
      </c>
      <c r="Z87" s="220">
        <f>September!Z87+October!Z87+November!Z87+December!Z87+January!Z87+February!Z87+March!Z87+April!Z87+May!Z87+June!Z87+July!Z87+August!Z87+Adj!Z87</f>
        <v>398028</v>
      </c>
      <c r="AA87" s="220">
        <f>September!AA87+October!AA87+November!AA87+December!AA87+January!AA87+February!AA87+March!AA87+April!AA87+May!AA87+June!AA87+July!AA87+August!AA87+Adj!AA87</f>
        <v>289192</v>
      </c>
    </row>
    <row r="88" spans="1:30" ht="13.8" thickBot="1" x14ac:dyDescent="0.3">
      <c r="A88" s="124" t="s">
        <v>175</v>
      </c>
      <c r="B88" s="143" t="s">
        <v>334</v>
      </c>
      <c r="C88" s="282">
        <f>September!C88+October!C88+November!C88+December!C88+January!C88+February!C88+March!C88+April!C88+May!C88+June!C88+July!C88+August!C88+Adj!C88</f>
        <v>5239</v>
      </c>
      <c r="D88" s="282">
        <f>September!D88+October!D88+November!D88+December!D88+January!D88+February!D88+March!D88+April!D88+May!D88+June!D88+July!D88+August!D88+Adj!D88</f>
        <v>1870</v>
      </c>
      <c r="E88" s="282">
        <f>September!E88+October!E88+November!E88+December!E88+January!E88+February!E88+March!E88+April!E88+May!E88+June!E88+July!E88+August!E88+Adj!E88</f>
        <v>1701</v>
      </c>
      <c r="F88" s="282">
        <f>September!F88+October!F88+November!F88+December!F88+January!F88+February!F88+March!F88+April!F88+May!F88+June!F88+July!F88+August!F88+Adj!F88</f>
        <v>116</v>
      </c>
      <c r="G88" s="282">
        <f>September!G88+October!G88+November!G88+December!G88+January!G88+February!G88+March!G88+April!G88+May!G88+June!G88+July!G88+August!G88+Adj!G88</f>
        <v>151</v>
      </c>
      <c r="H88" s="282">
        <f>September!H88+October!H88+November!H88+December!H88+January!H88+February!H88+March!H88+April!H88+May!H88+June!H88+July!H88+August!H88+Adj!H88</f>
        <v>48</v>
      </c>
      <c r="I88" s="282">
        <f>September!I88+October!I88+November!I88+December!I88+January!I88+February!I88+March!I88+April!I88+May!I88+June!I88+July!I88+August!I88+Adj!I88</f>
        <v>0</v>
      </c>
      <c r="J88" s="282">
        <f>September!J88+October!J88+November!J88+December!J88+January!J88+February!J88+March!J88+April!J88+May!J88+June!J88+July!J88+August!J88+Adj!J88</f>
        <v>504</v>
      </c>
      <c r="K88" s="282">
        <f>September!K88+October!K88+November!K88+December!K88+January!K88+February!K88+March!K88+April!K88+May!K88+June!K88+July!K88+August!K88+Adj!K88</f>
        <v>0</v>
      </c>
      <c r="L88" s="289">
        <f>September!L88+October!L88+November!L88+December!L88+January!L88+February!L88+March!L88+April!L88+May!L88+June!L88+July!L88+August!L88+Adj!L88</f>
        <v>9629</v>
      </c>
      <c r="M88" s="447">
        <f>September!M88+October!M88+November!M88+December!M88+January!M88+February!M88+March!M88+April!M88+May!M88+June!M88+July!M88+August!M88+Adj!M88</f>
        <v>18588</v>
      </c>
      <c r="N88" s="447">
        <f>September!N88+October!N88+November!N88+December!N88+January!N88+February!N88+March!N88+April!N88+May!N88+June!N88+July!N88+August!N88+Adj!N88</f>
        <v>9789</v>
      </c>
      <c r="O88" s="447">
        <f>September!O88+October!O88+November!O88+December!O88+January!O88+February!O88+March!O88+April!O88+May!O88+June!O88+July!O88+August!O88+Adj!O88</f>
        <v>9790</v>
      </c>
      <c r="P88" s="447">
        <f>September!P88+October!P88+November!P88+December!P88+January!P88+February!P88+March!P88+April!P88+May!P88+June!P88+July!P88+August!P88+Adj!P88</f>
        <v>479</v>
      </c>
      <c r="Q88" s="447">
        <f>September!Q88+October!Q88+November!Q88+December!Q88+January!Q88+February!Q88+March!Q88+April!Q88+May!Q88+June!Q88+July!Q88+August!Q88+Adj!Q88</f>
        <v>617</v>
      </c>
      <c r="R88" s="447">
        <f>September!R88+October!R88+November!R88+December!R88+January!R88+February!R88+March!R88+April!R88+May!R88+June!R88+July!R88+August!R88+Adj!R88</f>
        <v>66</v>
      </c>
      <c r="S88" s="447">
        <f>September!S88+October!S88+November!S88+December!S88+January!S88+February!S88+March!S88+April!S88+May!S88+June!S88+July!S88+August!S88+Adj!S88</f>
        <v>0</v>
      </c>
      <c r="T88" s="447">
        <f>September!T88+October!T88+November!T88+December!T88+January!T88+February!T88+March!T88+April!T88+May!T88+June!T88+July!T88+August!T88+Adj!T88</f>
        <v>54</v>
      </c>
      <c r="U88" s="447">
        <f>September!U88+October!U88+November!U88+December!U88+January!U88+February!U88+March!U88+April!U88+May!U88+June!U88+July!U88+August!U88+Adj!U88</f>
        <v>0</v>
      </c>
      <c r="V88" s="289">
        <f>September!V88+October!V88+November!V88+December!V88+January!V88+February!V88+March!V88+April!V88+May!V88+June!V88+July!V88+August!V88+Adj!V88</f>
        <v>39383</v>
      </c>
      <c r="W88" s="282">
        <f>September!W88+October!W88+November!W88+December!W88+January!W88+February!W88+March!W88+April!W88+May!W88+June!W88+July!W88+August!W88+Adj!W88</f>
        <v>9738</v>
      </c>
      <c r="X88" s="282">
        <f>September!X88+October!X88+November!X88+December!X88+January!X88+February!X88+March!X88+April!X88+May!X88+June!X88+July!X88+August!X88+Adj!X88</f>
        <v>0</v>
      </c>
      <c r="Y88" s="282">
        <f>September!Y88+October!Y88+November!Y88+December!Y88+January!Y88+February!Y88+March!Y88+April!Y88+May!Y88+June!Y88+July!Y88+August!Y88+Adj!Y88</f>
        <v>0</v>
      </c>
      <c r="Z88" s="282">
        <f>September!Z88+October!Z88+November!Z88+December!Z88+January!Z88+February!Z88+March!Z88+April!Z88+May!Z88+June!Z88+July!Z88+August!Z88+Adj!Z88</f>
        <v>58750</v>
      </c>
      <c r="AA88" s="282">
        <f>September!AA88+October!AA88+November!AA88+December!AA88+January!AA88+February!AA88+March!AA88+April!AA88+May!AA88+June!AA88+July!AA88+August!AA88+Adj!AA88</f>
        <v>36081</v>
      </c>
    </row>
    <row r="89" spans="1:30" s="109" customFormat="1" ht="14.4" thickBot="1" x14ac:dyDescent="0.3">
      <c r="A89" s="127"/>
      <c r="B89" s="159" t="s">
        <v>461</v>
      </c>
      <c r="C89" s="283">
        <f>September!C89+October!C89+November!C89+December!C89+January!C89+February!C89+March!C89+April!C89+May!C89+June!C89+July!C89+August!C89+Adj!C89</f>
        <v>451405</v>
      </c>
      <c r="D89" s="283">
        <f>September!D89+October!D89+November!D89+December!D89+January!D89+February!D89+March!D89+April!D89+May!D89+June!D89+July!D89+August!D89+Adj!D89</f>
        <v>167288</v>
      </c>
      <c r="E89" s="283">
        <f>September!E89+October!E89+November!E89+December!E89+January!E89+February!E89+March!E89+April!E89+May!E89+June!E89+July!E89+August!E89+Adj!E89</f>
        <v>156880</v>
      </c>
      <c r="F89" s="283">
        <f>September!F89+October!F89+November!F89+December!F89+January!F89+February!F89+March!F89+April!F89+May!F89+June!F89+July!F89+August!F89+Adj!F89</f>
        <v>12624</v>
      </c>
      <c r="G89" s="283">
        <f>September!G89+October!G89+November!G89+December!G89+January!G89+February!G89+March!G89+April!G89+May!G89+June!G89+July!G89+August!G89+Adj!G89</f>
        <v>10903</v>
      </c>
      <c r="H89" s="283">
        <f>September!H89+October!H89+November!H89+December!H89+January!H89+February!H89+March!H89+April!H89+May!H89+June!H89+July!H89+August!H89+Adj!H89</f>
        <v>706</v>
      </c>
      <c r="I89" s="283">
        <f>September!I89+October!I89+November!I89+December!I89+January!I89+February!I89+March!I89+April!I89+May!I89+June!I89+July!I89+August!I89+Adj!I89</f>
        <v>17836</v>
      </c>
      <c r="J89" s="283">
        <f>September!J89+October!J89+November!J89+December!J89+January!J89+February!J89+March!J89+April!J89+May!J89+June!J89+July!J89+August!J89+Adj!J89</f>
        <v>80082</v>
      </c>
      <c r="K89" s="283">
        <f>September!K89+October!K89+November!K89+December!K89+January!K89+February!K89+March!K89+April!K89+May!K89+June!K89+July!K89+August!K89+Adj!K89</f>
        <v>1242</v>
      </c>
      <c r="L89" s="283">
        <f>September!L89+October!L89+November!L89+December!L89+January!L89+February!L89+March!L89+April!L89+May!L89+June!L89+July!L89+August!L89+Adj!L89</f>
        <v>898966</v>
      </c>
      <c r="M89" s="283">
        <f>September!M89+October!M89+November!M89+December!M89+January!M89+February!M89+March!M89+April!M89+May!M89+June!M89+July!M89+August!M89+Adj!M89</f>
        <v>170105</v>
      </c>
      <c r="N89" s="283">
        <f>September!N89+October!N89+November!N89+December!N89+January!N89+February!N89+March!N89+April!N89+May!N89+June!N89+July!N89+August!N89+Adj!N89</f>
        <v>189275</v>
      </c>
      <c r="O89" s="283">
        <f>September!O89+October!O89+November!O89+December!O89+January!O89+February!O89+March!O89+April!O89+May!O89+June!O89+July!O89+August!O89+Adj!O89</f>
        <v>113864</v>
      </c>
      <c r="P89" s="283">
        <f>September!P89+October!P89+November!P89+December!P89+January!P89+February!P89+March!P89+April!P89+May!P89+June!P89+July!P89+August!P89+Adj!P89</f>
        <v>9149</v>
      </c>
      <c r="Q89" s="283">
        <f>September!Q89+October!Q89+November!Q89+December!Q89+January!Q89+February!Q89+March!Q89+April!Q89+May!Q89+June!Q89+July!Q89+August!Q89+Adj!Q89</f>
        <v>7999</v>
      </c>
      <c r="R89" s="283">
        <f>September!R89+October!R89+November!R89+December!R89+January!R89+February!R89+March!R89+April!R89+May!R89+June!R89+July!R89+August!R89+Adj!R89</f>
        <v>5548</v>
      </c>
      <c r="S89" s="283">
        <f>September!S89+October!S89+November!S89+December!S89+January!S89+February!S89+March!S89+April!S89+May!S89+June!S89+July!S89+August!S89+Adj!S89</f>
        <v>2100</v>
      </c>
      <c r="T89" s="283">
        <f>September!T89+October!T89+November!T89+December!T89+January!T89+February!T89+March!T89+April!T89+May!T89+June!T89+July!T89+August!T89+Adj!T89</f>
        <v>10216</v>
      </c>
      <c r="U89" s="283">
        <f>September!U89+October!U89+November!U89+December!U89+January!U89+February!U89+March!U89+April!U89+May!U89+June!U89+July!U89+August!U89+Adj!U89</f>
        <v>279</v>
      </c>
      <c r="V89" s="283">
        <f>September!V89+October!V89+November!V89+December!V89+January!V89+February!V89+March!V89+April!V89+May!V89+June!V89+July!V89+August!V89+Adj!V89</f>
        <v>508535</v>
      </c>
      <c r="W89" s="283">
        <f>September!W89+October!W89+November!W89+December!W89+January!W89+February!W89+March!W89+April!W89+May!W89+June!W89+July!W89+August!W89+Adj!W89</f>
        <v>147040</v>
      </c>
      <c r="X89" s="283">
        <f>SUM(X73:X88)</f>
        <v>0</v>
      </c>
      <c r="Y89" s="283">
        <f>SUM(Y73:Y88)</f>
        <v>0</v>
      </c>
      <c r="Z89" s="283">
        <f>SUM(Z73:Z88)</f>
        <v>1554541</v>
      </c>
      <c r="AA89" s="284">
        <f>SUM(AA73:AA88)</f>
        <v>1001367</v>
      </c>
      <c r="AC89"/>
      <c r="AD89"/>
    </row>
    <row r="90" spans="1:30" x14ac:dyDescent="0.25">
      <c r="A90" s="117" t="s">
        <v>67</v>
      </c>
      <c r="B90" s="279" t="s">
        <v>346</v>
      </c>
      <c r="C90" s="220">
        <f>September!C90+October!C90+November!C90+December!C90+January!C90+February!C90+March!C90+April!C90+May!C90+June!C90+July!C90+August!C90+Adj!C90</f>
        <v>4856</v>
      </c>
      <c r="D90" s="220">
        <f>September!D90+October!D90+November!D90+December!D90+January!D90+February!D90+March!D90+April!D90+May!D90+June!D90+July!D90+August!D90+Adj!D90</f>
        <v>1812</v>
      </c>
      <c r="E90" s="220">
        <f>September!E90+October!E90+November!E90+December!E90+January!E90+February!E90+March!E90+April!E90+May!E90+June!E90+July!E90+August!E90+Adj!E90</f>
        <v>2264</v>
      </c>
      <c r="F90" s="220">
        <f>September!F90+October!F90+November!F90+December!F90+January!F90+February!F90+March!F90+April!F90+May!F90+June!F90+July!F90+August!F90+Adj!F90</f>
        <v>382</v>
      </c>
      <c r="G90" s="220">
        <f>September!G90+October!G90+November!G90+December!G90+January!G90+February!G90+March!G90+April!G90+May!G90+June!G90+July!G90+August!G90+Adj!G90</f>
        <v>146</v>
      </c>
      <c r="H90" s="220">
        <f>September!H90+October!H90+November!H90+December!H90+January!H90+February!H90+March!H90+April!H90+May!H90+June!H90+July!H90+August!H90+Adj!H90</f>
        <v>0</v>
      </c>
      <c r="I90" s="220">
        <f>September!I90+October!I90+November!I90+December!I90+January!I90+February!I90+March!I90+April!I90+May!I90+June!I90+July!I90+August!I90+Adj!I90</f>
        <v>0</v>
      </c>
      <c r="J90" s="220">
        <f>September!J90+October!J90+November!J90+December!J90+January!J90+February!J90+March!J90+April!J90+May!J90+June!J90+July!J90+August!J90+Adj!J90</f>
        <v>2399</v>
      </c>
      <c r="K90" s="220">
        <f>September!K90+October!K90+November!K90+December!K90+January!K90+February!K90+March!K90+April!K90+May!K90+June!K90+July!K90+August!K90+Adj!K90</f>
        <v>0</v>
      </c>
      <c r="L90" s="288">
        <f>September!L90+October!L90+November!L90+December!L90+January!L90+February!L90+March!L90+April!L90+May!L90+June!L90+July!L90+August!L90+Adj!L90</f>
        <v>11859</v>
      </c>
      <c r="M90" s="220">
        <f>September!M90+October!M90+November!M90+December!M90+January!M90+February!M90+March!M90+April!M90+May!M90+June!M90+July!M90+August!M90+Adj!M90</f>
        <v>3407</v>
      </c>
      <c r="N90" s="220">
        <f>September!N90+October!N90+November!N90+December!N90+January!N90+February!N90+March!N90+April!N90+May!N90+June!N90+July!N90+August!N90+Adj!N90</f>
        <v>4841</v>
      </c>
      <c r="O90" s="220">
        <f>September!O90+October!O90+November!O90+December!O90+January!O90+February!O90+March!O90+April!O90+May!O90+June!O90+July!O90+August!O90+Adj!O90</f>
        <v>1673</v>
      </c>
      <c r="P90" s="220">
        <f>September!P90+October!P90+November!P90+December!P90+January!P90+February!P90+March!P90+April!P90+May!P90+June!P90+July!P90+August!P90+Adj!P90</f>
        <v>188</v>
      </c>
      <c r="Q90" s="220">
        <f>September!Q90+October!Q90+November!Q90+December!Q90+January!Q90+February!Q90+March!Q90+April!Q90+May!Q90+June!Q90+July!Q90+August!Q90+Adj!Q90</f>
        <v>265</v>
      </c>
      <c r="R90" s="220">
        <f>September!R90+October!R90+November!R90+December!R90+January!R90+February!R90+March!R90+April!R90+May!R90+June!R90+July!R90+August!R90+Adj!R90</f>
        <v>6</v>
      </c>
      <c r="S90" s="220">
        <f>September!S90+October!S90+November!S90+December!S90+January!S90+February!S90+March!S90+April!S90+May!S90+June!S90+July!S90+August!S90+Adj!S90</f>
        <v>0</v>
      </c>
      <c r="T90" s="220">
        <f>September!T90+October!T90+November!T90+December!T90+January!T90+February!T90+March!T90+April!T90+May!T90+June!T90+July!T90+August!T90+Adj!T90</f>
        <v>52</v>
      </c>
      <c r="U90" s="220">
        <f>September!U90+October!U90+November!U90+December!U90+January!U90+February!U90+March!U90+April!U90+May!U90+June!U90+July!U90+August!U90+Adj!U90</f>
        <v>0</v>
      </c>
      <c r="V90" s="288">
        <f>September!V90+October!V90+November!V90+December!V90+January!V90+February!V90+March!V90+April!V90+May!V90+June!V90+July!V90+August!V90+Adj!V90</f>
        <v>10432</v>
      </c>
      <c r="W90" s="220">
        <f>September!W90+October!W90+November!W90+December!W90+January!W90+February!W90+March!W90+April!W90+May!W90+June!W90+July!W90+August!W90+Adj!W90</f>
        <v>1740</v>
      </c>
      <c r="X90" s="220">
        <f>September!X90+October!X90+November!X90+December!X90+January!X90+February!X90+March!X90+April!X90+May!X90+June!X90+July!X90+August!X90+Adj!X90</f>
        <v>0</v>
      </c>
      <c r="Y90" s="220">
        <f>September!Y90+October!Y90+November!Y90+December!Y90+January!Y90+February!Y90+March!Y90+April!Y90+May!Y90+June!Y90+July!Y90+August!Y90+Adj!Y90</f>
        <v>0</v>
      </c>
      <c r="Z90" s="220">
        <f>September!Z90+October!Z90+November!Z90+December!Z90+January!Z90+February!Z90+March!Z90+April!Z90+May!Z90+June!Z90+July!Z90+August!Z90+Adj!Z90</f>
        <v>24031</v>
      </c>
      <c r="AA90" s="220">
        <f>September!AA90+October!AA90+November!AA90+December!AA90+January!AA90+February!AA90+March!AA90+April!AA90+May!AA90+June!AA90+July!AA90+August!AA90+Adj!AA90</f>
        <v>15486</v>
      </c>
    </row>
    <row r="91" spans="1:30" x14ac:dyDescent="0.25">
      <c r="A91" s="117" t="s">
        <v>76</v>
      </c>
      <c r="B91" s="137" t="s">
        <v>290</v>
      </c>
      <c r="C91" s="220">
        <f>September!C91+October!C91+November!C91+December!C91+January!C91+February!C91+March!C91+April!C91+May!C91+June!C91+July!C91+August!C91+Adj!C91</f>
        <v>7414</v>
      </c>
      <c r="D91" s="220">
        <f>September!D91+October!D91+November!D91+December!D91+January!D91+February!D91+March!D91+April!D91+May!D91+June!D91+July!D91+August!D91+Adj!D91</f>
        <v>3287</v>
      </c>
      <c r="E91" s="220">
        <f>September!E91+October!E91+November!E91+December!E91+January!E91+February!E91+March!E91+April!E91+May!E91+June!E91+July!E91+August!E91+Adj!E91</f>
        <v>4922</v>
      </c>
      <c r="F91" s="220">
        <f>September!F91+October!F91+November!F91+December!F91+January!F91+February!F91+March!F91+April!F91+May!F91+June!F91+July!F91+August!F91+Adj!F91</f>
        <v>228</v>
      </c>
      <c r="G91" s="220">
        <f>September!G91+October!G91+November!G91+December!G91+January!G91+February!G91+March!G91+April!G91+May!G91+June!G91+July!G91+August!G91+Adj!G91</f>
        <v>421</v>
      </c>
      <c r="H91" s="220">
        <f>September!H91+October!H91+November!H91+December!H91+January!H91+February!H91+March!H91+April!H91+May!H91+June!H91+July!H91+August!H91+Adj!H91</f>
        <v>30</v>
      </c>
      <c r="I91" s="220">
        <f>September!I91+October!I91+November!I91+December!I91+January!I91+February!I91+March!I91+April!I91+May!I91+June!I91+July!I91+August!I91+Adj!I91</f>
        <v>352</v>
      </c>
      <c r="J91" s="220">
        <f>September!J91+October!J91+November!J91+December!J91+January!J91+February!J91+March!J91+April!J91+May!J91+June!J91+July!J91+August!J91+Adj!J91</f>
        <v>1220</v>
      </c>
      <c r="K91" s="220">
        <f>September!K91+October!K91+November!K91+December!K91+January!K91+February!K91+March!K91+April!K91+May!K91+June!K91+July!K91+August!K91+Adj!K91</f>
        <v>0</v>
      </c>
      <c r="L91" s="288">
        <f>September!L91+October!L91+November!L91+December!L91+January!L91+February!L91+March!L91+April!L91+May!L91+June!L91+July!L91+August!L91+Adj!L91</f>
        <v>17874</v>
      </c>
      <c r="M91" s="220">
        <f>September!M91+October!M91+November!M91+December!M91+January!M91+February!M91+March!M91+April!M91+May!M91+June!M91+July!M91+August!M91+Adj!M91</f>
        <v>2855</v>
      </c>
      <c r="N91" s="220">
        <f>September!N91+October!N91+November!N91+December!N91+January!N91+February!N91+March!N91+April!N91+May!N91+June!N91+July!N91+August!N91+Adj!N91</f>
        <v>3880</v>
      </c>
      <c r="O91" s="220">
        <f>September!O91+October!O91+November!O91+December!O91+January!O91+February!O91+March!O91+April!O91+May!O91+June!O91+July!O91+August!O91+Adj!O91</f>
        <v>3476</v>
      </c>
      <c r="P91" s="220">
        <f>September!P91+October!P91+November!P91+December!P91+January!P91+February!P91+March!P91+April!P91+May!P91+June!P91+July!P91+August!P91+Adj!P91</f>
        <v>200</v>
      </c>
      <c r="Q91" s="220">
        <f>September!Q91+October!Q91+November!Q91+December!Q91+January!Q91+February!Q91+March!Q91+April!Q91+May!Q91+June!Q91+July!Q91+August!Q91+Adj!Q91</f>
        <v>197</v>
      </c>
      <c r="R91" s="220">
        <f>September!R91+October!R91+November!R91+December!R91+January!R91+February!R91+March!R91+April!R91+May!R91+June!R91+July!R91+August!R91+Adj!R91</f>
        <v>220</v>
      </c>
      <c r="S91" s="220">
        <f>September!S91+October!S91+November!S91+December!S91+January!S91+February!S91+March!S91+April!S91+May!S91+June!S91+July!S91+August!S91+Adj!S91</f>
        <v>0</v>
      </c>
      <c r="T91" s="220">
        <f>September!T91+October!T91+November!T91+December!T91+January!T91+February!T91+March!T91+April!T91+May!T91+June!T91+July!T91+August!T91+Adj!T91</f>
        <v>2562</v>
      </c>
      <c r="U91" s="220">
        <f>September!U91+October!U91+November!U91+December!U91+January!U91+February!U91+March!U91+April!U91+May!U91+June!U91+July!U91+August!U91+Adj!U91</f>
        <v>0</v>
      </c>
      <c r="V91" s="288">
        <f>September!V91+October!V91+November!V91+December!V91+January!V91+February!V91+March!V91+April!V91+May!V91+June!V91+July!V91+August!V91+Adj!V91</f>
        <v>13390</v>
      </c>
      <c r="W91" s="220">
        <f>September!W91+October!W91+November!W91+December!W91+January!W91+February!W91+March!W91+April!W91+May!W91+June!W91+July!W91+August!W91+Adj!W91</f>
        <v>30978</v>
      </c>
      <c r="X91" s="220">
        <f>September!X91+October!X91+November!X91+December!X91+January!X91+February!X91+March!X91+April!X91+May!X91+June!X91+July!X91+August!X91+Adj!X91</f>
        <v>0</v>
      </c>
      <c r="Y91" s="220">
        <f>September!Y91+October!Y91+November!Y91+December!Y91+January!Y91+February!Y91+March!Y91+April!Y91+May!Y91+June!Y91+July!Y91+August!Y91+Adj!Y91</f>
        <v>0</v>
      </c>
      <c r="Z91" s="220">
        <f>September!Z91+October!Z91+November!Z91+December!Z91+January!Z91+February!Z91+March!Z91+April!Z91+May!Z91+June!Z91+July!Z91+August!Z91+Adj!Z91</f>
        <v>62242</v>
      </c>
      <c r="AA91" s="220">
        <f>September!AA91+October!AA91+November!AA91+December!AA91+January!AA91+February!AA91+March!AA91+April!AA91+May!AA91+June!AA91+July!AA91+August!AA91+Adj!AA91</f>
        <v>17864</v>
      </c>
    </row>
    <row r="92" spans="1:30" x14ac:dyDescent="0.25">
      <c r="A92" s="117" t="s">
        <v>79</v>
      </c>
      <c r="B92" s="137" t="s">
        <v>347</v>
      </c>
      <c r="C92" s="220">
        <f>September!C92+October!C92+November!C92+December!C92+January!C92+February!C92+March!C92+April!C92+May!C92+June!C92+July!C92+August!C92+Adj!C92</f>
        <v>12407</v>
      </c>
      <c r="D92" s="220">
        <f>September!D92+October!D92+November!D92+December!D92+January!D92+February!D92+March!D92+April!D92+May!D92+June!D92+July!D92+August!D92+Adj!D92</f>
        <v>3925</v>
      </c>
      <c r="E92" s="220">
        <f>September!E92+October!E92+November!E92+December!E92+January!E92+February!E92+March!E92+April!E92+May!E92+June!E92+July!E92+August!E92+Adj!E92</f>
        <v>2925</v>
      </c>
      <c r="F92" s="220">
        <f>September!F92+October!F92+November!F92+December!F92+January!F92+February!F92+March!F92+April!F92+May!F92+June!F92+July!F92+August!F92+Adj!F92</f>
        <v>553</v>
      </c>
      <c r="G92" s="220">
        <f>September!G92+October!G92+November!G92+December!G92+January!G92+February!G92+March!G92+April!G92+May!G92+June!G92+July!G92+August!G92+Adj!G92</f>
        <v>340</v>
      </c>
      <c r="H92" s="220">
        <f>September!H92+October!H92+November!H92+December!H92+January!H92+February!H92+March!H92+April!H92+May!H92+June!H92+July!H92+August!H92+Adj!H92</f>
        <v>0</v>
      </c>
      <c r="I92" s="220">
        <f>September!I92+October!I92+November!I92+December!I92+January!I92+February!I92+March!I92+April!I92+May!I92+June!I92+July!I92+August!I92+Adj!I92</f>
        <v>60</v>
      </c>
      <c r="J92" s="220">
        <f>September!J92+October!J92+November!J92+December!J92+January!J92+February!J92+March!J92+April!J92+May!J92+June!J92+July!J92+August!J92+Adj!J92</f>
        <v>4400</v>
      </c>
      <c r="K92" s="220">
        <f>September!K92+October!K92+November!K92+December!K92+January!K92+February!K92+March!K92+April!K92+May!K92+June!K92+July!K92+August!K92+Adj!K92</f>
        <v>0</v>
      </c>
      <c r="L92" s="288">
        <f>September!L92+October!L92+November!L92+December!L92+January!L92+February!L92+March!L92+April!L92+May!L92+June!L92+July!L92+August!L92+Adj!L92</f>
        <v>24610</v>
      </c>
      <c r="M92" s="220">
        <f>September!M92+October!M92+November!M92+December!M92+January!M92+February!M92+March!M92+April!M92+May!M92+June!M92+July!M92+August!M92+Adj!M92</f>
        <v>7120</v>
      </c>
      <c r="N92" s="220">
        <f>September!N92+October!N92+November!N92+December!N92+January!N92+February!N92+March!N92+April!N92+May!N92+June!N92+July!N92+August!N92+Adj!N92</f>
        <v>5179</v>
      </c>
      <c r="O92" s="220">
        <f>September!O92+October!O92+November!O92+December!O92+January!O92+February!O92+March!O92+April!O92+May!O92+June!O92+July!O92+August!O92+Adj!O92</f>
        <v>2773</v>
      </c>
      <c r="P92" s="220">
        <f>September!P92+October!P92+November!P92+December!P92+January!P92+February!P92+March!P92+April!P92+May!P92+June!P92+July!P92+August!P92+Adj!P92</f>
        <v>456</v>
      </c>
      <c r="Q92" s="220">
        <f>September!Q92+October!Q92+November!Q92+December!Q92+January!Q92+February!Q92+March!Q92+April!Q92+May!Q92+June!Q92+July!Q92+August!Q92+Adj!Q92</f>
        <v>185</v>
      </c>
      <c r="R92" s="220">
        <f>September!R92+October!R92+November!R92+December!R92+January!R92+February!R92+March!R92+April!R92+May!R92+June!R92+July!R92+August!R92+Adj!R92</f>
        <v>189</v>
      </c>
      <c r="S92" s="220">
        <f>September!S92+October!S92+November!S92+December!S92+January!S92+February!S92+March!S92+April!S92+May!S92+June!S92+July!S92+August!S92+Adj!S92</f>
        <v>7</v>
      </c>
      <c r="T92" s="220">
        <f>September!T92+October!T92+November!T92+December!T92+January!T92+February!T92+March!T92+April!T92+May!T92+June!T92+July!T92+August!T92+Adj!T92</f>
        <v>378</v>
      </c>
      <c r="U92" s="220">
        <f>September!U92+October!U92+November!U92+December!U92+January!U92+February!U92+March!U92+April!U92+May!U92+June!U92+July!U92+August!U92+Adj!U92</f>
        <v>0</v>
      </c>
      <c r="V92" s="288">
        <f>September!V92+October!V92+November!V92+December!V92+January!V92+February!V92+March!V92+April!V92+May!V92+June!V92+July!V92+August!V92+Adj!V92</f>
        <v>16287</v>
      </c>
      <c r="W92" s="220">
        <f>September!W92+October!W92+November!W92+December!W92+January!W92+February!W92+March!W92+April!W92+May!W92+June!W92+July!W92+August!W92+Adj!W92</f>
        <v>5908</v>
      </c>
      <c r="X92" s="220">
        <f>September!X92+October!X92+November!X92+December!X92+January!X92+February!X92+March!X92+April!X92+May!X92+June!X92+July!X92+August!X92+Adj!X92</f>
        <v>0</v>
      </c>
      <c r="Y92" s="220">
        <f>September!Y92+October!Y92+November!Y92+December!Y92+January!Y92+February!Y92+March!Y92+April!Y92+May!Y92+June!Y92+July!Y92+August!Y92+Adj!Y92</f>
        <v>0</v>
      </c>
      <c r="Z92" s="220">
        <f>September!Z92+October!Z92+November!Z92+December!Z92+January!Z92+February!Z92+March!Z92+April!Z92+May!Z92+June!Z92+July!Z92+August!Z92+Adj!Z92</f>
        <v>46805</v>
      </c>
      <c r="AA92" s="220">
        <f>September!AA92+October!AA92+November!AA92+December!AA92+January!AA92+February!AA92+March!AA92+April!AA92+May!AA92+June!AA92+July!AA92+August!AA92+Adj!AA92</f>
        <v>29640</v>
      </c>
    </row>
    <row r="93" spans="1:30" x14ac:dyDescent="0.25">
      <c r="A93" s="117" t="s">
        <v>83</v>
      </c>
      <c r="B93" s="137" t="s">
        <v>291</v>
      </c>
      <c r="C93" s="220">
        <f>September!C93+October!C93+November!C93+December!C93+January!C93+February!C93+March!C93+April!C93+May!C93+June!C93+July!C93+August!C93+Adj!C93</f>
        <v>68061</v>
      </c>
      <c r="D93" s="220">
        <f>September!D93+October!D93+November!D93+December!D93+January!D93+February!D93+March!D93+April!D93+May!D93+June!D93+July!D93+August!D93+Adj!D93</f>
        <v>60342</v>
      </c>
      <c r="E93" s="220">
        <f>September!E93+October!E93+November!E93+December!E93+January!E93+February!E93+March!E93+April!E93+May!E93+June!E93+July!E93+August!E93+Adj!E93</f>
        <v>25617</v>
      </c>
      <c r="F93" s="220">
        <f>September!F93+October!F93+November!F93+December!F93+January!F93+February!F93+March!F93+April!F93+May!F93+June!F93+July!F93+August!F93+Adj!F93</f>
        <v>1023</v>
      </c>
      <c r="G93" s="220">
        <f>September!G93+October!G93+November!G93+December!G93+January!G93+February!G93+March!G93+April!G93+May!G93+June!G93+July!G93+August!G93+Adj!G93</f>
        <v>3159</v>
      </c>
      <c r="H93" s="220">
        <f>September!H93+October!H93+November!H93+December!H93+January!H93+February!H93+March!H93+April!H93+May!H93+June!H93+July!H93+August!H93+Adj!H93</f>
        <v>394</v>
      </c>
      <c r="I93" s="220">
        <f>September!I93+October!I93+November!I93+December!I93+January!I93+February!I93+March!I93+April!I93+May!I93+June!I93+July!I93+August!I93+Adj!I93</f>
        <v>861</v>
      </c>
      <c r="J93" s="220">
        <f>September!J93+October!J93+November!J93+December!J93+January!J93+February!J93+March!J93+April!J93+May!J93+June!J93+July!J93+August!J93+Adj!J93</f>
        <v>4548</v>
      </c>
      <c r="K93" s="220">
        <f>September!K93+October!K93+November!K93+December!K93+January!K93+February!K93+March!K93+April!K93+May!K93+June!K93+July!K93+August!K93+Adj!K93</f>
        <v>6</v>
      </c>
      <c r="L93" s="288">
        <f>September!L93+October!L93+November!L93+December!L93+January!L93+February!L93+March!L93+April!L93+May!L93+June!L93+July!L93+August!L93+Adj!L93</f>
        <v>164011</v>
      </c>
      <c r="M93" s="220">
        <f>September!M93+October!M93+November!M93+December!M93+January!M93+February!M93+March!M93+April!M93+May!M93+June!M93+July!M93+August!M93+Adj!M93</f>
        <v>18930</v>
      </c>
      <c r="N93" s="220">
        <f>September!N93+October!N93+November!N93+December!N93+January!N93+February!N93+March!N93+April!N93+May!N93+June!N93+July!N93+August!N93+Adj!N93</f>
        <v>32854</v>
      </c>
      <c r="O93" s="220">
        <f>September!O93+October!O93+November!O93+December!O93+January!O93+February!O93+March!O93+April!O93+May!O93+June!O93+July!O93+August!O93+Adj!O93</f>
        <v>14873</v>
      </c>
      <c r="P93" s="220">
        <f>September!P93+October!P93+November!P93+December!P93+January!P93+February!P93+March!P93+April!P93+May!P93+June!P93+July!P93+August!P93+Adj!P93</f>
        <v>324</v>
      </c>
      <c r="Q93" s="220">
        <f>September!Q93+October!Q93+November!Q93+December!Q93+January!Q93+February!Q93+March!Q93+April!Q93+May!Q93+June!Q93+July!Q93+August!Q93+Adj!Q93</f>
        <v>1463</v>
      </c>
      <c r="R93" s="220">
        <f>September!R93+October!R93+November!R93+December!R93+January!R93+February!R93+March!R93+April!R93+May!R93+June!R93+July!R93+August!R93+Adj!R93</f>
        <v>338</v>
      </c>
      <c r="S93" s="220">
        <f>September!S93+October!S93+November!S93+December!S93+January!S93+February!S93+March!S93+April!S93+May!S93+June!S93+July!S93+August!S93+Adj!S93</f>
        <v>35</v>
      </c>
      <c r="T93" s="220">
        <f>September!T93+October!T93+November!T93+December!T93+January!T93+February!T93+March!T93+April!T93+May!T93+June!T93+July!T93+August!T93+Adj!T93</f>
        <v>209</v>
      </c>
      <c r="U93" s="220">
        <f>September!U93+October!U93+November!U93+December!U93+January!U93+February!U93+March!U93+April!U93+May!U93+June!U93+July!U93+August!U93+Adj!U93</f>
        <v>0</v>
      </c>
      <c r="V93" s="288">
        <f>September!V93+October!V93+November!V93+December!V93+January!V93+February!V93+March!V93+April!V93+May!V93+June!V93+July!V93+August!V93+Adj!V93</f>
        <v>69026</v>
      </c>
      <c r="W93" s="220">
        <f>September!W93+October!W93+November!W93+December!W93+January!W93+February!W93+March!W93+April!W93+May!W93+June!W93+July!W93+August!W93+Adj!W93</f>
        <v>0</v>
      </c>
      <c r="X93" s="220">
        <f>September!X93+October!X93+November!X93+December!X93+January!X93+February!X93+March!X93+April!X93+May!X93+June!X93+July!X93+August!X93+Adj!X93</f>
        <v>0</v>
      </c>
      <c r="Y93" s="220">
        <f>September!Y93+October!Y93+November!Y93+December!Y93+January!Y93+February!Y93+March!Y93+April!Y93+May!Y93+June!Y93+July!Y93+August!Y93+Adj!Y93</f>
        <v>0</v>
      </c>
      <c r="Z93" s="220">
        <f>September!Z93+October!Z93+November!Z93+December!Z93+January!Z93+February!Z93+March!Z93+April!Z93+May!Z93+June!Z93+July!Z93+August!Z93+Adj!Z93</f>
        <v>233037</v>
      </c>
      <c r="AA93" s="220">
        <f>September!AA93+October!AA93+November!AA93+December!AA93+January!AA93+February!AA93+March!AA93+April!AA93+May!AA93+June!AA93+July!AA93+August!AA93+Adj!AA93</f>
        <v>181540</v>
      </c>
    </row>
    <row r="94" spans="1:30" ht="26.4" x14ac:dyDescent="0.25">
      <c r="A94" s="117" t="s">
        <v>89</v>
      </c>
      <c r="B94" s="137" t="s">
        <v>348</v>
      </c>
      <c r="C94" s="220">
        <f>September!C94+October!C94+November!C94+December!C94+January!C94+February!C94+March!C94+April!C94+May!C94+June!C94+July!C94+August!C94+Adj!C94</f>
        <v>3429</v>
      </c>
      <c r="D94" s="220">
        <f>September!D94+October!D94+November!D94+December!D94+January!D94+February!D94+March!D94+April!D94+May!D94+June!D94+July!D94+August!D94+Adj!D94</f>
        <v>3135</v>
      </c>
      <c r="E94" s="220">
        <f>September!E94+October!E94+November!E94+December!E94+January!E94+February!E94+March!E94+April!E94+May!E94+June!E94+July!E94+August!E94+Adj!E94</f>
        <v>1762</v>
      </c>
      <c r="F94" s="220">
        <f>September!F94+October!F94+November!F94+December!F94+January!F94+February!F94+March!F94+April!F94+May!F94+June!F94+July!F94+August!F94+Adj!F94</f>
        <v>83</v>
      </c>
      <c r="G94" s="220">
        <f>September!G94+October!G94+November!G94+December!G94+January!G94+February!G94+March!G94+April!G94+May!G94+June!G94+July!G94+August!G94+Adj!G94</f>
        <v>74</v>
      </c>
      <c r="H94" s="220">
        <f>September!H94+October!H94+November!H94+December!H94+January!H94+February!H94+March!H94+April!H94+May!H94+June!H94+July!H94+August!H94+Adj!H94</f>
        <v>0</v>
      </c>
      <c r="I94" s="220">
        <f>September!I94+October!I94+November!I94+December!I94+January!I94+February!I94+March!I94+April!I94+May!I94+June!I94+July!I94+August!I94+Adj!I94</f>
        <v>186</v>
      </c>
      <c r="J94" s="220">
        <f>September!J94+October!J94+November!J94+December!J94+January!J94+February!J94+March!J94+April!J94+May!J94+June!J94+July!J94+August!J94+Adj!J94</f>
        <v>784</v>
      </c>
      <c r="K94" s="220">
        <f>September!K94+October!K94+November!K94+December!K94+January!K94+February!K94+March!K94+April!K94+May!K94+June!K94+July!K94+August!K94+Adj!K94</f>
        <v>0</v>
      </c>
      <c r="L94" s="288">
        <f>September!L94+October!L94+November!L94+December!L94+January!L94+February!L94+March!L94+April!L94+May!L94+June!L94+July!L94+August!L94+Adj!L94</f>
        <v>9453</v>
      </c>
      <c r="M94" s="220">
        <f>September!M94+October!M94+November!M94+December!M94+January!M94+February!M94+March!M94+April!M94+May!M94+June!M94+July!M94+August!M94+Adj!M94</f>
        <v>2365</v>
      </c>
      <c r="N94" s="220">
        <f>September!N94+October!N94+November!N94+December!N94+January!N94+February!N94+March!N94+April!N94+May!N94+June!N94+July!N94+August!N94+Adj!N94</f>
        <v>3630</v>
      </c>
      <c r="O94" s="220">
        <f>September!O94+October!O94+November!O94+December!O94+January!O94+February!O94+March!O94+April!O94+May!O94+June!O94+July!O94+August!O94+Adj!O94</f>
        <v>2005</v>
      </c>
      <c r="P94" s="220">
        <f>September!P94+October!P94+November!P94+December!P94+January!P94+February!P94+March!P94+April!P94+May!P94+June!P94+July!P94+August!P94+Adj!P94</f>
        <v>121</v>
      </c>
      <c r="Q94" s="220">
        <f>September!Q94+October!Q94+November!Q94+December!Q94+January!Q94+February!Q94+March!Q94+April!Q94+May!Q94+June!Q94+July!Q94+August!Q94+Adj!Q94</f>
        <v>98</v>
      </c>
      <c r="R94" s="220">
        <f>September!R94+October!R94+November!R94+December!R94+January!R94+February!R94+March!R94+April!R94+May!R94+June!R94+July!R94+August!R94+Adj!R94</f>
        <v>178</v>
      </c>
      <c r="S94" s="220">
        <f>September!S94+October!S94+November!S94+December!S94+January!S94+February!S94+March!S94+April!S94+May!S94+June!S94+July!S94+August!S94+Adj!S94</f>
        <v>0</v>
      </c>
      <c r="T94" s="220">
        <f>September!T94+October!T94+November!T94+December!T94+January!T94+February!T94+March!T94+April!T94+May!T94+June!T94+July!T94+August!T94+Adj!T94</f>
        <v>12</v>
      </c>
      <c r="U94" s="220">
        <f>September!U94+October!U94+November!U94+December!U94+January!U94+February!U94+March!U94+April!U94+May!U94+June!U94+July!U94+August!U94+Adj!U94</f>
        <v>0</v>
      </c>
      <c r="V94" s="288">
        <f>September!V94+October!V94+November!V94+December!V94+January!V94+February!V94+March!V94+April!V94+May!V94+June!V94+July!V94+August!V94+Adj!V94</f>
        <v>8409</v>
      </c>
      <c r="W94" s="220">
        <f>September!W94+October!W94+November!W94+December!W94+January!W94+February!W94+March!W94+April!W94+May!W94+June!W94+July!W94+August!W94+Adj!W94</f>
        <v>5011</v>
      </c>
      <c r="X94" s="220">
        <f>September!X94+October!X94+November!X94+December!X94+January!X94+February!X94+March!X94+April!X94+May!X94+June!X94+July!X94+August!X94+Adj!X94</f>
        <v>0</v>
      </c>
      <c r="Y94" s="220">
        <f>September!Y94+October!Y94+November!Y94+December!Y94+January!Y94+February!Y94+March!Y94+April!Y94+May!Y94+June!Y94+July!Y94+August!Y94+Adj!Y94</f>
        <v>0</v>
      </c>
      <c r="Z94" s="220">
        <f>September!Z94+October!Z94+November!Z94+December!Z94+January!Z94+February!Z94+March!Z94+April!Z94+May!Z94+June!Z94+July!Z94+August!Z94+Adj!Z94</f>
        <v>22873</v>
      </c>
      <c r="AA94" s="220">
        <f>September!AA94+October!AA94+November!AA94+December!AA94+January!AA94+February!AA94+March!AA94+April!AA94+May!AA94+June!AA94+July!AA94+August!AA94+Adj!AA94</f>
        <v>12763</v>
      </c>
    </row>
    <row r="95" spans="1:30" ht="26.4" x14ac:dyDescent="0.25">
      <c r="A95" s="117" t="s">
        <v>90</v>
      </c>
      <c r="B95" s="137" t="s">
        <v>349</v>
      </c>
      <c r="C95" s="220">
        <f>September!C95+October!C95+November!C95+December!C95+January!C95+February!C95+March!C95+April!C95+May!C95+June!C95+July!C95+August!C95+Adj!C95</f>
        <v>10151</v>
      </c>
      <c r="D95" s="220">
        <f>September!D95+October!D95+November!D95+December!D95+January!D95+February!D95+March!D95+April!D95+May!D95+June!D95+July!D95+August!D95+Adj!D95</f>
        <v>6404</v>
      </c>
      <c r="E95" s="220">
        <f>September!E95+October!E95+November!E95+December!E95+January!E95+February!E95+March!E95+April!E95+May!E95+June!E95+July!E95+August!E95+Adj!E95</f>
        <v>4478</v>
      </c>
      <c r="F95" s="220">
        <f>September!F95+October!F95+November!F95+December!F95+January!F95+February!F95+March!F95+April!F95+May!F95+June!F95+July!F95+August!F95+Adj!F95</f>
        <v>381</v>
      </c>
      <c r="G95" s="220">
        <f>September!G95+October!G95+November!G95+December!G95+January!G95+February!G95+March!G95+April!G95+May!G95+June!G95+July!G95+August!G95+Adj!G95</f>
        <v>183</v>
      </c>
      <c r="H95" s="220">
        <f>September!H95+October!H95+November!H95+December!H95+January!H95+February!H95+March!H95+April!H95+May!H95+June!H95+July!H95+August!H95+Adj!H95</f>
        <v>0</v>
      </c>
      <c r="I95" s="220">
        <f>September!I95+October!I95+November!I95+December!I95+January!I95+February!I95+March!I95+April!I95+May!I95+June!I95+July!I95+August!I95+Adj!I95</f>
        <v>183</v>
      </c>
      <c r="J95" s="220">
        <f>September!J95+October!J95+November!J95+December!J95+January!J95+February!J95+March!J95+April!J95+May!J95+June!J95+July!J95+August!J95+Adj!J95</f>
        <v>1846</v>
      </c>
      <c r="K95" s="220">
        <f>September!K95+October!K95+November!K95+December!K95+January!K95+February!K95+March!K95+April!K95+May!K95+June!K95+July!K95+August!K95+Adj!K95</f>
        <v>1</v>
      </c>
      <c r="L95" s="288">
        <f>September!L95+October!L95+November!L95+December!L95+January!L95+February!L95+March!L95+April!L95+May!L95+June!L95+July!L95+August!L95+Adj!L95</f>
        <v>23627</v>
      </c>
      <c r="M95" s="220">
        <f>September!M95+October!M95+November!M95+December!M95+January!M95+February!M95+March!M95+April!M95+May!M95+June!M95+July!M95+August!M95+Adj!M95</f>
        <v>10975</v>
      </c>
      <c r="N95" s="220">
        <f>September!N95+October!N95+November!N95+December!N95+January!N95+February!N95+March!N95+April!N95+May!N95+June!N95+July!N95+August!N95+Adj!N95</f>
        <v>11590</v>
      </c>
      <c r="O95" s="220">
        <f>September!O95+October!O95+November!O95+December!O95+January!O95+February!O95+March!O95+April!O95+May!O95+June!O95+July!O95+August!O95+Adj!O95</f>
        <v>7522</v>
      </c>
      <c r="P95" s="220">
        <f>September!P95+October!P95+November!P95+December!P95+January!P95+February!P95+March!P95+April!P95+May!P95+June!P95+July!P95+August!P95+Adj!P95</f>
        <v>420</v>
      </c>
      <c r="Q95" s="220">
        <f>September!Q95+October!Q95+November!Q95+December!Q95+January!Q95+February!Q95+March!Q95+April!Q95+May!Q95+June!Q95+July!Q95+August!Q95+Adj!Q95</f>
        <v>319</v>
      </c>
      <c r="R95" s="220">
        <f>September!R95+October!R95+November!R95+December!R95+January!R95+February!R95+March!R95+April!R95+May!R95+June!R95+July!R95+August!R95+Adj!R95</f>
        <v>103</v>
      </c>
      <c r="S95" s="220">
        <f>September!S95+October!S95+November!S95+December!S95+January!S95+February!S95+March!S95+April!S95+May!S95+June!S95+July!S95+August!S95+Adj!S95</f>
        <v>0</v>
      </c>
      <c r="T95" s="220">
        <f>September!T95+October!T95+November!T95+December!T95+January!T95+February!T95+March!T95+April!T95+May!T95+June!T95+July!T95+August!T95+Adj!T95</f>
        <v>174</v>
      </c>
      <c r="U95" s="220">
        <f>September!U95+October!U95+November!U95+December!U95+January!U95+February!U95+March!U95+April!U95+May!U95+June!U95+July!U95+August!U95+Adj!U95</f>
        <v>0</v>
      </c>
      <c r="V95" s="288">
        <f>September!V95+October!V95+November!V95+December!V95+January!V95+February!V95+March!V95+April!V95+May!V95+June!V95+July!V95+August!V95+Adj!V95</f>
        <v>31103</v>
      </c>
      <c r="W95" s="220">
        <f>September!W95+October!W95+November!W95+December!W95+January!W95+February!W95+March!W95+April!W95+May!W95+June!W95+July!W95+August!W95+Adj!W95</f>
        <v>10344</v>
      </c>
      <c r="X95" s="220">
        <f>September!X95+October!X95+November!X95+December!X95+January!X95+February!X95+March!X95+April!X95+May!X95+June!X95+July!X95+August!X95+Adj!X95</f>
        <v>0</v>
      </c>
      <c r="Y95" s="220">
        <f>September!Y95+October!Y95+November!Y95+December!Y95+January!Y95+February!Y95+March!Y95+April!Y95+May!Y95+June!Y95+July!Y95+August!Y95+Adj!Y95</f>
        <v>0</v>
      </c>
      <c r="Z95" s="220">
        <f>September!Z95+October!Z95+November!Z95+December!Z95+January!Z95+February!Z95+March!Z95+April!Z95+May!Z95+June!Z95+July!Z95+August!Z95+Adj!Z95</f>
        <v>65074</v>
      </c>
      <c r="AA95" s="220">
        <f>September!AA95+October!AA95+November!AA95+December!AA95+January!AA95+February!AA95+March!AA95+April!AA95+May!AA95+June!AA95+July!AA95+August!AA95+Adj!AA95</f>
        <v>39922</v>
      </c>
    </row>
    <row r="96" spans="1:30" x14ac:dyDescent="0.25">
      <c r="A96" s="117" t="s">
        <v>93</v>
      </c>
      <c r="B96" s="137" t="s">
        <v>359</v>
      </c>
      <c r="C96" s="220">
        <f>September!C96+October!C96+November!C96+December!C96+January!C96+February!C96+March!C96+April!C96+May!C96+June!C96+July!C96+August!C96+Adj!C96</f>
        <v>17934</v>
      </c>
      <c r="D96" s="220">
        <f>September!D96+October!D96+November!D96+December!D96+January!D96+February!D96+March!D96+April!D96+May!D96+June!D96+July!D96+August!D96+Adj!D96</f>
        <v>9759</v>
      </c>
      <c r="E96" s="220">
        <f>September!E96+October!E96+November!E96+December!E96+January!E96+February!E96+March!E96+April!E96+May!E96+June!E96+July!E96+August!E96+Adj!E96</f>
        <v>12977</v>
      </c>
      <c r="F96" s="220">
        <f>September!F96+October!F96+November!F96+December!F96+January!F96+February!F96+March!F96+April!F96+May!F96+June!F96+July!F96+August!F96+Adj!F96</f>
        <v>1026</v>
      </c>
      <c r="G96" s="220">
        <f>September!G96+October!G96+November!G96+December!G96+January!G96+February!G96+March!G96+April!G96+May!G96+June!G96+July!G96+August!G96+Adj!G96</f>
        <v>486</v>
      </c>
      <c r="H96" s="220">
        <f>September!H96+October!H96+November!H96+December!H96+January!H96+February!H96+March!H96+April!H96+May!H96+June!H96+July!H96+August!H96+Adj!H96</f>
        <v>0</v>
      </c>
      <c r="I96" s="220">
        <f>September!I96+October!I96+November!I96+December!I96+January!I96+February!I96+March!I96+April!I96+May!I96+June!I96+July!I96+August!I96+Adj!I96</f>
        <v>640</v>
      </c>
      <c r="J96" s="220">
        <f>September!J96+October!J96+November!J96+December!J96+January!J96+February!J96+March!J96+April!J96+May!J96+June!J96+July!J96+August!J96+Adj!J96</f>
        <v>8351</v>
      </c>
      <c r="K96" s="220">
        <f>September!K96+October!K96+November!K96+December!K96+January!K96+February!K96+March!K96+April!K96+May!K96+June!K96+July!K96+August!K96+Adj!K96</f>
        <v>0</v>
      </c>
      <c r="L96" s="288">
        <f>September!L96+October!L96+November!L96+December!L96+January!L96+February!L96+March!L96+April!L96+May!L96+June!L96+July!L96+August!L96+Adj!L96</f>
        <v>51173</v>
      </c>
      <c r="M96" s="220">
        <f>September!M96+October!M96+November!M96+December!M96+January!M96+February!M96+March!M96+April!M96+May!M96+June!M96+July!M96+August!M96+Adj!M96</f>
        <v>7104</v>
      </c>
      <c r="N96" s="220">
        <f>September!N96+October!N96+November!N96+December!N96+January!N96+February!N96+March!N96+April!N96+May!N96+June!N96+July!N96+August!N96+Adj!N96</f>
        <v>9874</v>
      </c>
      <c r="O96" s="220">
        <f>September!O96+October!O96+November!O96+December!O96+January!O96+February!O96+March!O96+April!O96+May!O96+June!O96+July!O96+August!O96+Adj!O96</f>
        <v>5413</v>
      </c>
      <c r="P96" s="220">
        <f>September!P96+October!P96+November!P96+December!P96+January!P96+February!P96+March!P96+April!P96+May!P96+June!P96+July!P96+August!P96+Adj!P96</f>
        <v>759</v>
      </c>
      <c r="Q96" s="220">
        <f>September!Q96+October!Q96+November!Q96+December!Q96+January!Q96+February!Q96+March!Q96+April!Q96+May!Q96+June!Q96+July!Q96+August!Q96+Adj!Q96</f>
        <v>182</v>
      </c>
      <c r="R96" s="220">
        <f>September!R96+October!R96+November!R96+December!R96+January!R96+February!R96+March!R96+April!R96+May!R96+June!R96+July!R96+August!R96+Adj!R96</f>
        <v>150</v>
      </c>
      <c r="S96" s="220">
        <f>September!S96+October!S96+November!S96+December!S96+January!S96+February!S96+March!S96+April!S96+May!S96+June!S96+July!S96+August!S96+Adj!S96</f>
        <v>14</v>
      </c>
      <c r="T96" s="220">
        <f>September!T96+October!T96+November!T96+December!T96+January!T96+February!T96+March!T96+April!T96+May!T96+June!T96+July!T96+August!T96+Adj!T96</f>
        <v>127</v>
      </c>
      <c r="U96" s="220">
        <f>September!U96+October!U96+November!U96+December!U96+January!U96+February!U96+March!U96+April!U96+May!U96+June!U96+July!U96+August!U96+Adj!U96</f>
        <v>0</v>
      </c>
      <c r="V96" s="288">
        <f>September!V96+October!V96+November!V96+December!V96+January!V96+February!V96+March!V96+April!V96+May!V96+June!V96+July!V96+August!V96+Adj!V96</f>
        <v>23623</v>
      </c>
      <c r="W96" s="220">
        <f>September!W96+October!W96+November!W96+December!W96+January!W96+February!W96+March!W96+April!W96+May!W96+June!W96+July!W96+August!W96+Adj!W96</f>
        <v>7228</v>
      </c>
      <c r="X96" s="220">
        <f>September!X96+October!X96+November!X96+December!X96+January!X96+February!X96+March!X96+April!X96+May!X96+June!X96+July!X96+August!X96+Adj!X96</f>
        <v>0</v>
      </c>
      <c r="Y96" s="220">
        <f>September!Y96+October!Y96+November!Y96+December!Y96+January!Y96+February!Y96+March!Y96+April!Y96+May!Y96+June!Y96+July!Y96+August!Y96+Adj!Y96</f>
        <v>0</v>
      </c>
      <c r="Z96" s="220">
        <f>September!Z96+October!Z96+November!Z96+December!Z96+January!Z96+February!Z96+March!Z96+April!Z96+May!Z96+June!Z96+July!Z96+August!Z96+Adj!Z96</f>
        <v>82024</v>
      </c>
      <c r="AA96" s="220">
        <f>September!AA96+October!AA96+November!AA96+December!AA96+January!AA96+February!AA96+March!AA96+April!AA96+May!AA96+June!AA96+July!AA96+August!AA96+Adj!AA96</f>
        <v>46456</v>
      </c>
    </row>
    <row r="97" spans="1:30" x14ac:dyDescent="0.25">
      <c r="A97" s="117" t="s">
        <v>97</v>
      </c>
      <c r="B97" s="137" t="s">
        <v>294</v>
      </c>
      <c r="C97" s="220">
        <f>September!C97+October!C97+November!C97+December!C97+January!C97+February!C97+March!C97+April!C97+May!C97+June!C97+July!C97+August!C97+Adj!C97</f>
        <v>28510</v>
      </c>
      <c r="D97" s="220">
        <f>September!D97+October!D97+November!D97+December!D97+January!D97+February!D97+March!D97+April!D97+May!D97+June!D97+July!D97+August!D97+Adj!D97</f>
        <v>13036</v>
      </c>
      <c r="E97" s="220">
        <f>September!E97+October!E97+November!E97+December!E97+January!E97+February!E97+March!E97+April!E97+May!E97+June!E97+July!E97+August!E97+Adj!E97</f>
        <v>10217</v>
      </c>
      <c r="F97" s="220">
        <f>September!F97+October!F97+November!F97+December!F97+January!F97+February!F97+March!F97+April!F97+May!F97+June!F97+July!F97+August!F97+Adj!F97</f>
        <v>359</v>
      </c>
      <c r="G97" s="220">
        <f>September!G97+October!G97+November!G97+December!G97+January!G97+February!G97+March!G97+April!G97+May!G97+June!G97+July!G97+August!G97+Adj!G97</f>
        <v>694</v>
      </c>
      <c r="H97" s="220">
        <f>September!H97+October!H97+November!H97+December!H97+January!H97+February!H97+March!H97+April!H97+May!H97+June!H97+July!H97+August!H97+Adj!H97</f>
        <v>1822</v>
      </c>
      <c r="I97" s="220">
        <f>September!I97+October!I97+November!I97+December!I97+January!I97+February!I97+March!I97+April!I97+May!I97+June!I97+July!I97+August!I97+Adj!I97</f>
        <v>32</v>
      </c>
      <c r="J97" s="220">
        <f>September!J97+October!J97+November!J97+December!J97+January!J97+February!J97+March!J97+April!J97+May!J97+June!J97+July!J97+August!J97+Adj!J97</f>
        <v>3115</v>
      </c>
      <c r="K97" s="220">
        <f>September!K97+October!K97+November!K97+December!K97+January!K97+February!K97+March!K97+April!K97+May!K97+June!K97+July!K97+August!K97+Adj!K97</f>
        <v>6</v>
      </c>
      <c r="L97" s="288">
        <f>September!L97+October!L97+November!L97+December!L97+January!L97+February!L97+March!L97+April!L97+May!L97+June!L97+July!L97+August!L97+Adj!L97</f>
        <v>57791</v>
      </c>
      <c r="M97" s="220">
        <f>September!M97+October!M97+November!M97+December!M97+January!M97+February!M97+March!M97+April!M97+May!M97+June!M97+July!M97+August!M97+Adj!M97</f>
        <v>21001</v>
      </c>
      <c r="N97" s="220">
        <f>September!N97+October!N97+November!N97+December!N97+January!N97+February!N97+March!N97+April!N97+May!N97+June!N97+July!N97+August!N97+Adj!N97</f>
        <v>20373</v>
      </c>
      <c r="O97" s="220">
        <f>September!O97+October!O97+November!O97+December!O97+January!O97+February!O97+March!O97+April!O97+May!O97+June!O97+July!O97+August!O97+Adj!O97</f>
        <v>14186</v>
      </c>
      <c r="P97" s="220">
        <f>September!P97+October!P97+November!P97+December!P97+January!P97+February!P97+March!P97+April!P97+May!P97+June!P97+July!P97+August!P97+Adj!P97</f>
        <v>369</v>
      </c>
      <c r="Q97" s="220">
        <f>September!Q97+October!Q97+November!Q97+December!Q97+January!Q97+February!Q97+March!Q97+April!Q97+May!Q97+June!Q97+July!Q97+August!Q97+Adj!Q97</f>
        <v>748</v>
      </c>
      <c r="R97" s="220">
        <f>September!R97+October!R97+November!R97+December!R97+January!R97+February!R97+March!R97+April!R97+May!R97+June!R97+July!R97+August!R97+Adj!R97</f>
        <v>271</v>
      </c>
      <c r="S97" s="220">
        <f>September!S97+October!S97+November!S97+December!S97+January!S97+February!S97+March!S97+April!S97+May!S97+June!S97+July!S97+August!S97+Adj!S97</f>
        <v>30</v>
      </c>
      <c r="T97" s="220">
        <f>September!T97+October!T97+November!T97+December!T97+January!T97+February!T97+March!T97+April!T97+May!T97+June!T97+July!T97+August!T97+Adj!T97</f>
        <v>225</v>
      </c>
      <c r="U97" s="220">
        <f>September!U97+October!U97+November!U97+December!U97+January!U97+February!U97+March!U97+April!U97+May!U97+June!U97+July!U97+August!U97+Adj!U97</f>
        <v>0</v>
      </c>
      <c r="V97" s="288">
        <f>September!V97+October!V97+November!V97+December!V97+January!V97+February!V97+March!V97+April!V97+May!V97+June!V97+July!V97+August!V97+Adj!V97</f>
        <v>57203</v>
      </c>
      <c r="W97" s="220">
        <f>September!W97+October!W97+November!W97+December!W97+January!W97+February!W97+March!W97+April!W97+May!W97+June!W97+July!W97+August!W97+Adj!W97</f>
        <v>15433</v>
      </c>
      <c r="X97" s="220">
        <f>September!X97+October!X97+November!X97+December!X97+January!X97+February!X97+March!X97+April!X97+May!X97+June!X97+July!X97+August!X97+Adj!X97</f>
        <v>3183</v>
      </c>
      <c r="Y97" s="220">
        <f>September!Y97+October!Y97+November!Y97+December!Y97+January!Y97+February!Y97+March!Y97+April!Y97+May!Y97+June!Y97+July!Y97+August!Y97+Adj!Y97</f>
        <v>0</v>
      </c>
      <c r="Z97" s="220">
        <f>September!Z97+October!Z97+November!Z97+December!Z97+January!Z97+February!Z97+March!Z97+April!Z97+May!Z97+June!Z97+July!Z97+August!Z97+Adj!Z97</f>
        <v>133610</v>
      </c>
      <c r="AA97" s="220">
        <f>September!AA97+October!AA97+November!AA97+December!AA97+January!AA97+February!AA97+March!AA97+April!AA97+May!AA97+June!AA97+July!AA97+August!AA97+Adj!AA97</f>
        <v>83654</v>
      </c>
    </row>
    <row r="98" spans="1:30" x14ac:dyDescent="0.25">
      <c r="A98" s="117" t="s">
        <v>125</v>
      </c>
      <c r="B98" s="137" t="s">
        <v>350</v>
      </c>
      <c r="C98" s="220">
        <f>September!C98+October!C98+November!C98+December!C98+January!C98+February!C98+March!C98+April!C98+May!C98+June!C98+July!C98+August!C98+Adj!C98</f>
        <v>13191</v>
      </c>
      <c r="D98" s="220">
        <f>September!D98+October!D98+November!D98+December!D98+January!D98+February!D98+March!D98+April!D98+May!D98+June!D98+July!D98+August!D98+Adj!D98</f>
        <v>5920</v>
      </c>
      <c r="E98" s="220">
        <f>September!E98+October!E98+November!E98+December!E98+January!E98+February!E98+March!E98+April!E98+May!E98+June!E98+July!E98+August!E98+Adj!E98</f>
        <v>5200</v>
      </c>
      <c r="F98" s="220">
        <f>September!F98+October!F98+November!F98+December!F98+January!F98+February!F98+March!F98+April!F98+May!F98+June!F98+July!F98+August!F98+Adj!F98</f>
        <v>777</v>
      </c>
      <c r="G98" s="220">
        <f>September!G98+October!G98+November!G98+December!G98+January!G98+February!G98+March!G98+April!G98+May!G98+June!G98+July!G98+August!G98+Adj!G98</f>
        <v>463</v>
      </c>
      <c r="H98" s="220">
        <f>September!H98+October!H98+November!H98+December!H98+January!H98+February!H98+March!H98+April!H98+May!H98+June!H98+July!H98+August!H98+Adj!H98</f>
        <v>0</v>
      </c>
      <c r="I98" s="220">
        <f>September!I98+October!I98+November!I98+December!I98+January!I98+February!I98+March!I98+April!I98+May!I98+June!I98+July!I98+August!I98+Adj!I98</f>
        <v>1856</v>
      </c>
      <c r="J98" s="220">
        <f>September!J98+October!J98+November!J98+December!J98+January!J98+February!J98+March!J98+April!J98+May!J98+June!J98+July!J98+August!J98+Adj!J98</f>
        <v>2725</v>
      </c>
      <c r="K98" s="220">
        <f>September!K98+October!K98+November!K98+December!K98+January!K98+February!K98+March!K98+April!K98+May!K98+June!K98+July!K98+August!K98+Adj!K98</f>
        <v>263</v>
      </c>
      <c r="L98" s="288">
        <f>September!L98+October!L98+November!L98+December!L98+January!L98+February!L98+March!L98+April!L98+May!L98+June!L98+July!L98+August!L98+Adj!L98</f>
        <v>30395</v>
      </c>
      <c r="M98" s="220">
        <f>September!M98+October!M98+November!M98+December!M98+January!M98+February!M98+March!M98+April!M98+May!M98+June!M98+July!M98+August!M98+Adj!M98</f>
        <v>9235</v>
      </c>
      <c r="N98" s="220">
        <f>September!N98+October!N98+November!N98+December!N98+January!N98+February!N98+March!N98+April!N98+May!N98+June!N98+July!N98+August!N98+Adj!N98</f>
        <v>9813</v>
      </c>
      <c r="O98" s="220">
        <f>September!O98+October!O98+November!O98+December!O98+January!O98+February!O98+March!O98+April!O98+May!O98+June!O98+July!O98+August!O98+Adj!O98</f>
        <v>6752</v>
      </c>
      <c r="P98" s="220">
        <f>September!P98+October!P98+November!P98+December!P98+January!P98+February!P98+March!P98+April!P98+May!P98+June!P98+July!P98+August!P98+Adj!P98</f>
        <v>436</v>
      </c>
      <c r="Q98" s="220">
        <f>September!Q98+October!Q98+November!Q98+December!Q98+January!Q98+February!Q98+March!Q98+April!Q98+May!Q98+June!Q98+July!Q98+August!Q98+Adj!Q98</f>
        <v>322</v>
      </c>
      <c r="R98" s="220">
        <f>September!R98+October!R98+November!R98+December!R98+January!R98+February!R98+March!R98+April!R98+May!R98+June!R98+July!R98+August!R98+Adj!R98</f>
        <v>214</v>
      </c>
      <c r="S98" s="220">
        <f>September!S98+October!S98+November!S98+December!S98+January!S98+February!S98+March!S98+April!S98+May!S98+June!S98+July!S98+August!S98+Adj!S98</f>
        <v>0</v>
      </c>
      <c r="T98" s="220">
        <f>September!T98+October!T98+November!T98+December!T98+January!T98+February!T98+March!T98+April!T98+May!T98+June!T98+July!T98+August!T98+Adj!T98</f>
        <v>889</v>
      </c>
      <c r="U98" s="220">
        <f>September!U98+October!U98+November!U98+December!U98+January!U98+February!U98+March!U98+April!U98+May!U98+June!U98+July!U98+August!U98+Adj!U98</f>
        <v>0</v>
      </c>
      <c r="V98" s="288">
        <f>September!V98+October!V98+November!V98+December!V98+January!V98+February!V98+March!V98+April!V98+May!V98+June!V98+July!V98+August!V98+Adj!V98</f>
        <v>27661</v>
      </c>
      <c r="W98" s="220">
        <f>September!W98+October!W98+November!W98+December!W98+January!W98+February!W98+March!W98+April!W98+May!W98+June!W98+July!W98+August!W98+Adj!W98</f>
        <v>6192</v>
      </c>
      <c r="X98" s="220">
        <f>September!X98+October!X98+November!X98+December!X98+January!X98+February!X98+March!X98+April!X98+May!X98+June!X98+July!X98+August!X98+Adj!X98</f>
        <v>0</v>
      </c>
      <c r="Y98" s="220">
        <f>September!Y98+October!Y98+November!Y98+December!Y98+January!Y98+February!Y98+March!Y98+April!Y98+May!Y98+June!Y98+July!Y98+August!Y98+Adj!Y98</f>
        <v>0</v>
      </c>
      <c r="Z98" s="220">
        <f>September!Z98+October!Z98+November!Z98+December!Z98+January!Z98+February!Z98+March!Z98+April!Z98+May!Z98+June!Z98+July!Z98+August!Z98+Adj!Z98</f>
        <v>64248</v>
      </c>
      <c r="AA98" s="220">
        <f>September!AA98+October!AA98+November!AA98+December!AA98+January!AA98+February!AA98+March!AA98+April!AA98+May!AA98+June!AA98+July!AA98+August!AA98+Adj!AA98</f>
        <v>39635</v>
      </c>
    </row>
    <row r="99" spans="1:30" x14ac:dyDescent="0.25">
      <c r="A99" s="117" t="s">
        <v>135</v>
      </c>
      <c r="B99" s="137" t="s">
        <v>351</v>
      </c>
      <c r="C99" s="220">
        <f>September!C99+October!C99+November!C99+December!C99+January!C99+February!C99+March!C99+April!C99+May!C99+June!C99+July!C99+August!C99+Adj!C99</f>
        <v>17992</v>
      </c>
      <c r="D99" s="220">
        <f>September!D99+October!D99+November!D99+December!D99+January!D99+February!D99+March!D99+April!D99+May!D99+June!D99+July!D99+August!D99+Adj!D99</f>
        <v>12113</v>
      </c>
      <c r="E99" s="220">
        <f>September!E99+October!E99+November!E99+December!E99+January!E99+February!E99+March!E99+April!E99+May!E99+June!E99+July!E99+August!E99+Adj!E99</f>
        <v>8467</v>
      </c>
      <c r="F99" s="220">
        <f>September!F99+October!F99+November!F99+December!F99+January!F99+February!F99+March!F99+April!F99+May!F99+June!F99+July!F99+August!F99+Adj!F99</f>
        <v>663</v>
      </c>
      <c r="G99" s="220">
        <f>September!G99+October!G99+November!G99+December!G99+January!G99+February!G99+March!G99+April!G99+May!G99+June!G99+July!G99+August!G99+Adj!G99</f>
        <v>481</v>
      </c>
      <c r="H99" s="220">
        <f>September!H99+October!H99+November!H99+December!H99+January!H99+February!H99+March!H99+April!H99+May!H99+June!H99+July!H99+August!H99+Adj!H99</f>
        <v>0</v>
      </c>
      <c r="I99" s="220">
        <f>September!I99+October!I99+November!I99+December!I99+January!I99+February!I99+March!I99+April!I99+May!I99+June!I99+July!I99+August!I99+Adj!I99</f>
        <v>0</v>
      </c>
      <c r="J99" s="220">
        <f>September!J99+October!J99+November!J99+December!J99+January!J99+February!J99+March!J99+April!J99+May!J99+June!J99+July!J99+August!J99+Adj!J99</f>
        <v>1519</v>
      </c>
      <c r="K99" s="220">
        <f>September!K99+October!K99+November!K99+December!K99+January!K99+February!K99+March!K99+April!K99+May!K99+June!K99+July!K99+August!K99+Adj!K99</f>
        <v>3</v>
      </c>
      <c r="L99" s="288">
        <f>September!L99+October!L99+November!L99+December!L99+January!L99+February!L99+March!L99+April!L99+May!L99+June!L99+July!L99+August!L99+Adj!L99</f>
        <v>41238</v>
      </c>
      <c r="M99" s="220">
        <f>September!M99+October!M99+November!M99+December!M99+January!M99+February!M99+March!M99+April!M99+May!M99+June!M99+July!M99+August!M99+Adj!M99</f>
        <v>7610</v>
      </c>
      <c r="N99" s="220">
        <f>September!N99+October!N99+November!N99+December!N99+January!N99+February!N99+March!N99+April!N99+May!N99+June!N99+July!N99+August!N99+Adj!N99</f>
        <v>15464</v>
      </c>
      <c r="O99" s="220">
        <f>September!O99+October!O99+November!O99+December!O99+January!O99+February!O99+March!O99+April!O99+May!O99+June!O99+July!O99+August!O99+Adj!O99</f>
        <v>6425</v>
      </c>
      <c r="P99" s="220">
        <f>September!P99+October!P99+November!P99+December!P99+January!P99+February!P99+March!P99+April!P99+May!P99+June!P99+July!P99+August!P99+Adj!P99</f>
        <v>491</v>
      </c>
      <c r="Q99" s="220">
        <f>September!Q99+October!Q99+November!Q99+December!Q99+January!Q99+February!Q99+March!Q99+April!Q99+May!Q99+June!Q99+July!Q99+August!Q99+Adj!Q99</f>
        <v>502</v>
      </c>
      <c r="R99" s="220">
        <f>September!R99+October!R99+November!R99+December!R99+January!R99+February!R99+March!R99+April!R99+May!R99+June!R99+July!R99+August!R99+Adj!R99</f>
        <v>153</v>
      </c>
      <c r="S99" s="220">
        <f>September!S99+October!S99+November!S99+December!S99+January!S99+February!S99+March!S99+April!S99+May!S99+June!S99+July!S99+August!S99+Adj!S99</f>
        <v>0</v>
      </c>
      <c r="T99" s="220">
        <f>September!T99+October!T99+November!T99+December!T99+January!T99+February!T99+March!T99+April!T99+May!T99+June!T99+July!T99+August!T99+Adj!T99</f>
        <v>279</v>
      </c>
      <c r="U99" s="220">
        <f>September!U99+October!U99+November!U99+December!U99+January!U99+February!U99+March!U99+April!U99+May!U99+June!U99+July!U99+August!U99+Adj!U99</f>
        <v>0</v>
      </c>
      <c r="V99" s="288">
        <f>September!V99+October!V99+November!V99+December!V99+January!V99+February!V99+March!V99+April!V99+May!V99+June!V99+July!V99+August!V99+Adj!V99</f>
        <v>30924</v>
      </c>
      <c r="W99" s="220">
        <f>September!W99+October!W99+November!W99+December!W99+January!W99+February!W99+March!W99+April!W99+May!W99+June!W99+July!W99+August!W99+Adj!W99</f>
        <v>6995</v>
      </c>
      <c r="X99" s="220">
        <f>September!X99+October!X99+November!X99+December!X99+January!X99+February!X99+March!X99+April!X99+May!X99+June!X99+July!X99+August!X99+Adj!X99</f>
        <v>0</v>
      </c>
      <c r="Y99" s="220">
        <f>September!Y99+October!Y99+November!Y99+December!Y99+January!Y99+February!Y99+March!Y99+April!Y99+May!Y99+June!Y99+July!Y99+August!Y99+Adj!Y99</f>
        <v>0</v>
      </c>
      <c r="Z99" s="220">
        <f>September!Z99+October!Z99+November!Z99+December!Z99+January!Z99+February!Z99+March!Z99+April!Z99+May!Z99+June!Z99+July!Z99+August!Z99+Adj!Z99</f>
        <v>79157</v>
      </c>
      <c r="AA99" s="220">
        <f>September!AA99+October!AA99+November!AA99+December!AA99+January!AA99+February!AA99+March!AA99+April!AA99+May!AA99+June!AA99+July!AA99+August!AA99+Adj!AA99</f>
        <v>54336</v>
      </c>
    </row>
    <row r="100" spans="1:30" x14ac:dyDescent="0.25">
      <c r="A100" s="117" t="s">
        <v>144</v>
      </c>
      <c r="B100" s="137" t="s">
        <v>352</v>
      </c>
      <c r="C100" s="220">
        <f>September!C100+October!C100+November!C100+December!C100+January!C100+February!C100+March!C100+April!C100+May!C100+June!C100+July!C100+August!C100+Adj!C100</f>
        <v>20889</v>
      </c>
      <c r="D100" s="220">
        <f>September!D100+October!D100+November!D100+December!D100+January!D100+February!D100+March!D100+April!D100+May!D100+June!D100+July!D100+August!D100+Adj!D100</f>
        <v>4968</v>
      </c>
      <c r="E100" s="220">
        <f>September!E100+October!E100+November!E100+December!E100+January!E100+February!E100+March!E100+April!E100+May!E100+June!E100+July!E100+August!E100+Adj!E100</f>
        <v>6718</v>
      </c>
      <c r="F100" s="220">
        <f>September!F100+October!F100+November!F100+December!F100+January!F100+February!F100+March!F100+April!F100+May!F100+June!F100+July!F100+August!F100+Adj!F100</f>
        <v>1008</v>
      </c>
      <c r="G100" s="220">
        <f>September!G100+October!G100+November!G100+December!G100+January!G100+February!G100+March!G100+April!G100+May!G100+June!G100+July!G100+August!G100+Adj!G100</f>
        <v>613</v>
      </c>
      <c r="H100" s="220">
        <f>September!H100+October!H100+November!H100+December!H100+January!H100+February!H100+March!H100+April!H100+May!H100+June!H100+July!H100+August!H100+Adj!H100</f>
        <v>0</v>
      </c>
      <c r="I100" s="220">
        <f>September!I100+October!I100+November!I100+December!I100+January!I100+February!I100+March!I100+April!I100+May!I100+June!I100+July!I100+August!I100+Adj!I100</f>
        <v>651</v>
      </c>
      <c r="J100" s="220">
        <f>September!J100+October!J100+November!J100+December!J100+January!J100+February!J100+March!J100+April!J100+May!J100+June!J100+July!J100+August!J100+Adj!J100</f>
        <v>2523</v>
      </c>
      <c r="K100" s="220">
        <f>September!K100+October!K100+November!K100+December!K100+January!K100+February!K100+March!K100+April!K100+May!K100+June!K100+July!K100+August!K100+Adj!K100</f>
        <v>4</v>
      </c>
      <c r="L100" s="288">
        <f>September!L100+October!L100+November!L100+December!L100+January!L100+February!L100+March!L100+April!L100+May!L100+June!L100+July!L100+August!L100+Adj!L100</f>
        <v>37374</v>
      </c>
      <c r="M100" s="220">
        <f>September!M100+October!M100+November!M100+December!M100+January!M100+February!M100+March!M100+April!M100+May!M100+June!M100+July!M100+August!M100+Adj!M100</f>
        <v>9426</v>
      </c>
      <c r="N100" s="220">
        <f>September!N100+October!N100+November!N100+December!N100+January!N100+February!N100+March!N100+April!N100+May!N100+June!N100+July!N100+August!N100+Adj!N100</f>
        <v>7605</v>
      </c>
      <c r="O100" s="220">
        <f>September!O100+October!O100+November!O100+December!O100+January!O100+February!O100+March!O100+April!O100+May!O100+June!O100+July!O100+August!O100+Adj!O100</f>
        <v>5671</v>
      </c>
      <c r="P100" s="220">
        <f>September!P100+October!P100+November!P100+December!P100+January!P100+February!P100+March!P100+April!P100+May!P100+June!P100+July!P100+August!P100+Adj!P100</f>
        <v>490</v>
      </c>
      <c r="Q100" s="220">
        <f>September!Q100+October!Q100+November!Q100+December!Q100+January!Q100+February!Q100+March!Q100+April!Q100+May!Q100+June!Q100+July!Q100+August!Q100+Adj!Q100</f>
        <v>308</v>
      </c>
      <c r="R100" s="220">
        <f>September!R100+October!R100+November!R100+December!R100+January!R100+February!R100+March!R100+April!R100+May!R100+June!R100+July!R100+August!R100+Adj!R100</f>
        <v>51</v>
      </c>
      <c r="S100" s="220">
        <f>September!S100+October!S100+November!S100+December!S100+January!S100+February!S100+March!S100+April!S100+May!S100+June!S100+July!S100+August!S100+Adj!S100</f>
        <v>0</v>
      </c>
      <c r="T100" s="220">
        <f>September!T100+October!T100+November!T100+December!T100+January!T100+February!T100+March!T100+April!T100+May!T100+June!T100+July!T100+August!T100+Adj!T100</f>
        <v>678</v>
      </c>
      <c r="U100" s="220">
        <f>September!U100+October!U100+November!U100+December!U100+January!U100+February!U100+March!U100+April!U100+May!U100+June!U100+July!U100+August!U100+Adj!U100</f>
        <v>0</v>
      </c>
      <c r="V100" s="288">
        <f>September!V100+October!V100+November!V100+December!V100+January!V100+February!V100+March!V100+April!V100+May!V100+June!V100+July!V100+August!V100+Adj!V100</f>
        <v>24229</v>
      </c>
      <c r="W100" s="220">
        <f>September!W100+October!W100+November!W100+December!W100+January!W100+February!W100+March!W100+April!W100+May!W100+June!W100+July!W100+August!W100+Adj!W100</f>
        <v>4485</v>
      </c>
      <c r="X100" s="220">
        <f>September!X100+October!X100+November!X100+December!X100+January!X100+February!X100+March!X100+April!X100+May!X100+June!X100+July!X100+August!X100+Adj!X100</f>
        <v>0</v>
      </c>
      <c r="Y100" s="220">
        <f>September!Y100+October!Y100+November!Y100+December!Y100+January!Y100+February!Y100+March!Y100+April!Y100+May!Y100+June!Y100+July!Y100+August!Y100+Adj!Y100</f>
        <v>0</v>
      </c>
      <c r="Z100" s="220">
        <f>September!Z100+October!Z100+November!Z100+December!Z100+January!Z100+February!Z100+March!Z100+April!Z100+May!Z100+June!Z100+July!Z100+August!Z100+Adj!Z100</f>
        <v>66088</v>
      </c>
      <c r="AA100" s="220">
        <f>September!AA100+October!AA100+November!AA100+December!AA100+January!AA100+February!AA100+March!AA100+April!AA100+May!AA100+June!AA100+July!AA100+August!AA100+Adj!AA100</f>
        <v>44390</v>
      </c>
    </row>
    <row r="101" spans="1:30" x14ac:dyDescent="0.25">
      <c r="A101" s="117" t="s">
        <v>176</v>
      </c>
      <c r="B101" s="137" t="s">
        <v>354</v>
      </c>
      <c r="C101" s="220">
        <f>September!C101+October!C101+November!C101+December!C101+January!C101+February!C101+March!C101+April!C101+May!C101+June!C101+July!C101+August!C101+Adj!C101</f>
        <v>14612</v>
      </c>
      <c r="D101" s="220">
        <f>September!D101+October!D101+November!D101+December!D101+January!D101+February!D101+March!D101+April!D101+May!D101+June!D101+July!D101+August!D101+Adj!D101</f>
        <v>10143</v>
      </c>
      <c r="E101" s="220">
        <f>September!E101+October!E101+November!E101+December!E101+January!E101+February!E101+March!E101+April!E101+May!E101+June!E101+July!E101+August!E101+Adj!E101</f>
        <v>6335</v>
      </c>
      <c r="F101" s="220">
        <f>September!F101+October!F101+November!F101+December!F101+January!F101+February!F101+March!F101+April!F101+May!F101+June!F101+July!F101+August!F101+Adj!F101</f>
        <v>629</v>
      </c>
      <c r="G101" s="220">
        <f>September!G101+October!G101+November!G101+December!G101+January!G101+February!G101+March!G101+April!G101+May!G101+June!G101+July!G101+August!G101+Adj!G101</f>
        <v>464</v>
      </c>
      <c r="H101" s="220">
        <f>September!H101+October!H101+November!H101+December!H101+January!H101+February!H101+March!H101+April!H101+May!H101+June!H101+July!H101+August!H101+Adj!H101</f>
        <v>25</v>
      </c>
      <c r="I101" s="220">
        <f>September!I101+October!I101+November!I101+December!I101+January!I101+February!I101+March!I101+April!I101+May!I101+June!I101+July!I101+August!I101+Adj!I101</f>
        <v>101</v>
      </c>
      <c r="J101" s="220">
        <f>September!J101+October!J101+November!J101+December!J101+January!J101+February!J101+March!J101+April!J101+May!J101+June!J101+July!J101+August!J101+Adj!J101</f>
        <v>2672</v>
      </c>
      <c r="K101" s="220">
        <f>September!K101+October!K101+November!K101+December!K101+January!K101+February!K101+March!K101+April!K101+May!K101+June!K101+July!K101+August!K101+Adj!K101</f>
        <v>1</v>
      </c>
      <c r="L101" s="288">
        <f>September!L101+October!L101+November!L101+December!L101+January!L101+February!L101+March!L101+April!L101+May!L101+June!L101+July!L101+August!L101+Adj!L101</f>
        <v>34982</v>
      </c>
      <c r="M101" s="220">
        <f>September!M101+October!M101+November!M101+December!M101+January!M101+February!M101+March!M101+April!M101+May!M101+June!M101+July!M101+August!M101+Adj!M101</f>
        <v>6979</v>
      </c>
      <c r="N101" s="220">
        <f>September!N101+October!N101+November!N101+December!N101+January!N101+February!N101+March!N101+April!N101+May!N101+June!N101+July!N101+August!N101+Adj!N101</f>
        <v>11664</v>
      </c>
      <c r="O101" s="220">
        <f>September!O101+October!O101+November!O101+December!O101+January!O101+February!O101+March!O101+April!O101+May!O101+June!O101+July!O101+August!O101+Adj!O101</f>
        <v>5242</v>
      </c>
      <c r="P101" s="220">
        <f>September!P101+October!P101+November!P101+December!P101+January!P101+February!P101+March!P101+April!P101+May!P101+June!P101+July!P101+August!P101+Adj!P101</f>
        <v>353</v>
      </c>
      <c r="Q101" s="220">
        <f>September!Q101+October!Q101+November!Q101+December!Q101+January!Q101+February!Q101+March!Q101+April!Q101+May!Q101+June!Q101+July!Q101+August!Q101+Adj!Q101</f>
        <v>355</v>
      </c>
      <c r="R101" s="220">
        <f>September!R101+October!R101+November!R101+December!R101+January!R101+February!R101+March!R101+April!R101+May!R101+June!R101+July!R101+August!R101+Adj!R101</f>
        <v>64</v>
      </c>
      <c r="S101" s="220">
        <f>September!S101+October!S101+November!S101+December!S101+January!S101+February!S101+March!S101+April!S101+May!S101+June!S101+July!S101+August!S101+Adj!S101</f>
        <v>0</v>
      </c>
      <c r="T101" s="220">
        <f>September!T101+October!T101+November!T101+December!T101+January!T101+February!T101+March!T101+April!T101+May!T101+June!T101+July!T101+August!T101+Adj!T101</f>
        <v>70</v>
      </c>
      <c r="U101" s="220">
        <f>September!U101+October!U101+November!U101+December!U101+January!U101+February!U101+March!U101+April!U101+May!U101+June!U101+July!U101+August!U101+Adj!U101</f>
        <v>0</v>
      </c>
      <c r="V101" s="288">
        <f>September!V101+October!V101+November!V101+December!V101+January!V101+February!V101+March!V101+April!V101+May!V101+June!V101+July!V101+August!V101+Adj!V101</f>
        <v>24727</v>
      </c>
      <c r="W101" s="220">
        <f>September!W101+October!W101+November!W101+December!W101+January!W101+February!W101+March!W101+April!W101+May!W101+June!W101+July!W101+August!W101+Adj!W101</f>
        <v>5708</v>
      </c>
      <c r="X101" s="220">
        <f>September!X101+October!X101+November!X101+December!X101+January!X101+February!X101+March!X101+April!X101+May!X101+June!X101+July!X101+August!X101+Adj!X101</f>
        <v>0</v>
      </c>
      <c r="Y101" s="220">
        <f>September!Y101+October!Y101+November!Y101+December!Y101+January!Y101+February!Y101+March!Y101+April!Y101+May!Y101+June!Y101+July!Y101+August!Y101+Adj!Y101</f>
        <v>0</v>
      </c>
      <c r="Z101" s="220">
        <f>September!Z101+October!Z101+November!Z101+December!Z101+January!Z101+February!Z101+March!Z101+April!Z101+May!Z101+June!Z101+July!Z101+August!Z101+Adj!Z101</f>
        <v>65417</v>
      </c>
      <c r="AA101" s="220">
        <f>September!AA101+October!AA101+November!AA101+December!AA101+January!AA101+February!AA101+March!AA101+April!AA101+May!AA101+June!AA101+July!AA101+August!AA101+Adj!AA101</f>
        <v>44381</v>
      </c>
    </row>
    <row r="102" spans="1:30" x14ac:dyDescent="0.25">
      <c r="A102" s="117" t="s">
        <v>363</v>
      </c>
      <c r="B102" s="137" t="s">
        <v>303</v>
      </c>
      <c r="C102" s="220">
        <f>September!C102+October!C102+November!C102+December!C102+January!C102+February!C102+March!C102+April!C102+May!C102+June!C102+July!C102+August!C102+Adj!C102</f>
        <v>0</v>
      </c>
      <c r="D102" s="220">
        <f>September!D102+October!D102+November!D102+December!D102+January!D102+February!D102+March!D102+April!D102+May!D102+June!D102+July!D102+August!D102+Adj!D102</f>
        <v>0</v>
      </c>
      <c r="E102" s="220">
        <f>September!E102+October!E102+November!E102+December!E102+January!E102+February!E102+March!E102+April!E102+May!E102+June!E102+July!E102+August!E102+Adj!E102</f>
        <v>0</v>
      </c>
      <c r="F102" s="220">
        <f>September!F102+October!F102+November!F102+December!F102+January!F102+February!F102+March!F102+April!F102+May!F102+June!F102+July!F102+August!F102+Adj!F102</f>
        <v>0</v>
      </c>
      <c r="G102" s="220">
        <f>September!G102+October!G102+November!G102+December!G102+January!G102+February!G102+March!G102+April!G102+May!G102+June!G102+July!G102+August!G102+Adj!G102</f>
        <v>0</v>
      </c>
      <c r="H102" s="220">
        <f>September!H102+October!H102+November!H102+December!H102+January!H102+February!H102+March!H102+April!H102+May!H102+June!H102+July!H102+August!H102+Adj!H102</f>
        <v>0</v>
      </c>
      <c r="I102" s="220">
        <f>September!I102+October!I102+November!I102+December!I102+January!I102+February!I102+March!I102+April!I102+May!I102+June!I102+July!I102+August!I102+Adj!I102</f>
        <v>0</v>
      </c>
      <c r="J102" s="220">
        <f>September!J102+October!J102+November!J102+December!J102+January!J102+February!J102+March!J102+April!J102+May!J102+June!J102+July!J102+August!J102+Adj!J102</f>
        <v>0</v>
      </c>
      <c r="K102" s="220">
        <f>September!K102+October!K102+November!K102+December!K102+January!K102+February!K102+March!K102+April!K102+May!K102+June!K102+July!K102+August!K102+Adj!K102</f>
        <v>0</v>
      </c>
      <c r="L102" s="288">
        <f>September!L102+October!L102+November!L102+December!L102+January!L102+February!L102+March!L102+April!L102+May!L102+June!L102+July!L102+August!L102+Adj!L102</f>
        <v>0</v>
      </c>
      <c r="M102" s="220">
        <f>September!M102+October!M102+November!M102+December!M102+January!M102+February!M102+March!M102+April!M102+May!M102+June!M102+July!M102+August!M102+Adj!M102</f>
        <v>0</v>
      </c>
      <c r="N102" s="220">
        <f>September!N102+October!N102+November!N102+December!N102+January!N102+February!N102+March!N102+April!N102+May!N102+June!N102+July!N102+August!N102+Adj!N102</f>
        <v>0</v>
      </c>
      <c r="O102" s="220">
        <f>September!O102+October!O102+November!O102+December!O102+January!O102+February!O102+March!O102+April!O102+May!O102+June!O102+July!O102+August!O102+Adj!O102</f>
        <v>0</v>
      </c>
      <c r="P102" s="220">
        <f>September!P102+October!P102+November!P102+December!Q102+January!P102+February!P102+March!P102+April!P102+May!P102+June!P102+July!P102+August!P102+Adj!P102</f>
        <v>0</v>
      </c>
      <c r="Q102" s="220">
        <f>September!Q102+October!Q102+November!Q102+December!Q102+January!Q102+February!Q102+March!Q102+April!Q102+May!Q102+June!Q102+July!Q102+August!Q102+Adj!Q102</f>
        <v>0</v>
      </c>
      <c r="R102" s="220">
        <f>September!R102+October!R102+November!R102+December!R102+January!R102+February!R102+March!R102+April!R102+May!R102+June!R102+July!R102+August!R102+Adj!R102</f>
        <v>0</v>
      </c>
      <c r="S102" s="220">
        <f>September!S102+October!S102+November!S102+December!S102+January!S102+February!S102+March!S102+April!S102+May!S102+June!S102+July!S102+August!S102+Adj!S102</f>
        <v>0</v>
      </c>
      <c r="T102" s="220">
        <f>September!T102+October!T102+November!T102+December!T102+January!T102+February!T102+March!T102+April!T102+May!T102+June!T102+July!T102+August!T102+Adj!T102</f>
        <v>0</v>
      </c>
      <c r="U102" s="220">
        <f>September!U102+October!U102+November!U102+December!U102+January!U102+February!U102+March!U102+April!U102+May!U102+June!U102+July!U102+August!U102+Adj!U102</f>
        <v>0</v>
      </c>
      <c r="V102" s="288">
        <f>September!V102+October!V102+November!V102+December!V102+January!V102+February!V102+March!V102+April!V102+May!V102+June!V102+July!V102+August!V102+Adj!V102</f>
        <v>0</v>
      </c>
      <c r="W102" s="220">
        <f>September!W102+October!W102+November!W102+December!W102+January!W102+February!W102+March!W102+April!W102+May!W102+June!W102+July!W102+August!W102+Adj!W102</f>
        <v>401303</v>
      </c>
      <c r="X102" s="220">
        <f>September!X102+October!X102+November!X102+December!X102+January!X102+February!X102+March!X102+April!X102+May!X102+June!X102+July!X102+August!X102+Adj!X102</f>
        <v>0</v>
      </c>
      <c r="Y102" s="220">
        <f>September!Y102+October!Y102+November!Y102+December!Y102+January!Y102+February!Y102+March!Y102+April!Y102+May!Y102+June!Y102+July!Y102+August!Y102+Adj!Y102</f>
        <v>0</v>
      </c>
      <c r="Z102" s="220">
        <f>September!Z102+October!Z102+November!Z102+December!Z102+January!Z102+February!Z102+March!Z102+April!Z102+May!Z102+June!Z102+July!Z102+August!Z102+Adj!Z102</f>
        <v>401303</v>
      </c>
      <c r="AA102" s="220">
        <f>September!AA102+October!AA102+November!AA102+December!AA102+January!AA102+February!AA102+March!AA102+April!AA102+May!AA102+June!AA102+July!AA102+August!AA102+Adj!AA102</f>
        <v>0</v>
      </c>
    </row>
    <row r="103" spans="1:30" x14ac:dyDescent="0.25">
      <c r="A103" s="117" t="s">
        <v>177</v>
      </c>
      <c r="B103" s="137" t="s">
        <v>302</v>
      </c>
      <c r="C103" s="220">
        <f>September!C103+October!C103+November!C103+December!C103+January!C103+February!C103+March!C103+April!C103+May!C103+June!C103+July!C103+August!C103+Adj!C103</f>
        <v>76736</v>
      </c>
      <c r="D103" s="220">
        <f>September!D103+October!D103+November!D103+December!D103+January!D103+February!D103+March!D103+April!D103+May!D103+June!D103+July!D103+August!D103+Adj!D103</f>
        <v>63737</v>
      </c>
      <c r="E103" s="220">
        <f>September!E103+October!E103+November!E103+December!E103+January!E103+February!E103+March!E103+April!E103+May!E103+June!E103+July!E103+August!E103+Adj!E103</f>
        <v>43715</v>
      </c>
      <c r="F103" s="220">
        <f>September!F103+October!F103+November!F103+December!F103+January!F103+February!F103+March!F103+April!F103+May!F103+June!F103+July!F103+August!F103+Adj!F103</f>
        <v>1042</v>
      </c>
      <c r="G103" s="220">
        <f>September!G103+October!G103+November!G103+December!G103+January!G103+February!G103+March!G103+April!G103+May!G103+June!G103+July!G103+August!G103+Adj!G103</f>
        <v>1622</v>
      </c>
      <c r="H103" s="220">
        <f>September!H103+October!H103+November!H103+December!H103+January!H103+February!H103+March!H103+April!H103+May!H103+June!H103+July!H103+August!H103+Adj!H103</f>
        <v>228</v>
      </c>
      <c r="I103" s="220">
        <f>September!I103+October!I103+November!I103+December!I103+January!I103+February!I103+March!I103+April!I103+May!I103+June!I103+July!I103+August!I103+Adj!I103</f>
        <v>865</v>
      </c>
      <c r="J103" s="220">
        <f>September!J103+October!J103+November!J103+December!J103+January!J103+February!J103+March!J103+April!J103+May!J103+June!J103+July!J103+August!J103+Adj!J103</f>
        <v>4806</v>
      </c>
      <c r="K103" s="220">
        <f>September!K103+October!K103+November!K103+December!K103+January!K103+February!K103+March!K103+April!K103+May!K103+June!K103+July!K103+August!K103+Adj!K103</f>
        <v>0</v>
      </c>
      <c r="L103" s="288">
        <f>September!L103+October!L103+November!L103+December!L103+January!L103+February!L103+March!L103+April!L103+May!L103+June!L103+July!L103+August!L103+Adj!L103</f>
        <v>192751</v>
      </c>
      <c r="M103" s="220">
        <f>September!M103+October!M103+November!M103+December!M103+January!M103+February!M103+March!M103+April!M103+May!M103+June!M103+July!M103+August!M103+Adj!M103</f>
        <v>15577</v>
      </c>
      <c r="N103" s="220">
        <f>September!N103+October!N103+November!N103+December!N103+January!N103+February!N103+March!N103+April!N103+May!N103+June!N103+July!N103+August!N103+Adj!N103</f>
        <v>30062</v>
      </c>
      <c r="O103" s="220">
        <f>September!O103+October!O103+November!O103+December!O103+January!O103+February!O103+March!O103+April!O103+May!O103+June!O103+July!O103+August!O103+Adj!O103</f>
        <v>16664</v>
      </c>
      <c r="P103" s="220">
        <f>September!P103+October!P103+November!P103+December!P103+January!P103+February!P103+March!P103+April!P103+May!P103+June!P103+July!P103+August!P103+Adj!P103</f>
        <v>434</v>
      </c>
      <c r="Q103" s="220">
        <f>September!Q103+October!Q103+November!Q103+December!Q103+January!Q103+February!Q103+March!Q103+April!Q103+May!Q103+June!Q103+July!Q103+August!Q103+Adj!Q103</f>
        <v>683</v>
      </c>
      <c r="R103" s="220">
        <f>September!R103+October!R103+November!R103+December!R103+January!R103+February!R103+March!R103+April!R103+May!R103+June!R103+July!R103+August!R103+Adj!R103</f>
        <v>623</v>
      </c>
      <c r="S103" s="220">
        <f>September!S103+October!S103+November!S103+December!S103+January!S103+February!S103+March!S103+April!S103+May!S103+June!S103+July!S103+August!S103+Adj!S103</f>
        <v>60</v>
      </c>
      <c r="T103" s="220">
        <f>September!T103+October!T103+November!T103+December!T103+January!T103+February!T103+March!T103+April!T103+May!T103+June!T103+July!T103+August!T103+Adj!T103</f>
        <v>748</v>
      </c>
      <c r="U103" s="220">
        <f>September!U103+October!U103+November!U103+December!U103+January!U103+February!U103+March!U103+April!U103+May!U103+June!U103+July!U103+August!U103+Adj!U103</f>
        <v>0</v>
      </c>
      <c r="V103" s="288">
        <f>September!V103+October!V103+November!V103+December!V103+January!V103+February!V103+March!V103+April!V103+May!V103+June!V103+July!V103+August!V103+Adj!V103</f>
        <v>64851</v>
      </c>
      <c r="W103" s="220">
        <f>September!W103+October!W103+November!W103+December!W103+January!W103+February!W103+March!W103+April!W103+May!W103+June!W103+July!W103+August!W103+Adj!W103</f>
        <v>12126</v>
      </c>
      <c r="X103" s="220">
        <f>September!X103+October!X103+November!X103+December!X103+January!X103+February!X103+March!X103+April!X103+May!X103+June!X103+July!X103+August!X103+Adj!X103</f>
        <v>0</v>
      </c>
      <c r="Y103" s="220">
        <f>September!Y103+October!Y103+November!Y103+December!Y103+January!Y103+February!Y103+March!Y103+April!Y103+May!Y103+June!Y103+July!Y103+August!Y103+Adj!Y103</f>
        <v>0</v>
      </c>
      <c r="Z103" s="220">
        <f>September!Z103+October!Z103+November!Z103+December!Z103+January!Z103+February!Z103+March!Z103+April!Z103+May!Z103+June!Z103+July!Z103+August!Z103+Adj!Z103</f>
        <v>269728</v>
      </c>
      <c r="AA103" s="220">
        <f>September!AA103+October!AA103+November!AA103+December!AA103+January!AA103+February!AA103+March!AA103+April!AA103+May!AA103+June!AA103+July!AA103+August!AA103+Adj!AA103</f>
        <v>187588</v>
      </c>
    </row>
    <row r="104" spans="1:30" ht="26.4" x14ac:dyDescent="0.25">
      <c r="A104" s="117" t="s">
        <v>178</v>
      </c>
      <c r="B104" s="137" t="s">
        <v>304</v>
      </c>
      <c r="C104" s="220">
        <f>September!C104+October!C104+November!C104+December!C104+January!C104+February!C104+March!C104+April!C104+May!C104+June!C104+July!C104+August!C104+Adj!C104</f>
        <v>32915</v>
      </c>
      <c r="D104" s="220">
        <f>September!D104+October!D104+November!D104+December!D104+January!D104+February!D104+March!D104+April!D104+May!D104+June!D104+July!D104+August!D104+Adj!D104</f>
        <v>19947</v>
      </c>
      <c r="E104" s="220">
        <f>September!E104+October!E104+November!E104+December!E104+January!E104+February!E104+March!E104+April!E104+May!E104+June!E104+July!E104+August!E104+Adj!E104</f>
        <v>16285</v>
      </c>
      <c r="F104" s="220">
        <f>September!F104+October!F104+November!F104+December!F104+January!F104+February!F104+March!F104+April!F104+May!F104+June!F104+July!F104+August!F104+Adj!F104</f>
        <v>1320</v>
      </c>
      <c r="G104" s="220">
        <f>September!G104+October!G104+November!G104+December!G104+January!G104+February!G104+March!G104+April!G104+May!G104+June!G104+July!G104+August!G104+Adj!G104</f>
        <v>365</v>
      </c>
      <c r="H104" s="220">
        <f>September!H104+October!H104+November!H104+December!H104+January!H104+February!H104+March!H104+April!H104+May!H104+June!H104+July!H104+August!H104+Adj!H104</f>
        <v>189</v>
      </c>
      <c r="I104" s="220">
        <f>September!I104+October!I104+November!I104+December!I104+January!I104+February!I104+March!I104+April!I104+May!I104+June!I104+July!I104+August!I104+Adj!I104</f>
        <v>270</v>
      </c>
      <c r="J104" s="220">
        <f>September!J104+October!J104+November!J104+December!J104+January!J104+February!J104+March!J104+April!J104+May!J104+June!J104+July!J104+August!J104+Adj!J104</f>
        <v>2383</v>
      </c>
      <c r="K104" s="220">
        <f>September!K104+October!K104+November!K104+December!K104+January!K104+February!K104+March!K104+April!K104+May!K104+June!K104+July!K104+August!K104+Adj!K104</f>
        <v>2</v>
      </c>
      <c r="L104" s="288">
        <f>September!L104+October!L104+November!L104+December!L104+January!L104+February!L104+March!L104+April!L104+May!L104+June!L104+July!L104+August!L104+Adj!L104</f>
        <v>73676</v>
      </c>
      <c r="M104" s="220">
        <f>September!M104+October!M104+November!M104+December!M104+January!M104+February!M104+March!M104+April!M104+May!M104+June!M104+July!M104+August!M104+Adj!M104</f>
        <v>10634</v>
      </c>
      <c r="N104" s="220">
        <f>September!N104+October!N104+November!N104+December!N104+January!N104+February!N104+March!N104+April!N104+May!N104+June!N104+July!N104+August!N104+Adj!N104</f>
        <v>22533</v>
      </c>
      <c r="O104" s="220">
        <f>September!O104+October!O104+November!O104+December!O104+January!O104+February!O104+March!O104+April!O104+May!O104+June!O104+July!O104+August!O104+Adj!O104</f>
        <v>11909</v>
      </c>
      <c r="P104" s="220">
        <f>September!P104+October!P104+November!P104+December!P104+January!P104+February!P104+March!P104+April!P104+May!P104+June!P104+July!P104+August!P104+Adj!P104</f>
        <v>194</v>
      </c>
      <c r="Q104" s="220">
        <f>September!Q104+October!Q104+November!Q104+December!Q104+January!Q104+February!Q104+March!Q104+April!Q104+May!Q104+June!Q104+July!Q104+August!Q104+Adj!Q104</f>
        <v>355</v>
      </c>
      <c r="R104" s="220">
        <f>September!R104+October!R104+November!R104+December!R104+January!R104+February!R104+March!R104+April!R104+May!R104+June!R104+July!R104+August!R104+Adj!R104</f>
        <v>144</v>
      </c>
      <c r="S104" s="220">
        <f>September!S104+October!S104+November!S104+December!S104+January!S104+February!S104+March!S104+April!S104+May!S104+June!S104+July!S104+August!S104+Adj!S104</f>
        <v>21</v>
      </c>
      <c r="T104" s="220">
        <f>September!T104+October!T104+November!T104+December!T104+January!T104+February!T104+March!T104+April!T104+May!T104+June!T104+July!T104+August!T104+Adj!T104</f>
        <v>84</v>
      </c>
      <c r="U104" s="220">
        <f>September!U104+October!U104+November!U104+December!U104+January!U104+February!U104+March!U104+April!U104+May!U104+June!U104+July!U104+August!U104+Adj!U104</f>
        <v>0</v>
      </c>
      <c r="V104" s="288">
        <f>September!V104+October!V104+November!V104+December!V104+January!V104+February!V104+March!V104+April!V104+May!V104+June!V104+July!V104+August!V104+Adj!V104</f>
        <v>45874</v>
      </c>
      <c r="W104" s="220">
        <f>September!W104+October!W104+November!W104+December!W104+January!W104+February!W104+March!W104+April!W104+May!W104+June!W104+July!W104+August!W104+Adj!W104</f>
        <v>9121</v>
      </c>
      <c r="X104" s="220">
        <f>September!X104+October!X104+November!X104+December!X104+January!X104+February!X104+March!X104+April!X104+May!X104+June!X104+July!X104+August!X104+Adj!X104</f>
        <v>0</v>
      </c>
      <c r="Y104" s="220">
        <f>September!Y104+October!Y104+November!Y104+December!Y104+January!Y104+February!Y104+March!Y104+April!Y104+May!Y104+June!Y104+July!Y104+August!Y104+Adj!Y104</f>
        <v>0</v>
      </c>
      <c r="Z104" s="220">
        <f>September!Z104+October!Z104+November!Z104+December!Z104+January!Z104+February!Z104+March!Z104+April!Z104+May!Z104+June!Z104+July!Z104+August!Z104+Adj!Z104</f>
        <v>128671</v>
      </c>
      <c r="AA104" s="220">
        <f>September!AA104+October!AA104+November!AA104+December!AA104+January!AA104+February!AA104+March!AA104+April!AA104+May!AA104+June!AA104+July!AA104+August!AA104+Adj!AA104</f>
        <v>87545</v>
      </c>
    </row>
    <row r="105" spans="1:30" ht="13.8" thickBot="1" x14ac:dyDescent="0.3">
      <c r="A105" s="124" t="s">
        <v>190</v>
      </c>
      <c r="B105" s="143" t="s">
        <v>364</v>
      </c>
      <c r="C105" s="282">
        <f>September!C105+October!C105+November!C105+December!C105+January!C105+February!C105+March!C105+April!C105+May!C105+June!C105+July!C105+August!C105+Adj!C105</f>
        <v>42286</v>
      </c>
      <c r="D105" s="282">
        <f>September!D105+October!D105+November!D105+December!D105+January!D105+February!D105+March!D105+April!D105+May!D105+June!D105+July!D105+August!D105+Adj!D105</f>
        <v>23019</v>
      </c>
      <c r="E105" s="282">
        <f>September!E105+October!E105+November!E105+December!E105+January!E105+February!E105+March!E105+April!E105+May!E105+June!E105+July!E105+August!E105+Adj!E105</f>
        <v>17698</v>
      </c>
      <c r="F105" s="282">
        <f>September!F105+October!F105+November!F105+December!F105+January!F105+February!F105+March!F105+April!F105+May!F105+June!F105+July!F105+August!F105+Adj!F105</f>
        <v>838</v>
      </c>
      <c r="G105" s="282">
        <f>September!G105+October!G105+November!G105+December!G105+January!G105+February!G105+March!G105+April!G105+May!G105+June!G105+July!G105+August!G105+Adj!G105</f>
        <v>1122</v>
      </c>
      <c r="H105" s="282">
        <f>September!H105+October!H105+November!H105+December!H105+January!H105+February!H105+March!H105+April!H105+May!H105+June!H105+July!H105+August!H105+Adj!H105</f>
        <v>574</v>
      </c>
      <c r="I105" s="282">
        <f>September!I105+October!I105+November!I105+December!I105+January!I105+February!I105+March!I105+April!I105+May!I105+June!I105+July!I105+August!I105+Adj!I105</f>
        <v>1782</v>
      </c>
      <c r="J105" s="282">
        <f>September!J105+October!J105+November!J105+December!J105+January!J105+February!J105+March!J105+April!J105+May!J105+June!J105+July!J105+August!J105+Adj!J105</f>
        <v>6003</v>
      </c>
      <c r="K105" s="282">
        <f>September!K105+October!K105+November!K105+December!K105+January!K105+February!K105+March!K105+April!K105+May!K105+June!K105+July!K105+August!K105+Adj!K105</f>
        <v>208</v>
      </c>
      <c r="L105" s="289">
        <f>September!L105+October!L105+November!L105+December!L105+January!L105+February!L105+March!L105+April!L105+May!L105+June!L105+July!L105+August!L105+Adj!L105</f>
        <v>93530</v>
      </c>
      <c r="M105" s="282">
        <f>September!M105+October!M105+November!M105+December!M105+January!M105+February!M105+March!M105+April!M105+May!M105+June!M105+July!M105+August!M105+Adj!M105</f>
        <v>16869</v>
      </c>
      <c r="N105" s="282">
        <f>September!N105+October!N105+November!N105+December!N105+January!N105+February!N105+March!N105+April!N105+May!N105+June!N105+July!N105+August!N105+Adj!N105</f>
        <v>27938</v>
      </c>
      <c r="O105" s="282">
        <f>September!O105+October!O105+November!O105+December!O105+January!O105+February!O105+March!O105+April!O105+May!O105+June!O105+July!O105+August!O105+Adj!O105</f>
        <v>14922</v>
      </c>
      <c r="P105" s="282">
        <f>September!P105+October!P105+November!P105+December!P105+January!P105+February!P105+March!P105+April!P105+May!P105+June!P105+July!P105+August!P105+Adj!P105</f>
        <v>1119</v>
      </c>
      <c r="Q105" s="282">
        <f>September!Q105+October!Q105+November!Q105+December!Q105+January!Q105+February!Q105+March!Q105+April!Q105+May!Q105+June!Q105+July!Q105+August!Q105+Adj!Q105</f>
        <v>943</v>
      </c>
      <c r="R105" s="282">
        <f>September!R105+October!R105+November!R105+December!R105+January!R105+February!R105+March!R105+April!R105+May!R105+June!R105+July!R105+August!R105+Adj!R105</f>
        <v>14</v>
      </c>
      <c r="S105" s="282">
        <f>September!S105+October!S105+November!S105+December!S105+January!S105+February!S105+March!S105+April!S105+May!S105+June!S105+July!S105+August!S105+Adj!S105</f>
        <v>0</v>
      </c>
      <c r="T105" s="282">
        <f>September!T105+October!T105+November!T105+December!T105+January!T105+February!T105+March!T105+April!T105+May!T105+June!T105+July!T105+August!T105+Adj!T105</f>
        <v>618</v>
      </c>
      <c r="U105" s="282">
        <f>September!U105+October!U105+November!U105+December!U105+January!U105+February!U105+March!U105+April!U105+May!U105+June!U105+July!U105+August!U105+Adj!U105</f>
        <v>0</v>
      </c>
      <c r="V105" s="289">
        <f>September!V105+October!V105+November!V105+December!V105+January!V105+February!V105+March!V105+April!V105+May!V105+June!V105+July!V105+August!V105+Adj!V105</f>
        <v>62423</v>
      </c>
      <c r="W105" s="282">
        <f>September!W105+October!W105+November!W105+December!W105+January!W105+February!W105+March!W105+April!W105+May!W105+June!W105+July!W105+August!W105+Adj!W105</f>
        <v>10830</v>
      </c>
      <c r="X105" s="282">
        <f>September!X105+October!X105+November!X105+December!X105+January!X105+February!X105+March!X105+April!X105+May!X105+June!X105+July!X105+August!X105+Adj!X105</f>
        <v>0</v>
      </c>
      <c r="Y105" s="282">
        <f>September!Y105+October!Y105+November!Y105+December!Y105+January!Y105+February!Y105+March!Y105+April!Y105+May!Y105+June!Y105+July!Y105+August!Y105+Adj!Y105</f>
        <v>0</v>
      </c>
      <c r="Z105" s="282">
        <f>September!Z105+October!Z105+November!Z105+December!Z105+January!Z105+February!Z105+March!Z105+April!Z105+May!Z105+June!Z105+July!Z105+August!Z105+Adj!Z105</f>
        <v>166783</v>
      </c>
      <c r="AA105" s="282">
        <f>September!AA105+October!AA105+November!AA105+December!AA105+January!AA105+February!AA105+March!AA105+April!AA105+May!AA105+June!AA105+July!AA105+August!AA105+Adj!AA105</f>
        <v>112277</v>
      </c>
    </row>
    <row r="106" spans="1:30" s="109" customFormat="1" ht="14.4" thickBot="1" x14ac:dyDescent="0.3">
      <c r="A106" s="127"/>
      <c r="B106" s="159" t="s">
        <v>462</v>
      </c>
      <c r="C106" s="344">
        <f>September!C106+October!C106+November!C106+December!C106+January!C106+February!C106+March!C106+April!C106+May!C106+June!C106+July!C106+August!C106+Adj!C106</f>
        <v>371383</v>
      </c>
      <c r="D106" s="344">
        <f>September!D106+October!D106+November!D106+December!D106+January!D106+February!D106+March!D106+April!D106+May!D106+June!D106+July!D106+August!D106+Adj!D106</f>
        <v>241547</v>
      </c>
      <c r="E106" s="344">
        <f>September!E106+October!E106+November!E106+December!E106+January!E106+February!E106+March!E106+April!E106+May!E106+June!E106+July!E106+August!E106+Adj!E106</f>
        <v>169580</v>
      </c>
      <c r="F106" s="344">
        <f>September!F106+October!F106+November!F106+December!F106+January!F106+February!F106+March!F106+April!F106+May!F106+June!F106+July!F106+August!F106+Adj!F106</f>
        <v>10312</v>
      </c>
      <c r="G106" s="344">
        <f>September!G106+October!G106+November!G106+December!G106+January!G106+February!G106+March!G106+April!G106+May!G106+June!G106+July!G106+August!G106+Adj!G106</f>
        <v>10633</v>
      </c>
      <c r="H106" s="344">
        <f>September!H106+October!H106+November!H106+December!H106+January!H106+February!H106+March!H106+April!H106+May!H106+June!H106+July!H106+August!H106+Adj!H106</f>
        <v>3262</v>
      </c>
      <c r="I106" s="344">
        <f>September!I106+October!I106+November!I106+December!I106+January!I106+February!I106+March!I106+April!I106+May!I106+June!I106+July!I106+August!I106+Adj!I106</f>
        <v>7839</v>
      </c>
      <c r="J106" s="344">
        <f>September!J106+October!J106+November!J106+December!J106+January!J106+February!J106+March!J106+April!J106+May!J106+June!J106+July!J106+August!J106+Adj!J106</f>
        <v>49294</v>
      </c>
      <c r="K106" s="344">
        <f>September!K106+October!K106+November!K106+December!K106+January!K106+February!K106+March!K106+April!K106+May!K106+June!K106+July!K106+August!K106+Adj!K106</f>
        <v>494</v>
      </c>
      <c r="L106" s="344">
        <f>September!L106+October!L106+November!L106+December!L106+January!L106+February!L106+March!L106+April!L106+May!L106+June!L106+July!L106+August!L106+Adj!L106</f>
        <v>864344</v>
      </c>
      <c r="M106" s="344">
        <f>September!M106+October!M106+November!M106+December!M106+January!M106+February!M106+March!M106+April!M106+May!M106+June!M106+July!M106+August!M106+Adj!M106</f>
        <v>150087</v>
      </c>
      <c r="N106" s="344">
        <f>September!N106+October!N106+November!N106+December!N106+January!N106+February!N106+March!N106+April!N106+May!N106+June!N106+July!N106+August!N106+Adj!N106</f>
        <v>217300</v>
      </c>
      <c r="O106" s="344">
        <f>September!O106+October!O106+November!O106+December!O106+January!O106+February!O106+March!O106+April!O106+May!O106+June!O106+July!O106+August!O106+Adj!O106</f>
        <v>119506</v>
      </c>
      <c r="P106" s="344">
        <f>September!P106+October!P106+November!P106+December!P106+January!P106+February!P106+March!P106+April!P106+May!P106+June!P106+July!P106+August!P106+Adj!P106</f>
        <v>6354</v>
      </c>
      <c r="Q106" s="344">
        <f>September!Q106+October!Q106+November!Q106+December!Q106+January!Q106+February!Q106+March!Q106+April!Q106+May!Q106+June!Q106+July!Q106+August!Q106+Adj!Q106</f>
        <v>6925</v>
      </c>
      <c r="R106" s="344">
        <f>September!R106+October!R106+November!R106+December!R106+January!R106+February!R106+March!R106+April!R106+May!R106+June!R106+July!R106+August!R106+Adj!R106</f>
        <v>2718</v>
      </c>
      <c r="S106" s="344">
        <f>September!S106+October!S106+November!S106+December!S106+January!S106+February!S106+March!S106+April!S106+May!S106+June!S106+July!S106+August!S106+Adj!S106</f>
        <v>167</v>
      </c>
      <c r="T106" s="344">
        <f>September!T106+October!T106+November!T106+December!T106+January!T106+February!T106+March!T106+April!T106+May!T106+June!T106+July!T106+August!T106+Adj!T106</f>
        <v>7105</v>
      </c>
      <c r="U106" s="344">
        <f>September!U106+October!U106+November!U106+December!U106+January!U106+February!U106+March!U106+April!U106+May!U106+June!U106+July!U106+August!U106+Adj!U106</f>
        <v>0</v>
      </c>
      <c r="V106" s="344">
        <f>September!V106+October!V106+November!V106+December!V106+January!V106+February!V106+March!V106+April!V106+May!V106+June!V106+July!V106+August!V106+Adj!V106</f>
        <v>510162</v>
      </c>
      <c r="W106" s="344">
        <f>September!W106+October!W106+November!W106+December!W106+January!W106+February!W106+March!W106+April!W106+May!W106+June!W106+July!W106+August!W106+Adj!W106</f>
        <v>533402</v>
      </c>
      <c r="X106" s="344">
        <f>SUM(X90:X105)</f>
        <v>3183</v>
      </c>
      <c r="Y106" s="344">
        <f>SUM(Y90:Y105)</f>
        <v>0</v>
      </c>
      <c r="Z106" s="344">
        <f>SUM(Z90:Z105)</f>
        <v>1911091</v>
      </c>
      <c r="AA106" s="345">
        <f>SUM(AA90:AA105)</f>
        <v>997477</v>
      </c>
      <c r="AC106"/>
      <c r="AD106"/>
    </row>
    <row r="107" spans="1:30" ht="18" thickBot="1" x14ac:dyDescent="0.35">
      <c r="A107" s="126"/>
      <c r="B107" s="346" t="s">
        <v>463</v>
      </c>
      <c r="C107" s="347">
        <f>September!C107+October!C107+November!C107+December!C107+January!C107+February!C107+March!C107+April!C107+May!C107+June!C107+July!C107+August!C107+Adj!C107</f>
        <v>2141636</v>
      </c>
      <c r="D107" s="347">
        <f>September!D107+October!D107+November!D107+December!D107+January!D107+February!D107+March!D107+April!D107+May!D107+June!D107+July!D107+August!D107+Adj!D107</f>
        <v>1028957</v>
      </c>
      <c r="E107" s="347">
        <f>September!E107+October!E107+November!E107+December!E107+January!E107+February!E107+March!E107+April!E107+May!E107+June!E107+July!E107+August!E107+Adj!E107</f>
        <v>832463</v>
      </c>
      <c r="F107" s="347">
        <f>September!F107+October!F107+November!F107+December!F107+January!F107+February!F107+March!F107+April!F107+May!F107+June!F107+July!F107+August!F107+Adj!F107</f>
        <v>54661</v>
      </c>
      <c r="G107" s="347">
        <f>September!G107+October!G107+November!G107+December!G107+January!G107+February!G107+March!G107+April!G107+May!G107+June!G107+July!G107+August!G107+Adj!G107</f>
        <v>55969</v>
      </c>
      <c r="H107" s="347">
        <f>September!H107+October!H107+November!H107+December!H107+January!H107+February!H107+March!H107+April!H107+May!H107+June!H107+July!H107+August!H107+Adj!H107</f>
        <v>9649</v>
      </c>
      <c r="I107" s="347">
        <f>September!I107+October!I107+November!I107+December!I107+January!I107+February!I107+March!I107+April!I107+May!I107+June!I107+July!I107+August!I107+Adj!I107</f>
        <v>79442</v>
      </c>
      <c r="J107" s="347">
        <f>September!J107+October!J107+November!J107+December!J107+January!J107+February!J107+March!J107+April!J107+May!J107+June!J107+July!J107+August!J107+Adj!J107</f>
        <v>511402</v>
      </c>
      <c r="K107" s="347">
        <f>September!K107+October!K107+November!K107+December!K107+January!K107+February!K107+March!K107+April!K107+May!K107+June!K107+July!K107+August!K107+Adj!K107</f>
        <v>15012</v>
      </c>
      <c r="L107" s="347">
        <f>September!L107+October!L107+November!L107+December!L107+January!L107+February!L107+March!L107+April!L107+May!L107+June!L107+July!L107+August!L107+Adj!L107</f>
        <v>4729191</v>
      </c>
      <c r="M107" s="347">
        <f>September!M107+October!M107+November!M107+December!M107+January!M107+February!M107+March!M107+April!M107+May!M107+June!M107+July!M107+August!M107+Adj!M107</f>
        <v>707654</v>
      </c>
      <c r="N107" s="347">
        <f>September!N107+October!N107+November!N107+December!N107+January!N107+February!N107+March!N107+April!N107+May!N107+June!N107+July!N107+August!N107+Adj!N107</f>
        <v>988199</v>
      </c>
      <c r="O107" s="347">
        <f>September!O107+October!O107+November!O107+December!O107+January!O107+February!O107+March!O107+April!O107+May!O107+June!O107+July!O107+August!O107+Adj!O107</f>
        <v>525341</v>
      </c>
      <c r="P107" s="347">
        <f>September!P107+October!P107+November!P107+December!P107+January!P107+February!P107+March!P107+April!P107+May!P107+June!P107+July!P107+August!P107+Adj!P107</f>
        <v>32693</v>
      </c>
      <c r="Q107" s="347">
        <f>September!Q107+October!Q107+November!Q107+December!Q107+January!Q107+February!Q107+March!Q107+April!Q107+May!Q107+June!Q107+July!Q107+August!Q107+Adj!Q107</f>
        <v>35582</v>
      </c>
      <c r="R107" s="347">
        <f>September!R107+October!R107+November!R107+December!R107+January!R107+February!R107+March!R107+April!R107+May!R107+June!R107+July!R107+August!R107+Adj!R107</f>
        <v>30232</v>
      </c>
      <c r="S107" s="347">
        <f>September!S107+October!S107+November!S107+December!S107+January!S107+February!S107+March!S107+April!S107+May!S107+June!S107+July!S107+August!S107+Adj!S107</f>
        <v>6399</v>
      </c>
      <c r="T107" s="347">
        <f>September!T107+October!T107+November!T107+December!T107+January!T107+February!T107+March!T107+April!T107+May!T107+June!T107+July!T107+August!T107+Adj!T107</f>
        <v>63643</v>
      </c>
      <c r="U107" s="347">
        <f>September!U107+October!U107+November!U107+December!U107+January!U107+February!U107+March!U107+April!U107+May!U107+June!U107+July!U107+August!U107+Adj!U107</f>
        <v>1860</v>
      </c>
      <c r="V107" s="347">
        <f>September!V107+October!V107+November!V107+December!V107+January!V107+February!V107+March!V107+April!V107+May!V107+June!V107+July!V107+August!V107+Adj!V107</f>
        <v>2391603</v>
      </c>
      <c r="W107" s="347">
        <f>September!W107+October!W107+November!W107+December!W107+January!W107+February!W107+March!W107+April!W107+May!W107+June!W107+July!W107+August!W107+Adj!W107</f>
        <v>1585251</v>
      </c>
      <c r="X107" s="347">
        <f>September!X107+October!X107+November!X107+December!X107+January!X107+February!X107+March!X107+April!X107+May!X107+June!X107+July!X107+August!X107+Adj!X107</f>
        <v>51435</v>
      </c>
      <c r="Y107" s="347">
        <f>September!Y107+October!Y107+November!Y107+December!Y107+January!Y107+February!Y107+March!Y107+April!Y107+May!Y107+June!Y107+July!Y107+August!Y107+Adj!Y107</f>
        <v>14264</v>
      </c>
      <c r="Z107" s="347">
        <f>September!Z107+October!Z107+November!Z107+December!Z107+January!Z107+February!Z107+March!Z107+April!Z107+May!Z107+June!Z107+July!Z107+August!Z107+Adj!Z107</f>
        <v>8771744</v>
      </c>
      <c r="AA107" s="348">
        <f>September!AA107+October!AA107+November!AA107+December!AA107+January!AA107+February!AA107+March!AA107+April!AA107+May!AA107+June!AA107+July!AA107+August!AA107+Adj!AA107</f>
        <v>4970672</v>
      </c>
    </row>
    <row r="108" spans="1:30" x14ac:dyDescent="0.25">
      <c r="AA108" s="122"/>
    </row>
    <row r="109" spans="1:30" ht="15.6" x14ac:dyDescent="0.3">
      <c r="C109" s="123">
        <f>September!C109+October!C109+November!C109+December!C109+January!C109+February!C109+March!C109+April!C109+May!C109+June!C109+July!C109+August!C109+Adj!C109</f>
        <v>1137834</v>
      </c>
      <c r="D109" s="123">
        <f>September!D109+October!D109+November!D109+December!D109+January!D109+February!D109+March!D109+April!D109+May!D109+June!D109+July!D109+August!D109+Adj!D109</f>
        <v>586204</v>
      </c>
      <c r="E109" s="123">
        <f>September!E109+October!E109+November!E109+December!E109+January!E109+February!E109+March!E109+April!E109+May!E109+June!E109+July!E109+August!E109+Adj!E109</f>
        <v>389091</v>
      </c>
      <c r="F109" s="123">
        <f>September!F109+October!F109+November!F109+December!F109+January!F109+February!F109+March!F109+April!F109+May!F109+June!F109+July!F109+August!F109+Adj!F109</f>
        <v>33435</v>
      </c>
      <c r="G109" s="123">
        <f>September!G109+October!G109+November!G109+December!G109+January!G109+February!G109+March!G109+April!G109+May!G109+June!G109+July!G109+August!G109+Adj!G109</f>
        <v>31432</v>
      </c>
      <c r="H109" s="123">
        <f>September!H109+October!H109+November!H109+December!H109+January!H109+February!H109+March!H109+April!H109+May!H109+June!H109+July!H109+August!H109+Adj!H109</f>
        <v>4600</v>
      </c>
      <c r="I109" s="123">
        <f>September!I109+October!I109+November!I109+December!I109+January!I109+February!I109+March!I109+April!I109+May!I109+June!I109+July!I109+August!I109+Adj!I109</f>
        <v>62030</v>
      </c>
      <c r="J109" s="123">
        <f>September!J109+October!J109+November!J109+December!J109+January!J109+February!J109+March!J109+April!J109+May!J109+June!J109+July!J109+August!J109+Adj!J109</f>
        <v>306058</v>
      </c>
      <c r="K109" s="123">
        <f>September!K109+October!K109+November!K109+December!K109+January!K109+February!K109+March!K109+April!K109+May!K109+June!K109+July!K109+August!K109+Adj!K109</f>
        <v>9799</v>
      </c>
      <c r="L109" s="290">
        <f>September!L109+October!L109+November!L109+December!L109+January!L109+February!L109+March!L109+April!L109+May!L109+June!L109+July!L109+August!L109+Adj!L109</f>
        <v>2560483</v>
      </c>
      <c r="M109" s="123">
        <f>September!M109+October!M109+November!M109+December!M109+January!M109+February!M109+March!M109+April!M109+May!M109+June!M109+July!M109+August!M109+Adj!M109</f>
        <v>401346</v>
      </c>
      <c r="N109" s="123">
        <f>September!N109+October!N109+November!N109+December!N109+January!N109+February!N109+March!N109+April!N109+May!N109+June!N109+July!N109+August!N109+Adj!N109</f>
        <v>541234</v>
      </c>
      <c r="O109" s="123">
        <f>September!O109+October!O109+November!O109+December!O109+January!O109+February!O109+March!O109+April!O109+May!O109+June!O109+July!O109+August!O109+Adj!O109</f>
        <v>260616</v>
      </c>
      <c r="P109" s="123">
        <f>September!P109+October!P109+November!P109+December!P109+January!P109+February!P109+March!P109+April!P109+May!P109+June!P109+July!P109+August!P109+Adj!P109</f>
        <v>20255</v>
      </c>
      <c r="Q109" s="123">
        <f>September!Q109+October!Q109+November!Q109+December!Q109+January!Q109+February!Q109+March!Q109+April!Q109+May!Q109+June!Q109+July!Q109+August!Q109+Adj!Q109</f>
        <v>20613</v>
      </c>
      <c r="R109" s="123">
        <f>September!R109+October!R109+November!R109+December!R109+January!R109+February!R109+March!R109+April!R109+May!R109+June!R109+July!R109+August!R109+Adj!R109</f>
        <v>20683</v>
      </c>
      <c r="S109" s="123">
        <f>September!S109+October!S109+November!S109+December!S109+January!S109+February!S109+March!S109+April!S109+May!S109+June!S109+July!S109+August!S109+Adj!S109</f>
        <v>5126</v>
      </c>
      <c r="T109" s="123">
        <f>September!T109+October!T109+November!T109+December!T109+January!T109+February!T109+March!T109+April!T109+May!T109+June!T109+July!T109+August!T109+Adj!T109</f>
        <v>39749</v>
      </c>
      <c r="U109" s="123">
        <f>September!U109+October!U109+November!U109+December!U109+January!U109+February!U109+March!U109+April!U109+May!U109+June!U109+July!U109+August!U109+Adj!U109</f>
        <v>1339</v>
      </c>
      <c r="V109" s="290">
        <f>September!V109+October!V109+November!V109+December!V109+January!V109+February!V109+March!V109+April!V109+May!V109+June!V109+July!V109+August!V109+Adj!V109</f>
        <v>1310961</v>
      </c>
      <c r="W109" s="123">
        <f>September!W109+October!W109+November!W109+December!W109+January!W109+February!W109+March!W109+April!W109+May!W109+June!W109+July!W109+August!W109+Adj!W109</f>
        <v>956472</v>
      </c>
      <c r="X109" s="123">
        <f>September!X109+October!X109+November!X109+December!X109+January!X109+February!X109+March!X109+April!X109+May!X109+June!X109+July!X109+August!X109+Adj!X109</f>
        <v>25840</v>
      </c>
      <c r="Y109" s="123">
        <f>September!Y109+October!Y109+November!Y109+December!Y109+January!Y109+February!Y109+March!Y109+April!Y109+May!Y109+June!Y109+July!Y109+August!Y109+Adj!Y109</f>
        <v>3557</v>
      </c>
      <c r="Z109" s="123">
        <f>September!Z109+October!Z109+November!Z109+December!Z109+January!Z109+February!Z109+March!Z109+April!Z109+May!Z109+June!Z109+July!Z109+August!Z109+Adj!Z109</f>
        <v>4857313</v>
      </c>
      <c r="AA109" s="123">
        <f>September!AA109+October!AA109+November!AA109+December!AA109+January!AA109+February!AA109+March!AA109+April!AA109+May!AA109+June!AA109+July!AA109+August!AA109+Adj!AA109</f>
        <v>2731446</v>
      </c>
    </row>
    <row r="111" spans="1:30" x14ac:dyDescent="0.25">
      <c r="C111" s="122">
        <f>C107-C109</f>
        <v>1003802</v>
      </c>
      <c r="D111" s="122">
        <f t="shared" ref="D111:AA111" si="0">D107-D109</f>
        <v>442753</v>
      </c>
      <c r="E111" s="122">
        <f t="shared" si="0"/>
        <v>443372</v>
      </c>
      <c r="F111" s="122">
        <f t="shared" si="0"/>
        <v>21226</v>
      </c>
      <c r="G111" s="122">
        <f t="shared" si="0"/>
        <v>24537</v>
      </c>
      <c r="H111" s="122">
        <f t="shared" si="0"/>
        <v>5049</v>
      </c>
      <c r="I111" s="122">
        <f t="shared" si="0"/>
        <v>17412</v>
      </c>
      <c r="J111" s="122">
        <f t="shared" si="0"/>
        <v>205344</v>
      </c>
      <c r="K111" s="122">
        <f t="shared" si="0"/>
        <v>5213</v>
      </c>
      <c r="L111" s="291">
        <f t="shared" si="0"/>
        <v>2168708</v>
      </c>
      <c r="M111" s="122">
        <f t="shared" si="0"/>
        <v>306308</v>
      </c>
      <c r="N111" s="122">
        <f t="shared" si="0"/>
        <v>446965</v>
      </c>
      <c r="O111" s="122">
        <f t="shared" si="0"/>
        <v>264725</v>
      </c>
      <c r="P111" s="122">
        <f t="shared" si="0"/>
        <v>12438</v>
      </c>
      <c r="Q111" s="122">
        <f t="shared" si="0"/>
        <v>14969</v>
      </c>
      <c r="R111" s="122">
        <f t="shared" si="0"/>
        <v>9549</v>
      </c>
      <c r="S111" s="122">
        <f t="shared" si="0"/>
        <v>1273</v>
      </c>
      <c r="T111" s="122">
        <f t="shared" si="0"/>
        <v>23894</v>
      </c>
      <c r="U111" s="122">
        <f t="shared" si="0"/>
        <v>521</v>
      </c>
      <c r="V111" s="291">
        <f t="shared" si="0"/>
        <v>1080642</v>
      </c>
      <c r="W111" s="122">
        <f t="shared" si="0"/>
        <v>628779</v>
      </c>
      <c r="X111" s="122">
        <f t="shared" si="0"/>
        <v>25595</v>
      </c>
      <c r="Y111" s="122">
        <f t="shared" si="0"/>
        <v>10707</v>
      </c>
      <c r="Z111" s="122">
        <f t="shared" si="0"/>
        <v>3914431</v>
      </c>
      <c r="AA111" s="122">
        <f t="shared" si="0"/>
        <v>2239226</v>
      </c>
    </row>
    <row r="113" spans="26:26" x14ac:dyDescent="0.25">
      <c r="Z113" s="122"/>
    </row>
  </sheetData>
  <mergeCells count="5">
    <mergeCell ref="B1:B3"/>
    <mergeCell ref="C1:Z1"/>
    <mergeCell ref="C2:Z2"/>
    <mergeCell ref="C4:L4"/>
    <mergeCell ref="M4:V4"/>
  </mergeCells>
  <conditionalFormatting sqref="V3">
    <cfRule type="cellIs" dxfId="1" priority="3" stopIfTrue="1" operator="greaterThan">
      <formula>10</formula>
    </cfRule>
    <cfRule type="cellIs" dxfId="0" priority="4" stopIfTrue="1" operator="lessThan">
      <formula>10</formula>
    </cfRule>
  </conditionalFormatting>
  <pageMargins left="0.5" right="0.28999999999999998" top="0.41" bottom="0.49" header="0.21" footer="0.16"/>
  <pageSetup paperSize="5" scale="45" fitToHeight="4" orientation="landscape" r:id="rId1"/>
  <headerFooter alignWithMargins="0">
    <oddFooter xml:space="preserve">&amp;L&amp;8&amp;Z&amp;F&amp;A&amp;10
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U88"/>
  <sheetViews>
    <sheetView topLeftCell="A57" workbookViewId="0">
      <selection sqref="A1:W89"/>
    </sheetView>
  </sheetViews>
  <sheetFormatPr defaultRowHeight="13.2" x14ac:dyDescent="0.25"/>
  <cols>
    <col min="3" max="3" width="11.44140625" bestFit="1" customWidth="1"/>
    <col min="4" max="5" width="10.44140625" bestFit="1" customWidth="1"/>
    <col min="6" max="7" width="9.44140625" bestFit="1" customWidth="1"/>
    <col min="8" max="8" width="9" bestFit="1" customWidth="1"/>
    <col min="9" max="9" width="9.44140625" bestFit="1" customWidth="1"/>
    <col min="10" max="10" width="10.44140625" bestFit="1" customWidth="1"/>
    <col min="11" max="11" width="9.44140625" bestFit="1" customWidth="1"/>
    <col min="12" max="14" width="10.44140625" bestFit="1" customWidth="1"/>
    <col min="15" max="17" width="9.44140625" bestFit="1" customWidth="1"/>
    <col min="18" max="18" width="9" bestFit="1" customWidth="1"/>
    <col min="19" max="19" width="9.44140625" bestFit="1" customWidth="1"/>
    <col min="20" max="21" width="9" bestFit="1" customWidth="1"/>
    <col min="259" max="259" width="11.44140625" bestFit="1" customWidth="1"/>
    <col min="260" max="261" width="10.44140625" bestFit="1" customWidth="1"/>
    <col min="262" max="263" width="9.44140625" bestFit="1" customWidth="1"/>
    <col min="264" max="264" width="9" bestFit="1" customWidth="1"/>
    <col min="265" max="265" width="9.44140625" bestFit="1" customWidth="1"/>
    <col min="266" max="266" width="10.44140625" bestFit="1" customWidth="1"/>
    <col min="267" max="267" width="9.44140625" bestFit="1" customWidth="1"/>
    <col min="268" max="270" width="10.44140625" bestFit="1" customWidth="1"/>
    <col min="271" max="273" width="9.44140625" bestFit="1" customWidth="1"/>
    <col min="274" max="274" width="9" bestFit="1" customWidth="1"/>
    <col min="275" max="275" width="9.44140625" bestFit="1" customWidth="1"/>
    <col min="276" max="277" width="9" bestFit="1" customWidth="1"/>
    <col min="515" max="515" width="11.44140625" bestFit="1" customWidth="1"/>
    <col min="516" max="517" width="10.44140625" bestFit="1" customWidth="1"/>
    <col min="518" max="519" width="9.44140625" bestFit="1" customWidth="1"/>
    <col min="520" max="520" width="9" bestFit="1" customWidth="1"/>
    <col min="521" max="521" width="9.44140625" bestFit="1" customWidth="1"/>
    <col min="522" max="522" width="10.44140625" bestFit="1" customWidth="1"/>
    <col min="523" max="523" width="9.44140625" bestFit="1" customWidth="1"/>
    <col min="524" max="526" width="10.44140625" bestFit="1" customWidth="1"/>
    <col min="527" max="529" width="9.44140625" bestFit="1" customWidth="1"/>
    <col min="530" max="530" width="9" bestFit="1" customWidth="1"/>
    <col min="531" max="531" width="9.44140625" bestFit="1" customWidth="1"/>
    <col min="532" max="533" width="9" bestFit="1" customWidth="1"/>
    <col min="771" max="771" width="11.44140625" bestFit="1" customWidth="1"/>
    <col min="772" max="773" width="10.44140625" bestFit="1" customWidth="1"/>
    <col min="774" max="775" width="9.44140625" bestFit="1" customWidth="1"/>
    <col min="776" max="776" width="9" bestFit="1" customWidth="1"/>
    <col min="777" max="777" width="9.44140625" bestFit="1" customWidth="1"/>
    <col min="778" max="778" width="10.44140625" bestFit="1" customWidth="1"/>
    <col min="779" max="779" width="9.44140625" bestFit="1" customWidth="1"/>
    <col min="780" max="782" width="10.44140625" bestFit="1" customWidth="1"/>
    <col min="783" max="785" width="9.44140625" bestFit="1" customWidth="1"/>
    <col min="786" max="786" width="9" bestFit="1" customWidth="1"/>
    <col min="787" max="787" width="9.44140625" bestFit="1" customWidth="1"/>
    <col min="788" max="789" width="9" bestFit="1" customWidth="1"/>
    <col min="1027" max="1027" width="11.44140625" bestFit="1" customWidth="1"/>
    <col min="1028" max="1029" width="10.44140625" bestFit="1" customWidth="1"/>
    <col min="1030" max="1031" width="9.44140625" bestFit="1" customWidth="1"/>
    <col min="1032" max="1032" width="9" bestFit="1" customWidth="1"/>
    <col min="1033" max="1033" width="9.44140625" bestFit="1" customWidth="1"/>
    <col min="1034" max="1034" width="10.44140625" bestFit="1" customWidth="1"/>
    <col min="1035" max="1035" width="9.44140625" bestFit="1" customWidth="1"/>
    <col min="1036" max="1038" width="10.44140625" bestFit="1" customWidth="1"/>
    <col min="1039" max="1041" width="9.44140625" bestFit="1" customWidth="1"/>
    <col min="1042" max="1042" width="9" bestFit="1" customWidth="1"/>
    <col min="1043" max="1043" width="9.44140625" bestFit="1" customWidth="1"/>
    <col min="1044" max="1045" width="9" bestFit="1" customWidth="1"/>
    <col min="1283" max="1283" width="11.44140625" bestFit="1" customWidth="1"/>
    <col min="1284" max="1285" width="10.44140625" bestFit="1" customWidth="1"/>
    <col min="1286" max="1287" width="9.44140625" bestFit="1" customWidth="1"/>
    <col min="1288" max="1288" width="9" bestFit="1" customWidth="1"/>
    <col min="1289" max="1289" width="9.44140625" bestFit="1" customWidth="1"/>
    <col min="1290" max="1290" width="10.44140625" bestFit="1" customWidth="1"/>
    <col min="1291" max="1291" width="9.44140625" bestFit="1" customWidth="1"/>
    <col min="1292" max="1294" width="10.44140625" bestFit="1" customWidth="1"/>
    <col min="1295" max="1297" width="9.44140625" bestFit="1" customWidth="1"/>
    <col min="1298" max="1298" width="9" bestFit="1" customWidth="1"/>
    <col min="1299" max="1299" width="9.44140625" bestFit="1" customWidth="1"/>
    <col min="1300" max="1301" width="9" bestFit="1" customWidth="1"/>
    <col min="1539" max="1539" width="11.44140625" bestFit="1" customWidth="1"/>
    <col min="1540" max="1541" width="10.44140625" bestFit="1" customWidth="1"/>
    <col min="1542" max="1543" width="9.44140625" bestFit="1" customWidth="1"/>
    <col min="1544" max="1544" width="9" bestFit="1" customWidth="1"/>
    <col min="1545" max="1545" width="9.44140625" bestFit="1" customWidth="1"/>
    <col min="1546" max="1546" width="10.44140625" bestFit="1" customWidth="1"/>
    <col min="1547" max="1547" width="9.44140625" bestFit="1" customWidth="1"/>
    <col min="1548" max="1550" width="10.44140625" bestFit="1" customWidth="1"/>
    <col min="1551" max="1553" width="9.44140625" bestFit="1" customWidth="1"/>
    <col min="1554" max="1554" width="9" bestFit="1" customWidth="1"/>
    <col min="1555" max="1555" width="9.44140625" bestFit="1" customWidth="1"/>
    <col min="1556" max="1557" width="9" bestFit="1" customWidth="1"/>
    <col min="1795" max="1795" width="11.44140625" bestFit="1" customWidth="1"/>
    <col min="1796" max="1797" width="10.44140625" bestFit="1" customWidth="1"/>
    <col min="1798" max="1799" width="9.44140625" bestFit="1" customWidth="1"/>
    <col min="1800" max="1800" width="9" bestFit="1" customWidth="1"/>
    <col min="1801" max="1801" width="9.44140625" bestFit="1" customWidth="1"/>
    <col min="1802" max="1802" width="10.44140625" bestFit="1" customWidth="1"/>
    <col min="1803" max="1803" width="9.44140625" bestFit="1" customWidth="1"/>
    <col min="1804" max="1806" width="10.44140625" bestFit="1" customWidth="1"/>
    <col min="1807" max="1809" width="9.44140625" bestFit="1" customWidth="1"/>
    <col min="1810" max="1810" width="9" bestFit="1" customWidth="1"/>
    <col min="1811" max="1811" width="9.44140625" bestFit="1" customWidth="1"/>
    <col min="1812" max="1813" width="9" bestFit="1" customWidth="1"/>
    <col min="2051" max="2051" width="11.44140625" bestFit="1" customWidth="1"/>
    <col min="2052" max="2053" width="10.44140625" bestFit="1" customWidth="1"/>
    <col min="2054" max="2055" width="9.44140625" bestFit="1" customWidth="1"/>
    <col min="2056" max="2056" width="9" bestFit="1" customWidth="1"/>
    <col min="2057" max="2057" width="9.44140625" bestFit="1" customWidth="1"/>
    <col min="2058" max="2058" width="10.44140625" bestFit="1" customWidth="1"/>
    <col min="2059" max="2059" width="9.44140625" bestFit="1" customWidth="1"/>
    <col min="2060" max="2062" width="10.44140625" bestFit="1" customWidth="1"/>
    <col min="2063" max="2065" width="9.44140625" bestFit="1" customWidth="1"/>
    <col min="2066" max="2066" width="9" bestFit="1" customWidth="1"/>
    <col min="2067" max="2067" width="9.44140625" bestFit="1" customWidth="1"/>
    <col min="2068" max="2069" width="9" bestFit="1" customWidth="1"/>
    <col min="2307" max="2307" width="11.44140625" bestFit="1" customWidth="1"/>
    <col min="2308" max="2309" width="10.44140625" bestFit="1" customWidth="1"/>
    <col min="2310" max="2311" width="9.44140625" bestFit="1" customWidth="1"/>
    <col min="2312" max="2312" width="9" bestFit="1" customWidth="1"/>
    <col min="2313" max="2313" width="9.44140625" bestFit="1" customWidth="1"/>
    <col min="2314" max="2314" width="10.44140625" bestFit="1" customWidth="1"/>
    <col min="2315" max="2315" width="9.44140625" bestFit="1" customWidth="1"/>
    <col min="2316" max="2318" width="10.44140625" bestFit="1" customWidth="1"/>
    <col min="2319" max="2321" width="9.44140625" bestFit="1" customWidth="1"/>
    <col min="2322" max="2322" width="9" bestFit="1" customWidth="1"/>
    <col min="2323" max="2323" width="9.44140625" bestFit="1" customWidth="1"/>
    <col min="2324" max="2325" width="9" bestFit="1" customWidth="1"/>
    <col min="2563" max="2563" width="11.44140625" bestFit="1" customWidth="1"/>
    <col min="2564" max="2565" width="10.44140625" bestFit="1" customWidth="1"/>
    <col min="2566" max="2567" width="9.44140625" bestFit="1" customWidth="1"/>
    <col min="2568" max="2568" width="9" bestFit="1" customWidth="1"/>
    <col min="2569" max="2569" width="9.44140625" bestFit="1" customWidth="1"/>
    <col min="2570" max="2570" width="10.44140625" bestFit="1" customWidth="1"/>
    <col min="2571" max="2571" width="9.44140625" bestFit="1" customWidth="1"/>
    <col min="2572" max="2574" width="10.44140625" bestFit="1" customWidth="1"/>
    <col min="2575" max="2577" width="9.44140625" bestFit="1" customWidth="1"/>
    <col min="2578" max="2578" width="9" bestFit="1" customWidth="1"/>
    <col min="2579" max="2579" width="9.44140625" bestFit="1" customWidth="1"/>
    <col min="2580" max="2581" width="9" bestFit="1" customWidth="1"/>
    <col min="2819" max="2819" width="11.44140625" bestFit="1" customWidth="1"/>
    <col min="2820" max="2821" width="10.44140625" bestFit="1" customWidth="1"/>
    <col min="2822" max="2823" width="9.44140625" bestFit="1" customWidth="1"/>
    <col min="2824" max="2824" width="9" bestFit="1" customWidth="1"/>
    <col min="2825" max="2825" width="9.44140625" bestFit="1" customWidth="1"/>
    <col min="2826" max="2826" width="10.44140625" bestFit="1" customWidth="1"/>
    <col min="2827" max="2827" width="9.44140625" bestFit="1" customWidth="1"/>
    <col min="2828" max="2830" width="10.44140625" bestFit="1" customWidth="1"/>
    <col min="2831" max="2833" width="9.44140625" bestFit="1" customWidth="1"/>
    <col min="2834" max="2834" width="9" bestFit="1" customWidth="1"/>
    <col min="2835" max="2835" width="9.44140625" bestFit="1" customWidth="1"/>
    <col min="2836" max="2837" width="9" bestFit="1" customWidth="1"/>
    <col min="3075" max="3075" width="11.44140625" bestFit="1" customWidth="1"/>
    <col min="3076" max="3077" width="10.44140625" bestFit="1" customWidth="1"/>
    <col min="3078" max="3079" width="9.44140625" bestFit="1" customWidth="1"/>
    <col min="3080" max="3080" width="9" bestFit="1" customWidth="1"/>
    <col min="3081" max="3081" width="9.44140625" bestFit="1" customWidth="1"/>
    <col min="3082" max="3082" width="10.44140625" bestFit="1" customWidth="1"/>
    <col min="3083" max="3083" width="9.44140625" bestFit="1" customWidth="1"/>
    <col min="3084" max="3086" width="10.44140625" bestFit="1" customWidth="1"/>
    <col min="3087" max="3089" width="9.44140625" bestFit="1" customWidth="1"/>
    <col min="3090" max="3090" width="9" bestFit="1" customWidth="1"/>
    <col min="3091" max="3091" width="9.44140625" bestFit="1" customWidth="1"/>
    <col min="3092" max="3093" width="9" bestFit="1" customWidth="1"/>
    <col min="3331" max="3331" width="11.44140625" bestFit="1" customWidth="1"/>
    <col min="3332" max="3333" width="10.44140625" bestFit="1" customWidth="1"/>
    <col min="3334" max="3335" width="9.44140625" bestFit="1" customWidth="1"/>
    <col min="3336" max="3336" width="9" bestFit="1" customWidth="1"/>
    <col min="3337" max="3337" width="9.44140625" bestFit="1" customWidth="1"/>
    <col min="3338" max="3338" width="10.44140625" bestFit="1" customWidth="1"/>
    <col min="3339" max="3339" width="9.44140625" bestFit="1" customWidth="1"/>
    <col min="3340" max="3342" width="10.44140625" bestFit="1" customWidth="1"/>
    <col min="3343" max="3345" width="9.44140625" bestFit="1" customWidth="1"/>
    <col min="3346" max="3346" width="9" bestFit="1" customWidth="1"/>
    <col min="3347" max="3347" width="9.44140625" bestFit="1" customWidth="1"/>
    <col min="3348" max="3349" width="9" bestFit="1" customWidth="1"/>
    <col min="3587" max="3587" width="11.44140625" bestFit="1" customWidth="1"/>
    <col min="3588" max="3589" width="10.44140625" bestFit="1" customWidth="1"/>
    <col min="3590" max="3591" width="9.44140625" bestFit="1" customWidth="1"/>
    <col min="3592" max="3592" width="9" bestFit="1" customWidth="1"/>
    <col min="3593" max="3593" width="9.44140625" bestFit="1" customWidth="1"/>
    <col min="3594" max="3594" width="10.44140625" bestFit="1" customWidth="1"/>
    <col min="3595" max="3595" width="9.44140625" bestFit="1" customWidth="1"/>
    <col min="3596" max="3598" width="10.44140625" bestFit="1" customWidth="1"/>
    <col min="3599" max="3601" width="9.44140625" bestFit="1" customWidth="1"/>
    <col min="3602" max="3602" width="9" bestFit="1" customWidth="1"/>
    <col min="3603" max="3603" width="9.44140625" bestFit="1" customWidth="1"/>
    <col min="3604" max="3605" width="9" bestFit="1" customWidth="1"/>
    <col min="3843" max="3843" width="11.44140625" bestFit="1" customWidth="1"/>
    <col min="3844" max="3845" width="10.44140625" bestFit="1" customWidth="1"/>
    <col min="3846" max="3847" width="9.44140625" bestFit="1" customWidth="1"/>
    <col min="3848" max="3848" width="9" bestFit="1" customWidth="1"/>
    <col min="3849" max="3849" width="9.44140625" bestFit="1" customWidth="1"/>
    <col min="3850" max="3850" width="10.44140625" bestFit="1" customWidth="1"/>
    <col min="3851" max="3851" width="9.44140625" bestFit="1" customWidth="1"/>
    <col min="3852" max="3854" width="10.44140625" bestFit="1" customWidth="1"/>
    <col min="3855" max="3857" width="9.44140625" bestFit="1" customWidth="1"/>
    <col min="3858" max="3858" width="9" bestFit="1" customWidth="1"/>
    <col min="3859" max="3859" width="9.44140625" bestFit="1" customWidth="1"/>
    <col min="3860" max="3861" width="9" bestFit="1" customWidth="1"/>
    <col min="4099" max="4099" width="11.44140625" bestFit="1" customWidth="1"/>
    <col min="4100" max="4101" width="10.44140625" bestFit="1" customWidth="1"/>
    <col min="4102" max="4103" width="9.44140625" bestFit="1" customWidth="1"/>
    <col min="4104" max="4104" width="9" bestFit="1" customWidth="1"/>
    <col min="4105" max="4105" width="9.44140625" bestFit="1" customWidth="1"/>
    <col min="4106" max="4106" width="10.44140625" bestFit="1" customWidth="1"/>
    <col min="4107" max="4107" width="9.44140625" bestFit="1" customWidth="1"/>
    <col min="4108" max="4110" width="10.44140625" bestFit="1" customWidth="1"/>
    <col min="4111" max="4113" width="9.44140625" bestFit="1" customWidth="1"/>
    <col min="4114" max="4114" width="9" bestFit="1" customWidth="1"/>
    <col min="4115" max="4115" width="9.44140625" bestFit="1" customWidth="1"/>
    <col min="4116" max="4117" width="9" bestFit="1" customWidth="1"/>
    <col min="4355" max="4355" width="11.44140625" bestFit="1" customWidth="1"/>
    <col min="4356" max="4357" width="10.44140625" bestFit="1" customWidth="1"/>
    <col min="4358" max="4359" width="9.44140625" bestFit="1" customWidth="1"/>
    <col min="4360" max="4360" width="9" bestFit="1" customWidth="1"/>
    <col min="4361" max="4361" width="9.44140625" bestFit="1" customWidth="1"/>
    <col min="4362" max="4362" width="10.44140625" bestFit="1" customWidth="1"/>
    <col min="4363" max="4363" width="9.44140625" bestFit="1" customWidth="1"/>
    <col min="4364" max="4366" width="10.44140625" bestFit="1" customWidth="1"/>
    <col min="4367" max="4369" width="9.44140625" bestFit="1" customWidth="1"/>
    <col min="4370" max="4370" width="9" bestFit="1" customWidth="1"/>
    <col min="4371" max="4371" width="9.44140625" bestFit="1" customWidth="1"/>
    <col min="4372" max="4373" width="9" bestFit="1" customWidth="1"/>
    <col min="4611" max="4611" width="11.44140625" bestFit="1" customWidth="1"/>
    <col min="4612" max="4613" width="10.44140625" bestFit="1" customWidth="1"/>
    <col min="4614" max="4615" width="9.44140625" bestFit="1" customWidth="1"/>
    <col min="4616" max="4616" width="9" bestFit="1" customWidth="1"/>
    <col min="4617" max="4617" width="9.44140625" bestFit="1" customWidth="1"/>
    <col min="4618" max="4618" width="10.44140625" bestFit="1" customWidth="1"/>
    <col min="4619" max="4619" width="9.44140625" bestFit="1" customWidth="1"/>
    <col min="4620" max="4622" width="10.44140625" bestFit="1" customWidth="1"/>
    <col min="4623" max="4625" width="9.44140625" bestFit="1" customWidth="1"/>
    <col min="4626" max="4626" width="9" bestFit="1" customWidth="1"/>
    <col min="4627" max="4627" width="9.44140625" bestFit="1" customWidth="1"/>
    <col min="4628" max="4629" width="9" bestFit="1" customWidth="1"/>
    <col min="4867" max="4867" width="11.44140625" bestFit="1" customWidth="1"/>
    <col min="4868" max="4869" width="10.44140625" bestFit="1" customWidth="1"/>
    <col min="4870" max="4871" width="9.44140625" bestFit="1" customWidth="1"/>
    <col min="4872" max="4872" width="9" bestFit="1" customWidth="1"/>
    <col min="4873" max="4873" width="9.44140625" bestFit="1" customWidth="1"/>
    <col min="4874" max="4874" width="10.44140625" bestFit="1" customWidth="1"/>
    <col min="4875" max="4875" width="9.44140625" bestFit="1" customWidth="1"/>
    <col min="4876" max="4878" width="10.44140625" bestFit="1" customWidth="1"/>
    <col min="4879" max="4881" width="9.44140625" bestFit="1" customWidth="1"/>
    <col min="4882" max="4882" width="9" bestFit="1" customWidth="1"/>
    <col min="4883" max="4883" width="9.44140625" bestFit="1" customWidth="1"/>
    <col min="4884" max="4885" width="9" bestFit="1" customWidth="1"/>
    <col min="5123" max="5123" width="11.44140625" bestFit="1" customWidth="1"/>
    <col min="5124" max="5125" width="10.44140625" bestFit="1" customWidth="1"/>
    <col min="5126" max="5127" width="9.44140625" bestFit="1" customWidth="1"/>
    <col min="5128" max="5128" width="9" bestFit="1" customWidth="1"/>
    <col min="5129" max="5129" width="9.44140625" bestFit="1" customWidth="1"/>
    <col min="5130" max="5130" width="10.44140625" bestFit="1" customWidth="1"/>
    <col min="5131" max="5131" width="9.44140625" bestFit="1" customWidth="1"/>
    <col min="5132" max="5134" width="10.44140625" bestFit="1" customWidth="1"/>
    <col min="5135" max="5137" width="9.44140625" bestFit="1" customWidth="1"/>
    <col min="5138" max="5138" width="9" bestFit="1" customWidth="1"/>
    <col min="5139" max="5139" width="9.44140625" bestFit="1" customWidth="1"/>
    <col min="5140" max="5141" width="9" bestFit="1" customWidth="1"/>
    <col min="5379" max="5379" width="11.44140625" bestFit="1" customWidth="1"/>
    <col min="5380" max="5381" width="10.44140625" bestFit="1" customWidth="1"/>
    <col min="5382" max="5383" width="9.44140625" bestFit="1" customWidth="1"/>
    <col min="5384" max="5384" width="9" bestFit="1" customWidth="1"/>
    <col min="5385" max="5385" width="9.44140625" bestFit="1" customWidth="1"/>
    <col min="5386" max="5386" width="10.44140625" bestFit="1" customWidth="1"/>
    <col min="5387" max="5387" width="9.44140625" bestFit="1" customWidth="1"/>
    <col min="5388" max="5390" width="10.44140625" bestFit="1" customWidth="1"/>
    <col min="5391" max="5393" width="9.44140625" bestFit="1" customWidth="1"/>
    <col min="5394" max="5394" width="9" bestFit="1" customWidth="1"/>
    <col min="5395" max="5395" width="9.44140625" bestFit="1" customWidth="1"/>
    <col min="5396" max="5397" width="9" bestFit="1" customWidth="1"/>
    <col min="5635" max="5635" width="11.44140625" bestFit="1" customWidth="1"/>
    <col min="5636" max="5637" width="10.44140625" bestFit="1" customWidth="1"/>
    <col min="5638" max="5639" width="9.44140625" bestFit="1" customWidth="1"/>
    <col min="5640" max="5640" width="9" bestFit="1" customWidth="1"/>
    <col min="5641" max="5641" width="9.44140625" bestFit="1" customWidth="1"/>
    <col min="5642" max="5642" width="10.44140625" bestFit="1" customWidth="1"/>
    <col min="5643" max="5643" width="9.44140625" bestFit="1" customWidth="1"/>
    <col min="5644" max="5646" width="10.44140625" bestFit="1" customWidth="1"/>
    <col min="5647" max="5649" width="9.44140625" bestFit="1" customWidth="1"/>
    <col min="5650" max="5650" width="9" bestFit="1" customWidth="1"/>
    <col min="5651" max="5651" width="9.44140625" bestFit="1" customWidth="1"/>
    <col min="5652" max="5653" width="9" bestFit="1" customWidth="1"/>
    <col min="5891" max="5891" width="11.44140625" bestFit="1" customWidth="1"/>
    <col min="5892" max="5893" width="10.44140625" bestFit="1" customWidth="1"/>
    <col min="5894" max="5895" width="9.44140625" bestFit="1" customWidth="1"/>
    <col min="5896" max="5896" width="9" bestFit="1" customWidth="1"/>
    <col min="5897" max="5897" width="9.44140625" bestFit="1" customWidth="1"/>
    <col min="5898" max="5898" width="10.44140625" bestFit="1" customWidth="1"/>
    <col min="5899" max="5899" width="9.44140625" bestFit="1" customWidth="1"/>
    <col min="5900" max="5902" width="10.44140625" bestFit="1" customWidth="1"/>
    <col min="5903" max="5905" width="9.44140625" bestFit="1" customWidth="1"/>
    <col min="5906" max="5906" width="9" bestFit="1" customWidth="1"/>
    <col min="5907" max="5907" width="9.44140625" bestFit="1" customWidth="1"/>
    <col min="5908" max="5909" width="9" bestFit="1" customWidth="1"/>
    <col min="6147" max="6147" width="11.44140625" bestFit="1" customWidth="1"/>
    <col min="6148" max="6149" width="10.44140625" bestFit="1" customWidth="1"/>
    <col min="6150" max="6151" width="9.44140625" bestFit="1" customWidth="1"/>
    <col min="6152" max="6152" width="9" bestFit="1" customWidth="1"/>
    <col min="6153" max="6153" width="9.44140625" bestFit="1" customWidth="1"/>
    <col min="6154" max="6154" width="10.44140625" bestFit="1" customWidth="1"/>
    <col min="6155" max="6155" width="9.44140625" bestFit="1" customWidth="1"/>
    <col min="6156" max="6158" width="10.44140625" bestFit="1" customWidth="1"/>
    <col min="6159" max="6161" width="9.44140625" bestFit="1" customWidth="1"/>
    <col min="6162" max="6162" width="9" bestFit="1" customWidth="1"/>
    <col min="6163" max="6163" width="9.44140625" bestFit="1" customWidth="1"/>
    <col min="6164" max="6165" width="9" bestFit="1" customWidth="1"/>
    <col min="6403" max="6403" width="11.44140625" bestFit="1" customWidth="1"/>
    <col min="6404" max="6405" width="10.44140625" bestFit="1" customWidth="1"/>
    <col min="6406" max="6407" width="9.44140625" bestFit="1" customWidth="1"/>
    <col min="6408" max="6408" width="9" bestFit="1" customWidth="1"/>
    <col min="6409" max="6409" width="9.44140625" bestFit="1" customWidth="1"/>
    <col min="6410" max="6410" width="10.44140625" bestFit="1" customWidth="1"/>
    <col min="6411" max="6411" width="9.44140625" bestFit="1" customWidth="1"/>
    <col min="6412" max="6414" width="10.44140625" bestFit="1" customWidth="1"/>
    <col min="6415" max="6417" width="9.44140625" bestFit="1" customWidth="1"/>
    <col min="6418" max="6418" width="9" bestFit="1" customWidth="1"/>
    <col min="6419" max="6419" width="9.44140625" bestFit="1" customWidth="1"/>
    <col min="6420" max="6421" width="9" bestFit="1" customWidth="1"/>
    <col min="6659" max="6659" width="11.44140625" bestFit="1" customWidth="1"/>
    <col min="6660" max="6661" width="10.44140625" bestFit="1" customWidth="1"/>
    <col min="6662" max="6663" width="9.44140625" bestFit="1" customWidth="1"/>
    <col min="6664" max="6664" width="9" bestFit="1" customWidth="1"/>
    <col min="6665" max="6665" width="9.44140625" bestFit="1" customWidth="1"/>
    <col min="6666" max="6666" width="10.44140625" bestFit="1" customWidth="1"/>
    <col min="6667" max="6667" width="9.44140625" bestFit="1" customWidth="1"/>
    <col min="6668" max="6670" width="10.44140625" bestFit="1" customWidth="1"/>
    <col min="6671" max="6673" width="9.44140625" bestFit="1" customWidth="1"/>
    <col min="6674" max="6674" width="9" bestFit="1" customWidth="1"/>
    <col min="6675" max="6675" width="9.44140625" bestFit="1" customWidth="1"/>
    <col min="6676" max="6677" width="9" bestFit="1" customWidth="1"/>
    <col min="6915" max="6915" width="11.44140625" bestFit="1" customWidth="1"/>
    <col min="6916" max="6917" width="10.44140625" bestFit="1" customWidth="1"/>
    <col min="6918" max="6919" width="9.44140625" bestFit="1" customWidth="1"/>
    <col min="6920" max="6920" width="9" bestFit="1" customWidth="1"/>
    <col min="6921" max="6921" width="9.44140625" bestFit="1" customWidth="1"/>
    <col min="6922" max="6922" width="10.44140625" bestFit="1" customWidth="1"/>
    <col min="6923" max="6923" width="9.44140625" bestFit="1" customWidth="1"/>
    <col min="6924" max="6926" width="10.44140625" bestFit="1" customWidth="1"/>
    <col min="6927" max="6929" width="9.44140625" bestFit="1" customWidth="1"/>
    <col min="6930" max="6930" width="9" bestFit="1" customWidth="1"/>
    <col min="6931" max="6931" width="9.44140625" bestFit="1" customWidth="1"/>
    <col min="6932" max="6933" width="9" bestFit="1" customWidth="1"/>
    <col min="7171" max="7171" width="11.44140625" bestFit="1" customWidth="1"/>
    <col min="7172" max="7173" width="10.44140625" bestFit="1" customWidth="1"/>
    <col min="7174" max="7175" width="9.44140625" bestFit="1" customWidth="1"/>
    <col min="7176" max="7176" width="9" bestFit="1" customWidth="1"/>
    <col min="7177" max="7177" width="9.44140625" bestFit="1" customWidth="1"/>
    <col min="7178" max="7178" width="10.44140625" bestFit="1" customWidth="1"/>
    <col min="7179" max="7179" width="9.44140625" bestFit="1" customWidth="1"/>
    <col min="7180" max="7182" width="10.44140625" bestFit="1" customWidth="1"/>
    <col min="7183" max="7185" width="9.44140625" bestFit="1" customWidth="1"/>
    <col min="7186" max="7186" width="9" bestFit="1" customWidth="1"/>
    <col min="7187" max="7187" width="9.44140625" bestFit="1" customWidth="1"/>
    <col min="7188" max="7189" width="9" bestFit="1" customWidth="1"/>
    <col min="7427" max="7427" width="11.44140625" bestFit="1" customWidth="1"/>
    <col min="7428" max="7429" width="10.44140625" bestFit="1" customWidth="1"/>
    <col min="7430" max="7431" width="9.44140625" bestFit="1" customWidth="1"/>
    <col min="7432" max="7432" width="9" bestFit="1" customWidth="1"/>
    <col min="7433" max="7433" width="9.44140625" bestFit="1" customWidth="1"/>
    <col min="7434" max="7434" width="10.44140625" bestFit="1" customWidth="1"/>
    <col min="7435" max="7435" width="9.44140625" bestFit="1" customWidth="1"/>
    <col min="7436" max="7438" width="10.44140625" bestFit="1" customWidth="1"/>
    <col min="7439" max="7441" width="9.44140625" bestFit="1" customWidth="1"/>
    <col min="7442" max="7442" width="9" bestFit="1" customWidth="1"/>
    <col min="7443" max="7443" width="9.44140625" bestFit="1" customWidth="1"/>
    <col min="7444" max="7445" width="9" bestFit="1" customWidth="1"/>
    <col min="7683" max="7683" width="11.44140625" bestFit="1" customWidth="1"/>
    <col min="7684" max="7685" width="10.44140625" bestFit="1" customWidth="1"/>
    <col min="7686" max="7687" width="9.44140625" bestFit="1" customWidth="1"/>
    <col min="7688" max="7688" width="9" bestFit="1" customWidth="1"/>
    <col min="7689" max="7689" width="9.44140625" bestFit="1" customWidth="1"/>
    <col min="7690" max="7690" width="10.44140625" bestFit="1" customWidth="1"/>
    <col min="7691" max="7691" width="9.44140625" bestFit="1" customWidth="1"/>
    <col min="7692" max="7694" width="10.44140625" bestFit="1" customWidth="1"/>
    <col min="7695" max="7697" width="9.44140625" bestFit="1" customWidth="1"/>
    <col min="7698" max="7698" width="9" bestFit="1" customWidth="1"/>
    <col min="7699" max="7699" width="9.44140625" bestFit="1" customWidth="1"/>
    <col min="7700" max="7701" width="9" bestFit="1" customWidth="1"/>
    <col min="7939" max="7939" width="11.44140625" bestFit="1" customWidth="1"/>
    <col min="7940" max="7941" width="10.44140625" bestFit="1" customWidth="1"/>
    <col min="7942" max="7943" width="9.44140625" bestFit="1" customWidth="1"/>
    <col min="7944" max="7944" width="9" bestFit="1" customWidth="1"/>
    <col min="7945" max="7945" width="9.44140625" bestFit="1" customWidth="1"/>
    <col min="7946" max="7946" width="10.44140625" bestFit="1" customWidth="1"/>
    <col min="7947" max="7947" width="9.44140625" bestFit="1" customWidth="1"/>
    <col min="7948" max="7950" width="10.44140625" bestFit="1" customWidth="1"/>
    <col min="7951" max="7953" width="9.44140625" bestFit="1" customWidth="1"/>
    <col min="7954" max="7954" width="9" bestFit="1" customWidth="1"/>
    <col min="7955" max="7955" width="9.44140625" bestFit="1" customWidth="1"/>
    <col min="7956" max="7957" width="9" bestFit="1" customWidth="1"/>
    <col min="8195" max="8195" width="11.44140625" bestFit="1" customWidth="1"/>
    <col min="8196" max="8197" width="10.44140625" bestFit="1" customWidth="1"/>
    <col min="8198" max="8199" width="9.44140625" bestFit="1" customWidth="1"/>
    <col min="8200" max="8200" width="9" bestFit="1" customWidth="1"/>
    <col min="8201" max="8201" width="9.44140625" bestFit="1" customWidth="1"/>
    <col min="8202" max="8202" width="10.44140625" bestFit="1" customWidth="1"/>
    <col min="8203" max="8203" width="9.44140625" bestFit="1" customWidth="1"/>
    <col min="8204" max="8206" width="10.44140625" bestFit="1" customWidth="1"/>
    <col min="8207" max="8209" width="9.44140625" bestFit="1" customWidth="1"/>
    <col min="8210" max="8210" width="9" bestFit="1" customWidth="1"/>
    <col min="8211" max="8211" width="9.44140625" bestFit="1" customWidth="1"/>
    <col min="8212" max="8213" width="9" bestFit="1" customWidth="1"/>
    <col min="8451" max="8451" width="11.44140625" bestFit="1" customWidth="1"/>
    <col min="8452" max="8453" width="10.44140625" bestFit="1" customWidth="1"/>
    <col min="8454" max="8455" width="9.44140625" bestFit="1" customWidth="1"/>
    <col min="8456" max="8456" width="9" bestFit="1" customWidth="1"/>
    <col min="8457" max="8457" width="9.44140625" bestFit="1" customWidth="1"/>
    <col min="8458" max="8458" width="10.44140625" bestFit="1" customWidth="1"/>
    <col min="8459" max="8459" width="9.44140625" bestFit="1" customWidth="1"/>
    <col min="8460" max="8462" width="10.44140625" bestFit="1" customWidth="1"/>
    <col min="8463" max="8465" width="9.44140625" bestFit="1" customWidth="1"/>
    <col min="8466" max="8466" width="9" bestFit="1" customWidth="1"/>
    <col min="8467" max="8467" width="9.44140625" bestFit="1" customWidth="1"/>
    <col min="8468" max="8469" width="9" bestFit="1" customWidth="1"/>
    <col min="8707" max="8707" width="11.44140625" bestFit="1" customWidth="1"/>
    <col min="8708" max="8709" width="10.44140625" bestFit="1" customWidth="1"/>
    <col min="8710" max="8711" width="9.44140625" bestFit="1" customWidth="1"/>
    <col min="8712" max="8712" width="9" bestFit="1" customWidth="1"/>
    <col min="8713" max="8713" width="9.44140625" bestFit="1" customWidth="1"/>
    <col min="8714" max="8714" width="10.44140625" bestFit="1" customWidth="1"/>
    <col min="8715" max="8715" width="9.44140625" bestFit="1" customWidth="1"/>
    <col min="8716" max="8718" width="10.44140625" bestFit="1" customWidth="1"/>
    <col min="8719" max="8721" width="9.44140625" bestFit="1" customWidth="1"/>
    <col min="8722" max="8722" width="9" bestFit="1" customWidth="1"/>
    <col min="8723" max="8723" width="9.44140625" bestFit="1" customWidth="1"/>
    <col min="8724" max="8725" width="9" bestFit="1" customWidth="1"/>
    <col min="8963" max="8963" width="11.44140625" bestFit="1" customWidth="1"/>
    <col min="8964" max="8965" width="10.44140625" bestFit="1" customWidth="1"/>
    <col min="8966" max="8967" width="9.44140625" bestFit="1" customWidth="1"/>
    <col min="8968" max="8968" width="9" bestFit="1" customWidth="1"/>
    <col min="8969" max="8969" width="9.44140625" bestFit="1" customWidth="1"/>
    <col min="8970" max="8970" width="10.44140625" bestFit="1" customWidth="1"/>
    <col min="8971" max="8971" width="9.44140625" bestFit="1" customWidth="1"/>
    <col min="8972" max="8974" width="10.44140625" bestFit="1" customWidth="1"/>
    <col min="8975" max="8977" width="9.44140625" bestFit="1" customWidth="1"/>
    <col min="8978" max="8978" width="9" bestFit="1" customWidth="1"/>
    <col min="8979" max="8979" width="9.44140625" bestFit="1" customWidth="1"/>
    <col min="8980" max="8981" width="9" bestFit="1" customWidth="1"/>
    <col min="9219" max="9219" width="11.44140625" bestFit="1" customWidth="1"/>
    <col min="9220" max="9221" width="10.44140625" bestFit="1" customWidth="1"/>
    <col min="9222" max="9223" width="9.44140625" bestFit="1" customWidth="1"/>
    <col min="9224" max="9224" width="9" bestFit="1" customWidth="1"/>
    <col min="9225" max="9225" width="9.44140625" bestFit="1" customWidth="1"/>
    <col min="9226" max="9226" width="10.44140625" bestFit="1" customWidth="1"/>
    <col min="9227" max="9227" width="9.44140625" bestFit="1" customWidth="1"/>
    <col min="9228" max="9230" width="10.44140625" bestFit="1" customWidth="1"/>
    <col min="9231" max="9233" width="9.44140625" bestFit="1" customWidth="1"/>
    <col min="9234" max="9234" width="9" bestFit="1" customWidth="1"/>
    <col min="9235" max="9235" width="9.44140625" bestFit="1" customWidth="1"/>
    <col min="9236" max="9237" width="9" bestFit="1" customWidth="1"/>
    <col min="9475" max="9475" width="11.44140625" bestFit="1" customWidth="1"/>
    <col min="9476" max="9477" width="10.44140625" bestFit="1" customWidth="1"/>
    <col min="9478" max="9479" width="9.44140625" bestFit="1" customWidth="1"/>
    <col min="9480" max="9480" width="9" bestFit="1" customWidth="1"/>
    <col min="9481" max="9481" width="9.44140625" bestFit="1" customWidth="1"/>
    <col min="9482" max="9482" width="10.44140625" bestFit="1" customWidth="1"/>
    <col min="9483" max="9483" width="9.44140625" bestFit="1" customWidth="1"/>
    <col min="9484" max="9486" width="10.44140625" bestFit="1" customWidth="1"/>
    <col min="9487" max="9489" width="9.44140625" bestFit="1" customWidth="1"/>
    <col min="9490" max="9490" width="9" bestFit="1" customWidth="1"/>
    <col min="9491" max="9491" width="9.44140625" bestFit="1" customWidth="1"/>
    <col min="9492" max="9493" width="9" bestFit="1" customWidth="1"/>
    <col min="9731" max="9731" width="11.44140625" bestFit="1" customWidth="1"/>
    <col min="9732" max="9733" width="10.44140625" bestFit="1" customWidth="1"/>
    <col min="9734" max="9735" width="9.44140625" bestFit="1" customWidth="1"/>
    <col min="9736" max="9736" width="9" bestFit="1" customWidth="1"/>
    <col min="9737" max="9737" width="9.44140625" bestFit="1" customWidth="1"/>
    <col min="9738" max="9738" width="10.44140625" bestFit="1" customWidth="1"/>
    <col min="9739" max="9739" width="9.44140625" bestFit="1" customWidth="1"/>
    <col min="9740" max="9742" width="10.44140625" bestFit="1" customWidth="1"/>
    <col min="9743" max="9745" width="9.44140625" bestFit="1" customWidth="1"/>
    <col min="9746" max="9746" width="9" bestFit="1" customWidth="1"/>
    <col min="9747" max="9747" width="9.44140625" bestFit="1" customWidth="1"/>
    <col min="9748" max="9749" width="9" bestFit="1" customWidth="1"/>
    <col min="9987" max="9987" width="11.44140625" bestFit="1" customWidth="1"/>
    <col min="9988" max="9989" width="10.44140625" bestFit="1" customWidth="1"/>
    <col min="9990" max="9991" width="9.44140625" bestFit="1" customWidth="1"/>
    <col min="9992" max="9992" width="9" bestFit="1" customWidth="1"/>
    <col min="9993" max="9993" width="9.44140625" bestFit="1" customWidth="1"/>
    <col min="9994" max="9994" width="10.44140625" bestFit="1" customWidth="1"/>
    <col min="9995" max="9995" width="9.44140625" bestFit="1" customWidth="1"/>
    <col min="9996" max="9998" width="10.44140625" bestFit="1" customWidth="1"/>
    <col min="9999" max="10001" width="9.44140625" bestFit="1" customWidth="1"/>
    <col min="10002" max="10002" width="9" bestFit="1" customWidth="1"/>
    <col min="10003" max="10003" width="9.44140625" bestFit="1" customWidth="1"/>
    <col min="10004" max="10005" width="9" bestFit="1" customWidth="1"/>
    <col min="10243" max="10243" width="11.44140625" bestFit="1" customWidth="1"/>
    <col min="10244" max="10245" width="10.44140625" bestFit="1" customWidth="1"/>
    <col min="10246" max="10247" width="9.44140625" bestFit="1" customWidth="1"/>
    <col min="10248" max="10248" width="9" bestFit="1" customWidth="1"/>
    <col min="10249" max="10249" width="9.44140625" bestFit="1" customWidth="1"/>
    <col min="10250" max="10250" width="10.44140625" bestFit="1" customWidth="1"/>
    <col min="10251" max="10251" width="9.44140625" bestFit="1" customWidth="1"/>
    <col min="10252" max="10254" width="10.44140625" bestFit="1" customWidth="1"/>
    <col min="10255" max="10257" width="9.44140625" bestFit="1" customWidth="1"/>
    <col min="10258" max="10258" width="9" bestFit="1" customWidth="1"/>
    <col min="10259" max="10259" width="9.44140625" bestFit="1" customWidth="1"/>
    <col min="10260" max="10261" width="9" bestFit="1" customWidth="1"/>
    <col min="10499" max="10499" width="11.44140625" bestFit="1" customWidth="1"/>
    <col min="10500" max="10501" width="10.44140625" bestFit="1" customWidth="1"/>
    <col min="10502" max="10503" width="9.44140625" bestFit="1" customWidth="1"/>
    <col min="10504" max="10504" width="9" bestFit="1" customWidth="1"/>
    <col min="10505" max="10505" width="9.44140625" bestFit="1" customWidth="1"/>
    <col min="10506" max="10506" width="10.44140625" bestFit="1" customWidth="1"/>
    <col min="10507" max="10507" width="9.44140625" bestFit="1" customWidth="1"/>
    <col min="10508" max="10510" width="10.44140625" bestFit="1" customWidth="1"/>
    <col min="10511" max="10513" width="9.44140625" bestFit="1" customWidth="1"/>
    <col min="10514" max="10514" width="9" bestFit="1" customWidth="1"/>
    <col min="10515" max="10515" width="9.44140625" bestFit="1" customWidth="1"/>
    <col min="10516" max="10517" width="9" bestFit="1" customWidth="1"/>
    <col min="10755" max="10755" width="11.44140625" bestFit="1" customWidth="1"/>
    <col min="10756" max="10757" width="10.44140625" bestFit="1" customWidth="1"/>
    <col min="10758" max="10759" width="9.44140625" bestFit="1" customWidth="1"/>
    <col min="10760" max="10760" width="9" bestFit="1" customWidth="1"/>
    <col min="10761" max="10761" width="9.44140625" bestFit="1" customWidth="1"/>
    <col min="10762" max="10762" width="10.44140625" bestFit="1" customWidth="1"/>
    <col min="10763" max="10763" width="9.44140625" bestFit="1" customWidth="1"/>
    <col min="10764" max="10766" width="10.44140625" bestFit="1" customWidth="1"/>
    <col min="10767" max="10769" width="9.44140625" bestFit="1" customWidth="1"/>
    <col min="10770" max="10770" width="9" bestFit="1" customWidth="1"/>
    <col min="10771" max="10771" width="9.44140625" bestFit="1" customWidth="1"/>
    <col min="10772" max="10773" width="9" bestFit="1" customWidth="1"/>
    <col min="11011" max="11011" width="11.44140625" bestFit="1" customWidth="1"/>
    <col min="11012" max="11013" width="10.44140625" bestFit="1" customWidth="1"/>
    <col min="11014" max="11015" width="9.44140625" bestFit="1" customWidth="1"/>
    <col min="11016" max="11016" width="9" bestFit="1" customWidth="1"/>
    <col min="11017" max="11017" width="9.44140625" bestFit="1" customWidth="1"/>
    <col min="11018" max="11018" width="10.44140625" bestFit="1" customWidth="1"/>
    <col min="11019" max="11019" width="9.44140625" bestFit="1" customWidth="1"/>
    <col min="11020" max="11022" width="10.44140625" bestFit="1" customWidth="1"/>
    <col min="11023" max="11025" width="9.44140625" bestFit="1" customWidth="1"/>
    <col min="11026" max="11026" width="9" bestFit="1" customWidth="1"/>
    <col min="11027" max="11027" width="9.44140625" bestFit="1" customWidth="1"/>
    <col min="11028" max="11029" width="9" bestFit="1" customWidth="1"/>
    <col min="11267" max="11267" width="11.44140625" bestFit="1" customWidth="1"/>
    <col min="11268" max="11269" width="10.44140625" bestFit="1" customWidth="1"/>
    <col min="11270" max="11271" width="9.44140625" bestFit="1" customWidth="1"/>
    <col min="11272" max="11272" width="9" bestFit="1" customWidth="1"/>
    <col min="11273" max="11273" width="9.44140625" bestFit="1" customWidth="1"/>
    <col min="11274" max="11274" width="10.44140625" bestFit="1" customWidth="1"/>
    <col min="11275" max="11275" width="9.44140625" bestFit="1" customWidth="1"/>
    <col min="11276" max="11278" width="10.44140625" bestFit="1" customWidth="1"/>
    <col min="11279" max="11281" width="9.44140625" bestFit="1" customWidth="1"/>
    <col min="11282" max="11282" width="9" bestFit="1" customWidth="1"/>
    <col min="11283" max="11283" width="9.44140625" bestFit="1" customWidth="1"/>
    <col min="11284" max="11285" width="9" bestFit="1" customWidth="1"/>
    <col min="11523" max="11523" width="11.44140625" bestFit="1" customWidth="1"/>
    <col min="11524" max="11525" width="10.44140625" bestFit="1" customWidth="1"/>
    <col min="11526" max="11527" width="9.44140625" bestFit="1" customWidth="1"/>
    <col min="11528" max="11528" width="9" bestFit="1" customWidth="1"/>
    <col min="11529" max="11529" width="9.44140625" bestFit="1" customWidth="1"/>
    <col min="11530" max="11530" width="10.44140625" bestFit="1" customWidth="1"/>
    <col min="11531" max="11531" width="9.44140625" bestFit="1" customWidth="1"/>
    <col min="11532" max="11534" width="10.44140625" bestFit="1" customWidth="1"/>
    <col min="11535" max="11537" width="9.44140625" bestFit="1" customWidth="1"/>
    <col min="11538" max="11538" width="9" bestFit="1" customWidth="1"/>
    <col min="11539" max="11539" width="9.44140625" bestFit="1" customWidth="1"/>
    <col min="11540" max="11541" width="9" bestFit="1" customWidth="1"/>
    <col min="11779" max="11779" width="11.44140625" bestFit="1" customWidth="1"/>
    <col min="11780" max="11781" width="10.44140625" bestFit="1" customWidth="1"/>
    <col min="11782" max="11783" width="9.44140625" bestFit="1" customWidth="1"/>
    <col min="11784" max="11784" width="9" bestFit="1" customWidth="1"/>
    <col min="11785" max="11785" width="9.44140625" bestFit="1" customWidth="1"/>
    <col min="11786" max="11786" width="10.44140625" bestFit="1" customWidth="1"/>
    <col min="11787" max="11787" width="9.44140625" bestFit="1" customWidth="1"/>
    <col min="11788" max="11790" width="10.44140625" bestFit="1" customWidth="1"/>
    <col min="11791" max="11793" width="9.44140625" bestFit="1" customWidth="1"/>
    <col min="11794" max="11794" width="9" bestFit="1" customWidth="1"/>
    <col min="11795" max="11795" width="9.44140625" bestFit="1" customWidth="1"/>
    <col min="11796" max="11797" width="9" bestFit="1" customWidth="1"/>
    <col min="12035" max="12035" width="11.44140625" bestFit="1" customWidth="1"/>
    <col min="12036" max="12037" width="10.44140625" bestFit="1" customWidth="1"/>
    <col min="12038" max="12039" width="9.44140625" bestFit="1" customWidth="1"/>
    <col min="12040" max="12040" width="9" bestFit="1" customWidth="1"/>
    <col min="12041" max="12041" width="9.44140625" bestFit="1" customWidth="1"/>
    <col min="12042" max="12042" width="10.44140625" bestFit="1" customWidth="1"/>
    <col min="12043" max="12043" width="9.44140625" bestFit="1" customWidth="1"/>
    <col min="12044" max="12046" width="10.44140625" bestFit="1" customWidth="1"/>
    <col min="12047" max="12049" width="9.44140625" bestFit="1" customWidth="1"/>
    <col min="12050" max="12050" width="9" bestFit="1" customWidth="1"/>
    <col min="12051" max="12051" width="9.44140625" bestFit="1" customWidth="1"/>
    <col min="12052" max="12053" width="9" bestFit="1" customWidth="1"/>
    <col min="12291" max="12291" width="11.44140625" bestFit="1" customWidth="1"/>
    <col min="12292" max="12293" width="10.44140625" bestFit="1" customWidth="1"/>
    <col min="12294" max="12295" width="9.44140625" bestFit="1" customWidth="1"/>
    <col min="12296" max="12296" width="9" bestFit="1" customWidth="1"/>
    <col min="12297" max="12297" width="9.44140625" bestFit="1" customWidth="1"/>
    <col min="12298" max="12298" width="10.44140625" bestFit="1" customWidth="1"/>
    <col min="12299" max="12299" width="9.44140625" bestFit="1" customWidth="1"/>
    <col min="12300" max="12302" width="10.44140625" bestFit="1" customWidth="1"/>
    <col min="12303" max="12305" width="9.44140625" bestFit="1" customWidth="1"/>
    <col min="12306" max="12306" width="9" bestFit="1" customWidth="1"/>
    <col min="12307" max="12307" width="9.44140625" bestFit="1" customWidth="1"/>
    <col min="12308" max="12309" width="9" bestFit="1" customWidth="1"/>
    <col min="12547" max="12547" width="11.44140625" bestFit="1" customWidth="1"/>
    <col min="12548" max="12549" width="10.44140625" bestFit="1" customWidth="1"/>
    <col min="12550" max="12551" width="9.44140625" bestFit="1" customWidth="1"/>
    <col min="12552" max="12552" width="9" bestFit="1" customWidth="1"/>
    <col min="12553" max="12553" width="9.44140625" bestFit="1" customWidth="1"/>
    <col min="12554" max="12554" width="10.44140625" bestFit="1" customWidth="1"/>
    <col min="12555" max="12555" width="9.44140625" bestFit="1" customWidth="1"/>
    <col min="12556" max="12558" width="10.44140625" bestFit="1" customWidth="1"/>
    <col min="12559" max="12561" width="9.44140625" bestFit="1" customWidth="1"/>
    <col min="12562" max="12562" width="9" bestFit="1" customWidth="1"/>
    <col min="12563" max="12563" width="9.44140625" bestFit="1" customWidth="1"/>
    <col min="12564" max="12565" width="9" bestFit="1" customWidth="1"/>
    <col min="12803" max="12803" width="11.44140625" bestFit="1" customWidth="1"/>
    <col min="12804" max="12805" width="10.44140625" bestFit="1" customWidth="1"/>
    <col min="12806" max="12807" width="9.44140625" bestFit="1" customWidth="1"/>
    <col min="12808" max="12808" width="9" bestFit="1" customWidth="1"/>
    <col min="12809" max="12809" width="9.44140625" bestFit="1" customWidth="1"/>
    <col min="12810" max="12810" width="10.44140625" bestFit="1" customWidth="1"/>
    <col min="12811" max="12811" width="9.44140625" bestFit="1" customWidth="1"/>
    <col min="12812" max="12814" width="10.44140625" bestFit="1" customWidth="1"/>
    <col min="12815" max="12817" width="9.44140625" bestFit="1" customWidth="1"/>
    <col min="12818" max="12818" width="9" bestFit="1" customWidth="1"/>
    <col min="12819" max="12819" width="9.44140625" bestFit="1" customWidth="1"/>
    <col min="12820" max="12821" width="9" bestFit="1" customWidth="1"/>
    <col min="13059" max="13059" width="11.44140625" bestFit="1" customWidth="1"/>
    <col min="13060" max="13061" width="10.44140625" bestFit="1" customWidth="1"/>
    <col min="13062" max="13063" width="9.44140625" bestFit="1" customWidth="1"/>
    <col min="13064" max="13064" width="9" bestFit="1" customWidth="1"/>
    <col min="13065" max="13065" width="9.44140625" bestFit="1" customWidth="1"/>
    <col min="13066" max="13066" width="10.44140625" bestFit="1" customWidth="1"/>
    <col min="13067" max="13067" width="9.44140625" bestFit="1" customWidth="1"/>
    <col min="13068" max="13070" width="10.44140625" bestFit="1" customWidth="1"/>
    <col min="13071" max="13073" width="9.44140625" bestFit="1" customWidth="1"/>
    <col min="13074" max="13074" width="9" bestFit="1" customWidth="1"/>
    <col min="13075" max="13075" width="9.44140625" bestFit="1" customWidth="1"/>
    <col min="13076" max="13077" width="9" bestFit="1" customWidth="1"/>
    <col min="13315" max="13315" width="11.44140625" bestFit="1" customWidth="1"/>
    <col min="13316" max="13317" width="10.44140625" bestFit="1" customWidth="1"/>
    <col min="13318" max="13319" width="9.44140625" bestFit="1" customWidth="1"/>
    <col min="13320" max="13320" width="9" bestFit="1" customWidth="1"/>
    <col min="13321" max="13321" width="9.44140625" bestFit="1" customWidth="1"/>
    <col min="13322" max="13322" width="10.44140625" bestFit="1" customWidth="1"/>
    <col min="13323" max="13323" width="9.44140625" bestFit="1" customWidth="1"/>
    <col min="13324" max="13326" width="10.44140625" bestFit="1" customWidth="1"/>
    <col min="13327" max="13329" width="9.44140625" bestFit="1" customWidth="1"/>
    <col min="13330" max="13330" width="9" bestFit="1" customWidth="1"/>
    <col min="13331" max="13331" width="9.44140625" bestFit="1" customWidth="1"/>
    <col min="13332" max="13333" width="9" bestFit="1" customWidth="1"/>
    <col min="13571" max="13571" width="11.44140625" bestFit="1" customWidth="1"/>
    <col min="13572" max="13573" width="10.44140625" bestFit="1" customWidth="1"/>
    <col min="13574" max="13575" width="9.44140625" bestFit="1" customWidth="1"/>
    <col min="13576" max="13576" width="9" bestFit="1" customWidth="1"/>
    <col min="13577" max="13577" width="9.44140625" bestFit="1" customWidth="1"/>
    <col min="13578" max="13578" width="10.44140625" bestFit="1" customWidth="1"/>
    <col min="13579" max="13579" width="9.44140625" bestFit="1" customWidth="1"/>
    <col min="13580" max="13582" width="10.44140625" bestFit="1" customWidth="1"/>
    <col min="13583" max="13585" width="9.44140625" bestFit="1" customWidth="1"/>
    <col min="13586" max="13586" width="9" bestFit="1" customWidth="1"/>
    <col min="13587" max="13587" width="9.44140625" bestFit="1" customWidth="1"/>
    <col min="13588" max="13589" width="9" bestFit="1" customWidth="1"/>
    <col min="13827" max="13827" width="11.44140625" bestFit="1" customWidth="1"/>
    <col min="13828" max="13829" width="10.44140625" bestFit="1" customWidth="1"/>
    <col min="13830" max="13831" width="9.44140625" bestFit="1" customWidth="1"/>
    <col min="13832" max="13832" width="9" bestFit="1" customWidth="1"/>
    <col min="13833" max="13833" width="9.44140625" bestFit="1" customWidth="1"/>
    <col min="13834" max="13834" width="10.44140625" bestFit="1" customWidth="1"/>
    <col min="13835" max="13835" width="9.44140625" bestFit="1" customWidth="1"/>
    <col min="13836" max="13838" width="10.44140625" bestFit="1" customWidth="1"/>
    <col min="13839" max="13841" width="9.44140625" bestFit="1" customWidth="1"/>
    <col min="13842" max="13842" width="9" bestFit="1" customWidth="1"/>
    <col min="13843" max="13843" width="9.44140625" bestFit="1" customWidth="1"/>
    <col min="13844" max="13845" width="9" bestFit="1" customWidth="1"/>
    <col min="14083" max="14083" width="11.44140625" bestFit="1" customWidth="1"/>
    <col min="14084" max="14085" width="10.44140625" bestFit="1" customWidth="1"/>
    <col min="14086" max="14087" width="9.44140625" bestFit="1" customWidth="1"/>
    <col min="14088" max="14088" width="9" bestFit="1" customWidth="1"/>
    <col min="14089" max="14089" width="9.44140625" bestFit="1" customWidth="1"/>
    <col min="14090" max="14090" width="10.44140625" bestFit="1" customWidth="1"/>
    <col min="14091" max="14091" width="9.44140625" bestFit="1" customWidth="1"/>
    <col min="14092" max="14094" width="10.44140625" bestFit="1" customWidth="1"/>
    <col min="14095" max="14097" width="9.44140625" bestFit="1" customWidth="1"/>
    <col min="14098" max="14098" width="9" bestFit="1" customWidth="1"/>
    <col min="14099" max="14099" width="9.44140625" bestFit="1" customWidth="1"/>
    <col min="14100" max="14101" width="9" bestFit="1" customWidth="1"/>
    <col min="14339" max="14339" width="11.44140625" bestFit="1" customWidth="1"/>
    <col min="14340" max="14341" width="10.44140625" bestFit="1" customWidth="1"/>
    <col min="14342" max="14343" width="9.44140625" bestFit="1" customWidth="1"/>
    <col min="14344" max="14344" width="9" bestFit="1" customWidth="1"/>
    <col min="14345" max="14345" width="9.44140625" bestFit="1" customWidth="1"/>
    <col min="14346" max="14346" width="10.44140625" bestFit="1" customWidth="1"/>
    <col min="14347" max="14347" width="9.44140625" bestFit="1" customWidth="1"/>
    <col min="14348" max="14350" width="10.44140625" bestFit="1" customWidth="1"/>
    <col min="14351" max="14353" width="9.44140625" bestFit="1" customWidth="1"/>
    <col min="14354" max="14354" width="9" bestFit="1" customWidth="1"/>
    <col min="14355" max="14355" width="9.44140625" bestFit="1" customWidth="1"/>
    <col min="14356" max="14357" width="9" bestFit="1" customWidth="1"/>
    <col min="14595" max="14595" width="11.44140625" bestFit="1" customWidth="1"/>
    <col min="14596" max="14597" width="10.44140625" bestFit="1" customWidth="1"/>
    <col min="14598" max="14599" width="9.44140625" bestFit="1" customWidth="1"/>
    <col min="14600" max="14600" width="9" bestFit="1" customWidth="1"/>
    <col min="14601" max="14601" width="9.44140625" bestFit="1" customWidth="1"/>
    <col min="14602" max="14602" width="10.44140625" bestFit="1" customWidth="1"/>
    <col min="14603" max="14603" width="9.44140625" bestFit="1" customWidth="1"/>
    <col min="14604" max="14606" width="10.44140625" bestFit="1" customWidth="1"/>
    <col min="14607" max="14609" width="9.44140625" bestFit="1" customWidth="1"/>
    <col min="14610" max="14610" width="9" bestFit="1" customWidth="1"/>
    <col min="14611" max="14611" width="9.44140625" bestFit="1" customWidth="1"/>
    <col min="14612" max="14613" width="9" bestFit="1" customWidth="1"/>
    <col min="14851" max="14851" width="11.44140625" bestFit="1" customWidth="1"/>
    <col min="14852" max="14853" width="10.44140625" bestFit="1" customWidth="1"/>
    <col min="14854" max="14855" width="9.44140625" bestFit="1" customWidth="1"/>
    <col min="14856" max="14856" width="9" bestFit="1" customWidth="1"/>
    <col min="14857" max="14857" width="9.44140625" bestFit="1" customWidth="1"/>
    <col min="14858" max="14858" width="10.44140625" bestFit="1" customWidth="1"/>
    <col min="14859" max="14859" width="9.44140625" bestFit="1" customWidth="1"/>
    <col min="14860" max="14862" width="10.44140625" bestFit="1" customWidth="1"/>
    <col min="14863" max="14865" width="9.44140625" bestFit="1" customWidth="1"/>
    <col min="14866" max="14866" width="9" bestFit="1" customWidth="1"/>
    <col min="14867" max="14867" width="9.44140625" bestFit="1" customWidth="1"/>
    <col min="14868" max="14869" width="9" bestFit="1" customWidth="1"/>
    <col min="15107" max="15107" width="11.44140625" bestFit="1" customWidth="1"/>
    <col min="15108" max="15109" width="10.44140625" bestFit="1" customWidth="1"/>
    <col min="15110" max="15111" width="9.44140625" bestFit="1" customWidth="1"/>
    <col min="15112" max="15112" width="9" bestFit="1" customWidth="1"/>
    <col min="15113" max="15113" width="9.44140625" bestFit="1" customWidth="1"/>
    <col min="15114" max="15114" width="10.44140625" bestFit="1" customWidth="1"/>
    <col min="15115" max="15115" width="9.44140625" bestFit="1" customWidth="1"/>
    <col min="15116" max="15118" width="10.44140625" bestFit="1" customWidth="1"/>
    <col min="15119" max="15121" width="9.44140625" bestFit="1" customWidth="1"/>
    <col min="15122" max="15122" width="9" bestFit="1" customWidth="1"/>
    <col min="15123" max="15123" width="9.44140625" bestFit="1" customWidth="1"/>
    <col min="15124" max="15125" width="9" bestFit="1" customWidth="1"/>
    <col min="15363" max="15363" width="11.44140625" bestFit="1" customWidth="1"/>
    <col min="15364" max="15365" width="10.44140625" bestFit="1" customWidth="1"/>
    <col min="15366" max="15367" width="9.44140625" bestFit="1" customWidth="1"/>
    <col min="15368" max="15368" width="9" bestFit="1" customWidth="1"/>
    <col min="15369" max="15369" width="9.44140625" bestFit="1" customWidth="1"/>
    <col min="15370" max="15370" width="10.44140625" bestFit="1" customWidth="1"/>
    <col min="15371" max="15371" width="9.44140625" bestFit="1" customWidth="1"/>
    <col min="15372" max="15374" width="10.44140625" bestFit="1" customWidth="1"/>
    <col min="15375" max="15377" width="9.44140625" bestFit="1" customWidth="1"/>
    <col min="15378" max="15378" width="9" bestFit="1" customWidth="1"/>
    <col min="15379" max="15379" width="9.44140625" bestFit="1" customWidth="1"/>
    <col min="15380" max="15381" width="9" bestFit="1" customWidth="1"/>
    <col min="15619" max="15619" width="11.44140625" bestFit="1" customWidth="1"/>
    <col min="15620" max="15621" width="10.44140625" bestFit="1" customWidth="1"/>
    <col min="15622" max="15623" width="9.44140625" bestFit="1" customWidth="1"/>
    <col min="15624" max="15624" width="9" bestFit="1" customWidth="1"/>
    <col min="15625" max="15625" width="9.44140625" bestFit="1" customWidth="1"/>
    <col min="15626" max="15626" width="10.44140625" bestFit="1" customWidth="1"/>
    <col min="15627" max="15627" width="9.44140625" bestFit="1" customWidth="1"/>
    <col min="15628" max="15630" width="10.44140625" bestFit="1" customWidth="1"/>
    <col min="15631" max="15633" width="9.44140625" bestFit="1" customWidth="1"/>
    <col min="15634" max="15634" width="9" bestFit="1" customWidth="1"/>
    <col min="15635" max="15635" width="9.44140625" bestFit="1" customWidth="1"/>
    <col min="15636" max="15637" width="9" bestFit="1" customWidth="1"/>
    <col min="15875" max="15875" width="11.44140625" bestFit="1" customWidth="1"/>
    <col min="15876" max="15877" width="10.44140625" bestFit="1" customWidth="1"/>
    <col min="15878" max="15879" width="9.44140625" bestFit="1" customWidth="1"/>
    <col min="15880" max="15880" width="9" bestFit="1" customWidth="1"/>
    <col min="15881" max="15881" width="9.44140625" bestFit="1" customWidth="1"/>
    <col min="15882" max="15882" width="10.44140625" bestFit="1" customWidth="1"/>
    <col min="15883" max="15883" width="9.44140625" bestFit="1" customWidth="1"/>
    <col min="15884" max="15886" width="10.44140625" bestFit="1" customWidth="1"/>
    <col min="15887" max="15889" width="9.44140625" bestFit="1" customWidth="1"/>
    <col min="15890" max="15890" width="9" bestFit="1" customWidth="1"/>
    <col min="15891" max="15891" width="9.44140625" bestFit="1" customWidth="1"/>
    <col min="15892" max="15893" width="9" bestFit="1" customWidth="1"/>
    <col min="16131" max="16131" width="11.44140625" bestFit="1" customWidth="1"/>
    <col min="16132" max="16133" width="10.44140625" bestFit="1" customWidth="1"/>
    <col min="16134" max="16135" width="9.44140625" bestFit="1" customWidth="1"/>
    <col min="16136" max="16136" width="9" bestFit="1" customWidth="1"/>
    <col min="16137" max="16137" width="9.44140625" bestFit="1" customWidth="1"/>
    <col min="16138" max="16138" width="10.44140625" bestFit="1" customWidth="1"/>
    <col min="16139" max="16139" width="9.44140625" bestFit="1" customWidth="1"/>
    <col min="16140" max="16142" width="10.44140625" bestFit="1" customWidth="1"/>
    <col min="16143" max="16145" width="9.44140625" bestFit="1" customWidth="1"/>
    <col min="16146" max="16146" width="9" bestFit="1" customWidth="1"/>
    <col min="16147" max="16147" width="9.44140625" bestFit="1" customWidth="1"/>
    <col min="16148" max="16149" width="9" bestFit="1" customWidth="1"/>
  </cols>
  <sheetData>
    <row r="1" spans="1:21" x14ac:dyDescent="0.25">
      <c r="A1" t="s">
        <v>377</v>
      </c>
      <c r="B1" t="s">
        <v>480</v>
      </c>
      <c r="C1" t="s">
        <v>367</v>
      </c>
      <c r="D1" t="s">
        <v>368</v>
      </c>
      <c r="E1" t="s">
        <v>464</v>
      </c>
      <c r="F1" t="s">
        <v>369</v>
      </c>
      <c r="G1" t="s">
        <v>370</v>
      </c>
      <c r="H1" t="s">
        <v>371</v>
      </c>
      <c r="I1" t="s">
        <v>465</v>
      </c>
      <c r="J1" t="s">
        <v>466</v>
      </c>
      <c r="K1" t="s">
        <v>467</v>
      </c>
      <c r="L1" t="s">
        <v>372</v>
      </c>
      <c r="M1" t="s">
        <v>373</v>
      </c>
      <c r="N1" t="s">
        <v>468</v>
      </c>
      <c r="O1" t="s">
        <v>374</v>
      </c>
      <c r="P1" t="s">
        <v>375</v>
      </c>
      <c r="Q1" t="s">
        <v>376</v>
      </c>
      <c r="R1" t="s">
        <v>469</v>
      </c>
      <c r="S1" t="s">
        <v>470</v>
      </c>
      <c r="T1" t="s">
        <v>471</v>
      </c>
      <c r="U1" t="s">
        <v>476</v>
      </c>
    </row>
    <row r="2" spans="1:21" x14ac:dyDescent="0.25">
      <c r="A2" t="s">
        <v>378</v>
      </c>
      <c r="B2" t="s">
        <v>481</v>
      </c>
      <c r="C2">
        <v>2949</v>
      </c>
      <c r="D2">
        <v>934</v>
      </c>
      <c r="E2">
        <v>893</v>
      </c>
      <c r="F2">
        <v>80</v>
      </c>
      <c r="G2">
        <v>36</v>
      </c>
      <c r="H2">
        <v>0</v>
      </c>
      <c r="I2">
        <v>0</v>
      </c>
      <c r="J2">
        <v>380</v>
      </c>
      <c r="K2">
        <v>0</v>
      </c>
      <c r="L2">
        <v>513</v>
      </c>
      <c r="M2">
        <v>527</v>
      </c>
      <c r="N2">
        <v>200</v>
      </c>
      <c r="O2">
        <v>55</v>
      </c>
      <c r="P2">
        <v>34</v>
      </c>
      <c r="Q2">
        <v>0</v>
      </c>
      <c r="R2">
        <v>0</v>
      </c>
      <c r="S2">
        <v>561</v>
      </c>
      <c r="T2">
        <v>0</v>
      </c>
      <c r="U2">
        <v>0</v>
      </c>
    </row>
    <row r="3" spans="1:21" x14ac:dyDescent="0.25">
      <c r="A3" t="s">
        <v>379</v>
      </c>
      <c r="B3" t="s">
        <v>481</v>
      </c>
      <c r="C3">
        <v>187</v>
      </c>
      <c r="D3">
        <v>99</v>
      </c>
      <c r="E3">
        <v>8</v>
      </c>
      <c r="F3">
        <v>3</v>
      </c>
      <c r="G3">
        <v>0</v>
      </c>
      <c r="H3">
        <v>0</v>
      </c>
      <c r="I3">
        <v>0</v>
      </c>
      <c r="J3">
        <v>209</v>
      </c>
      <c r="K3">
        <v>0</v>
      </c>
      <c r="L3">
        <v>26</v>
      </c>
      <c r="M3">
        <v>27</v>
      </c>
      <c r="N3">
        <v>0</v>
      </c>
      <c r="O3">
        <v>2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</row>
    <row r="4" spans="1:21" x14ac:dyDescent="0.25">
      <c r="A4" t="s">
        <v>380</v>
      </c>
      <c r="B4" t="s">
        <v>481</v>
      </c>
      <c r="C4">
        <v>18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48</v>
      </c>
      <c r="M4">
        <v>27</v>
      </c>
      <c r="N4">
        <v>3</v>
      </c>
      <c r="O4">
        <v>0</v>
      </c>
      <c r="P4">
        <v>0</v>
      </c>
      <c r="Q4">
        <v>0</v>
      </c>
      <c r="R4">
        <v>0</v>
      </c>
      <c r="S4">
        <v>21</v>
      </c>
      <c r="T4">
        <v>0</v>
      </c>
      <c r="U4">
        <v>0</v>
      </c>
    </row>
    <row r="5" spans="1:21" x14ac:dyDescent="0.25">
      <c r="A5" t="s">
        <v>381</v>
      </c>
      <c r="B5" t="s">
        <v>481</v>
      </c>
      <c r="C5">
        <v>581</v>
      </c>
      <c r="D5">
        <v>456</v>
      </c>
      <c r="E5">
        <v>111</v>
      </c>
      <c r="F5">
        <v>64</v>
      </c>
      <c r="G5">
        <v>16</v>
      </c>
      <c r="H5">
        <v>0</v>
      </c>
      <c r="I5">
        <v>14</v>
      </c>
      <c r="J5">
        <v>100</v>
      </c>
      <c r="K5">
        <v>1</v>
      </c>
      <c r="L5">
        <v>696</v>
      </c>
      <c r="M5">
        <v>1966</v>
      </c>
      <c r="N5">
        <v>299</v>
      </c>
      <c r="O5">
        <v>124</v>
      </c>
      <c r="P5">
        <v>44</v>
      </c>
      <c r="Q5">
        <v>133</v>
      </c>
      <c r="R5">
        <v>0</v>
      </c>
      <c r="S5">
        <v>210</v>
      </c>
      <c r="T5">
        <v>18</v>
      </c>
      <c r="U5">
        <v>0</v>
      </c>
    </row>
    <row r="6" spans="1:21" x14ac:dyDescent="0.25">
      <c r="A6" t="s">
        <v>382</v>
      </c>
      <c r="B6" t="s">
        <v>481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82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120</v>
      </c>
      <c r="T6">
        <v>0</v>
      </c>
      <c r="U6">
        <v>0</v>
      </c>
    </row>
    <row r="7" spans="1:21" x14ac:dyDescent="0.25">
      <c r="A7" t="s">
        <v>383</v>
      </c>
      <c r="B7" t="s">
        <v>481</v>
      </c>
      <c r="C7">
        <v>131</v>
      </c>
      <c r="D7">
        <v>15</v>
      </c>
      <c r="E7">
        <v>3</v>
      </c>
      <c r="F7">
        <v>7</v>
      </c>
      <c r="G7">
        <v>2</v>
      </c>
      <c r="H7">
        <v>0</v>
      </c>
      <c r="I7">
        <v>0</v>
      </c>
      <c r="J7">
        <v>24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384</v>
      </c>
      <c r="B8" t="s">
        <v>481</v>
      </c>
      <c r="C8">
        <v>2379</v>
      </c>
      <c r="D8">
        <v>978</v>
      </c>
      <c r="E8">
        <v>613</v>
      </c>
      <c r="F8">
        <v>15</v>
      </c>
      <c r="G8">
        <v>38</v>
      </c>
      <c r="H8">
        <v>0</v>
      </c>
      <c r="I8">
        <v>0</v>
      </c>
      <c r="J8">
        <v>670</v>
      </c>
      <c r="K8">
        <v>2</v>
      </c>
      <c r="L8">
        <v>69</v>
      </c>
      <c r="M8">
        <v>63</v>
      </c>
      <c r="N8">
        <v>23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t="s">
        <v>385</v>
      </c>
      <c r="B9" t="s">
        <v>481</v>
      </c>
      <c r="C9">
        <v>1046</v>
      </c>
      <c r="D9">
        <v>359</v>
      </c>
      <c r="E9">
        <v>265</v>
      </c>
      <c r="F9">
        <v>12</v>
      </c>
      <c r="G9">
        <v>14</v>
      </c>
      <c r="H9">
        <v>0</v>
      </c>
      <c r="I9">
        <v>41</v>
      </c>
      <c r="J9">
        <v>32</v>
      </c>
      <c r="K9">
        <v>0</v>
      </c>
      <c r="L9">
        <v>99</v>
      </c>
      <c r="M9">
        <v>47</v>
      </c>
      <c r="N9">
        <v>14</v>
      </c>
      <c r="O9">
        <v>0</v>
      </c>
      <c r="P9">
        <v>6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276</v>
      </c>
      <c r="B10" t="s">
        <v>481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2193</v>
      </c>
      <c r="K10">
        <v>0</v>
      </c>
      <c r="L10">
        <v>0</v>
      </c>
      <c r="M10">
        <v>0</v>
      </c>
      <c r="N10">
        <v>83</v>
      </c>
      <c r="O10">
        <v>0</v>
      </c>
      <c r="P10">
        <v>0</v>
      </c>
      <c r="Q10">
        <v>0</v>
      </c>
      <c r="R10">
        <v>0</v>
      </c>
      <c r="S10">
        <v>1808</v>
      </c>
      <c r="T10">
        <v>0</v>
      </c>
      <c r="U10">
        <v>0</v>
      </c>
    </row>
    <row r="11" spans="1:21" x14ac:dyDescent="0.25">
      <c r="A11" t="s">
        <v>386</v>
      </c>
      <c r="B11" t="s">
        <v>481</v>
      </c>
      <c r="C11">
        <v>45</v>
      </c>
      <c r="D11">
        <v>24</v>
      </c>
      <c r="E11">
        <v>8</v>
      </c>
      <c r="F11">
        <v>2</v>
      </c>
      <c r="G11">
        <v>2</v>
      </c>
      <c r="H11">
        <v>0</v>
      </c>
      <c r="I11">
        <v>0</v>
      </c>
      <c r="J11">
        <v>2</v>
      </c>
      <c r="K11">
        <v>0</v>
      </c>
      <c r="L11">
        <v>34</v>
      </c>
      <c r="M11">
        <v>102</v>
      </c>
      <c r="N11">
        <v>56</v>
      </c>
      <c r="O11">
        <v>2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387</v>
      </c>
      <c r="B12" t="s">
        <v>481</v>
      </c>
      <c r="C12">
        <v>113</v>
      </c>
      <c r="D12">
        <v>54</v>
      </c>
      <c r="E12">
        <v>25</v>
      </c>
      <c r="F12">
        <v>4</v>
      </c>
      <c r="G12">
        <v>2</v>
      </c>
      <c r="H12">
        <v>0</v>
      </c>
      <c r="I12">
        <v>0</v>
      </c>
      <c r="J12">
        <v>27</v>
      </c>
      <c r="K12">
        <v>0</v>
      </c>
      <c r="L12">
        <v>273</v>
      </c>
      <c r="M12">
        <v>180</v>
      </c>
      <c r="N12">
        <v>129</v>
      </c>
      <c r="O12">
        <v>27</v>
      </c>
      <c r="P12">
        <v>11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388</v>
      </c>
      <c r="B13" t="s">
        <v>481</v>
      </c>
      <c r="C13">
        <v>982</v>
      </c>
      <c r="D13">
        <v>159</v>
      </c>
      <c r="E13">
        <v>412</v>
      </c>
      <c r="F13">
        <v>29</v>
      </c>
      <c r="G13">
        <v>4</v>
      </c>
      <c r="H13">
        <v>0</v>
      </c>
      <c r="I13">
        <v>0</v>
      </c>
      <c r="J13">
        <v>47</v>
      </c>
      <c r="K13">
        <v>0</v>
      </c>
      <c r="L13">
        <v>114</v>
      </c>
      <c r="M13">
        <v>79</v>
      </c>
      <c r="N13">
        <v>20</v>
      </c>
      <c r="O13">
        <v>5</v>
      </c>
      <c r="P13">
        <v>4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t="s">
        <v>389</v>
      </c>
      <c r="B14" t="s">
        <v>481</v>
      </c>
      <c r="C14">
        <v>751</v>
      </c>
      <c r="D14">
        <v>1065</v>
      </c>
      <c r="E14">
        <v>176</v>
      </c>
      <c r="F14">
        <v>33</v>
      </c>
      <c r="G14">
        <v>24</v>
      </c>
      <c r="H14">
        <v>0</v>
      </c>
      <c r="I14">
        <v>65</v>
      </c>
      <c r="J14">
        <v>1126</v>
      </c>
      <c r="K14">
        <v>0</v>
      </c>
      <c r="L14">
        <v>388</v>
      </c>
      <c r="M14">
        <v>890</v>
      </c>
      <c r="N14">
        <v>233</v>
      </c>
      <c r="O14">
        <v>82</v>
      </c>
      <c r="P14">
        <v>8</v>
      </c>
      <c r="Q14">
        <v>0</v>
      </c>
      <c r="R14">
        <v>0</v>
      </c>
      <c r="S14">
        <v>4</v>
      </c>
      <c r="T14">
        <v>0</v>
      </c>
      <c r="U14">
        <v>0</v>
      </c>
    </row>
    <row r="15" spans="1:21" x14ac:dyDescent="0.25">
      <c r="A15" t="s">
        <v>390</v>
      </c>
      <c r="B15" t="s">
        <v>481</v>
      </c>
      <c r="C15">
        <v>249</v>
      </c>
      <c r="D15">
        <v>58</v>
      </c>
      <c r="E15">
        <v>19</v>
      </c>
      <c r="F15">
        <v>9</v>
      </c>
      <c r="G15">
        <v>10</v>
      </c>
      <c r="H15">
        <v>0</v>
      </c>
      <c r="I15">
        <v>18</v>
      </c>
      <c r="J15">
        <v>16</v>
      </c>
      <c r="K15">
        <v>0</v>
      </c>
      <c r="L15">
        <v>92</v>
      </c>
      <c r="M15">
        <v>131</v>
      </c>
      <c r="N15">
        <v>8</v>
      </c>
      <c r="O15">
        <v>10</v>
      </c>
      <c r="P15">
        <v>5</v>
      </c>
      <c r="Q15">
        <v>0</v>
      </c>
      <c r="R15">
        <v>0</v>
      </c>
      <c r="S15">
        <v>30</v>
      </c>
      <c r="T15">
        <v>0</v>
      </c>
      <c r="U15">
        <v>0</v>
      </c>
    </row>
    <row r="16" spans="1:21" x14ac:dyDescent="0.25">
      <c r="A16" t="s">
        <v>477</v>
      </c>
      <c r="B16" t="s">
        <v>481</v>
      </c>
      <c r="C16">
        <v>0</v>
      </c>
      <c r="D16">
        <v>0</v>
      </c>
      <c r="E16">
        <v>642</v>
      </c>
      <c r="F16">
        <v>0</v>
      </c>
      <c r="G16">
        <v>0</v>
      </c>
      <c r="H16">
        <v>0</v>
      </c>
      <c r="I16">
        <v>0</v>
      </c>
      <c r="J16">
        <v>2679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391</v>
      </c>
      <c r="B17" t="s">
        <v>482</v>
      </c>
      <c r="C17">
        <v>424</v>
      </c>
      <c r="D17">
        <v>351</v>
      </c>
      <c r="E17">
        <v>176</v>
      </c>
      <c r="F17">
        <v>10</v>
      </c>
      <c r="G17">
        <v>14</v>
      </c>
      <c r="H17">
        <v>10</v>
      </c>
      <c r="I17">
        <v>0</v>
      </c>
      <c r="J17">
        <v>8</v>
      </c>
      <c r="K17">
        <v>57</v>
      </c>
      <c r="L17">
        <v>17</v>
      </c>
      <c r="M17">
        <v>0</v>
      </c>
      <c r="N17">
        <v>14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392</v>
      </c>
      <c r="B18" t="s">
        <v>482</v>
      </c>
      <c r="C18">
        <v>985</v>
      </c>
      <c r="D18">
        <v>864</v>
      </c>
      <c r="E18">
        <v>191</v>
      </c>
      <c r="F18">
        <v>85</v>
      </c>
      <c r="G18">
        <v>56</v>
      </c>
      <c r="H18">
        <v>6</v>
      </c>
      <c r="I18">
        <v>0</v>
      </c>
      <c r="J18">
        <v>37</v>
      </c>
      <c r="K18">
        <v>0</v>
      </c>
      <c r="L18">
        <v>519</v>
      </c>
      <c r="M18">
        <v>534</v>
      </c>
      <c r="N18">
        <v>250</v>
      </c>
      <c r="O18">
        <v>19</v>
      </c>
      <c r="P18">
        <v>9</v>
      </c>
      <c r="Q18">
        <v>16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393</v>
      </c>
      <c r="B19" t="s">
        <v>482</v>
      </c>
      <c r="C19">
        <v>253</v>
      </c>
      <c r="D19">
        <v>193</v>
      </c>
      <c r="E19">
        <v>89</v>
      </c>
      <c r="F19">
        <v>9</v>
      </c>
      <c r="G19">
        <v>4</v>
      </c>
      <c r="H19">
        <v>0</v>
      </c>
      <c r="I19">
        <v>0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394</v>
      </c>
      <c r="B20" t="s">
        <v>482</v>
      </c>
      <c r="C20">
        <v>2644</v>
      </c>
      <c r="D20">
        <v>559</v>
      </c>
      <c r="E20">
        <v>563</v>
      </c>
      <c r="F20">
        <v>46</v>
      </c>
      <c r="G20">
        <v>36</v>
      </c>
      <c r="H20">
        <v>0</v>
      </c>
      <c r="I20">
        <v>0</v>
      </c>
      <c r="J20">
        <v>25</v>
      </c>
      <c r="K20">
        <v>0</v>
      </c>
      <c r="L20">
        <v>179</v>
      </c>
      <c r="M20">
        <v>294</v>
      </c>
      <c r="N20">
        <v>101</v>
      </c>
      <c r="O20">
        <v>3</v>
      </c>
      <c r="P20">
        <v>4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395</v>
      </c>
      <c r="B21" t="s">
        <v>482</v>
      </c>
      <c r="C21">
        <v>679</v>
      </c>
      <c r="D21">
        <v>235</v>
      </c>
      <c r="E21">
        <v>189</v>
      </c>
      <c r="F21">
        <v>41</v>
      </c>
      <c r="G21">
        <v>78</v>
      </c>
      <c r="H21">
        <v>0</v>
      </c>
      <c r="I21">
        <v>76</v>
      </c>
      <c r="J21">
        <v>110</v>
      </c>
      <c r="K21">
        <v>0</v>
      </c>
      <c r="L21">
        <v>121</v>
      </c>
      <c r="M21">
        <v>233</v>
      </c>
      <c r="N21">
        <v>101</v>
      </c>
      <c r="O21">
        <v>18</v>
      </c>
      <c r="P21">
        <v>25</v>
      </c>
      <c r="Q21">
        <v>26</v>
      </c>
      <c r="R21">
        <v>33</v>
      </c>
      <c r="S21">
        <v>12</v>
      </c>
      <c r="T21">
        <v>0</v>
      </c>
      <c r="U21">
        <v>0</v>
      </c>
    </row>
    <row r="22" spans="1:21" x14ac:dyDescent="0.25">
      <c r="A22" t="s">
        <v>396</v>
      </c>
      <c r="B22" t="s">
        <v>482</v>
      </c>
      <c r="C22">
        <v>1791</v>
      </c>
      <c r="D22">
        <v>2781</v>
      </c>
      <c r="E22">
        <v>289</v>
      </c>
      <c r="F22">
        <v>63</v>
      </c>
      <c r="G22">
        <v>126</v>
      </c>
      <c r="H22">
        <v>260</v>
      </c>
      <c r="I22">
        <v>31</v>
      </c>
      <c r="J22">
        <v>1329</v>
      </c>
      <c r="K22">
        <v>0</v>
      </c>
      <c r="L22">
        <v>902</v>
      </c>
      <c r="M22">
        <v>2096</v>
      </c>
      <c r="N22">
        <v>459</v>
      </c>
      <c r="O22">
        <v>129</v>
      </c>
      <c r="P22">
        <v>156</v>
      </c>
      <c r="Q22">
        <v>64</v>
      </c>
      <c r="R22">
        <v>0</v>
      </c>
      <c r="S22">
        <v>22</v>
      </c>
      <c r="T22">
        <v>0</v>
      </c>
      <c r="U22">
        <v>0</v>
      </c>
    </row>
    <row r="23" spans="1:21" x14ac:dyDescent="0.25">
      <c r="A23" t="s">
        <v>397</v>
      </c>
      <c r="B23" t="s">
        <v>482</v>
      </c>
      <c r="C23">
        <v>8246</v>
      </c>
      <c r="D23">
        <v>3010</v>
      </c>
      <c r="E23">
        <v>4582</v>
      </c>
      <c r="F23">
        <v>50</v>
      </c>
      <c r="G23">
        <v>148</v>
      </c>
      <c r="H23">
        <v>0</v>
      </c>
      <c r="I23">
        <v>0</v>
      </c>
      <c r="J23">
        <v>51</v>
      </c>
      <c r="K23">
        <v>0</v>
      </c>
      <c r="L23">
        <v>159</v>
      </c>
      <c r="M23">
        <v>748</v>
      </c>
      <c r="N23">
        <v>88</v>
      </c>
      <c r="O23">
        <v>7</v>
      </c>
      <c r="P23">
        <v>41</v>
      </c>
      <c r="Q23">
        <v>0</v>
      </c>
      <c r="R23">
        <v>0</v>
      </c>
      <c r="S23">
        <v>30</v>
      </c>
      <c r="T23">
        <v>0</v>
      </c>
      <c r="U23">
        <v>0</v>
      </c>
    </row>
    <row r="24" spans="1:21" x14ac:dyDescent="0.25">
      <c r="A24" t="s">
        <v>398</v>
      </c>
      <c r="B24" t="s">
        <v>482</v>
      </c>
      <c r="C24">
        <v>3003</v>
      </c>
      <c r="D24">
        <v>1417</v>
      </c>
      <c r="E24">
        <v>1485</v>
      </c>
      <c r="F24">
        <v>102</v>
      </c>
      <c r="G24">
        <v>105</v>
      </c>
      <c r="H24">
        <v>0</v>
      </c>
      <c r="I24">
        <v>0</v>
      </c>
      <c r="J24">
        <v>84</v>
      </c>
      <c r="K24">
        <v>88</v>
      </c>
      <c r="L24">
        <v>790</v>
      </c>
      <c r="M24">
        <v>1317</v>
      </c>
      <c r="N24">
        <v>563</v>
      </c>
      <c r="O24">
        <v>72</v>
      </c>
      <c r="P24">
        <v>61</v>
      </c>
      <c r="Q24">
        <v>16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399</v>
      </c>
      <c r="B25" t="s">
        <v>482</v>
      </c>
      <c r="C25">
        <v>480</v>
      </c>
      <c r="D25">
        <v>786</v>
      </c>
      <c r="E25">
        <v>370</v>
      </c>
      <c r="F25">
        <v>32</v>
      </c>
      <c r="G25">
        <v>41</v>
      </c>
      <c r="H25">
        <v>7</v>
      </c>
      <c r="I25">
        <v>24</v>
      </c>
      <c r="J25">
        <v>131</v>
      </c>
      <c r="K25">
        <v>140</v>
      </c>
      <c r="L25">
        <v>149</v>
      </c>
      <c r="M25">
        <v>374</v>
      </c>
      <c r="N25">
        <v>115</v>
      </c>
      <c r="O25">
        <v>28</v>
      </c>
      <c r="P25">
        <v>21</v>
      </c>
      <c r="Q25">
        <v>0</v>
      </c>
      <c r="R25">
        <v>0</v>
      </c>
      <c r="S25">
        <v>2</v>
      </c>
      <c r="T25">
        <v>0</v>
      </c>
      <c r="U25">
        <v>0</v>
      </c>
    </row>
    <row r="26" spans="1:21" x14ac:dyDescent="0.25">
      <c r="A26" t="s">
        <v>400</v>
      </c>
      <c r="B26" t="s">
        <v>482</v>
      </c>
      <c r="C26">
        <v>3683</v>
      </c>
      <c r="D26">
        <v>1367</v>
      </c>
      <c r="E26">
        <v>957</v>
      </c>
      <c r="F26">
        <v>14</v>
      </c>
      <c r="G26">
        <v>139</v>
      </c>
      <c r="H26">
        <v>0</v>
      </c>
      <c r="I26">
        <v>14</v>
      </c>
      <c r="J26">
        <v>340</v>
      </c>
      <c r="K26">
        <v>0</v>
      </c>
      <c r="L26">
        <v>1351</v>
      </c>
      <c r="M26">
        <v>1484</v>
      </c>
      <c r="N26">
        <v>555</v>
      </c>
      <c r="O26">
        <v>41</v>
      </c>
      <c r="P26">
        <v>107</v>
      </c>
      <c r="Q26">
        <v>0</v>
      </c>
      <c r="R26">
        <v>0</v>
      </c>
      <c r="S26">
        <v>32</v>
      </c>
      <c r="T26">
        <v>0</v>
      </c>
      <c r="U26">
        <v>0</v>
      </c>
    </row>
    <row r="27" spans="1:21" x14ac:dyDescent="0.25">
      <c r="A27" t="s">
        <v>401</v>
      </c>
      <c r="B27" t="s">
        <v>482</v>
      </c>
      <c r="C27">
        <v>935</v>
      </c>
      <c r="D27">
        <v>617</v>
      </c>
      <c r="E27">
        <v>491</v>
      </c>
      <c r="F27">
        <v>45</v>
      </c>
      <c r="G27">
        <v>37</v>
      </c>
      <c r="H27">
        <v>2</v>
      </c>
      <c r="I27">
        <v>18</v>
      </c>
      <c r="J27">
        <v>191</v>
      </c>
      <c r="K27">
        <v>0</v>
      </c>
      <c r="L27">
        <v>477</v>
      </c>
      <c r="M27">
        <v>588</v>
      </c>
      <c r="N27">
        <v>440</v>
      </c>
      <c r="O27">
        <v>43</v>
      </c>
      <c r="P27">
        <v>43</v>
      </c>
      <c r="Q27">
        <v>182</v>
      </c>
      <c r="R27">
        <v>0</v>
      </c>
      <c r="S27">
        <v>6</v>
      </c>
      <c r="T27">
        <v>0</v>
      </c>
      <c r="U27">
        <v>0</v>
      </c>
    </row>
    <row r="28" spans="1:21" x14ac:dyDescent="0.25">
      <c r="A28" t="s">
        <v>402</v>
      </c>
      <c r="B28" t="s">
        <v>482</v>
      </c>
      <c r="C28">
        <v>159</v>
      </c>
      <c r="D28">
        <v>119</v>
      </c>
      <c r="E28">
        <v>205</v>
      </c>
      <c r="F28">
        <v>13</v>
      </c>
      <c r="G28">
        <v>4</v>
      </c>
      <c r="H28">
        <v>0</v>
      </c>
      <c r="I28">
        <v>0</v>
      </c>
      <c r="J28">
        <v>558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t="s">
        <v>403</v>
      </c>
      <c r="B29" t="s">
        <v>483</v>
      </c>
      <c r="C29">
        <v>782</v>
      </c>
      <c r="D29">
        <v>1024</v>
      </c>
      <c r="E29">
        <v>291</v>
      </c>
      <c r="F29">
        <v>25</v>
      </c>
      <c r="G29">
        <v>37</v>
      </c>
      <c r="H29">
        <v>15</v>
      </c>
      <c r="I29">
        <v>18</v>
      </c>
      <c r="J29">
        <v>135</v>
      </c>
      <c r="K29">
        <v>107</v>
      </c>
      <c r="L29">
        <v>778</v>
      </c>
      <c r="M29">
        <v>991</v>
      </c>
      <c r="N29">
        <v>574</v>
      </c>
      <c r="O29">
        <v>64</v>
      </c>
      <c r="P29">
        <v>22</v>
      </c>
      <c r="Q29">
        <v>189</v>
      </c>
      <c r="R29">
        <v>0</v>
      </c>
      <c r="S29">
        <v>8</v>
      </c>
      <c r="T29">
        <v>173</v>
      </c>
      <c r="U29">
        <v>0</v>
      </c>
    </row>
    <row r="30" spans="1:21" x14ac:dyDescent="0.25">
      <c r="A30" t="s">
        <v>478</v>
      </c>
      <c r="B30" t="s">
        <v>483</v>
      </c>
      <c r="C30">
        <v>2782</v>
      </c>
      <c r="D30">
        <v>1282</v>
      </c>
      <c r="E30">
        <v>1325</v>
      </c>
      <c r="F30">
        <v>91</v>
      </c>
      <c r="G30">
        <v>81</v>
      </c>
      <c r="H30">
        <v>0</v>
      </c>
      <c r="I30">
        <v>2</v>
      </c>
      <c r="J30">
        <v>224</v>
      </c>
      <c r="K30">
        <v>0</v>
      </c>
      <c r="L30">
        <v>457</v>
      </c>
      <c r="M30">
        <v>765</v>
      </c>
      <c r="N30">
        <v>286</v>
      </c>
      <c r="O30">
        <v>83</v>
      </c>
      <c r="P30">
        <v>86</v>
      </c>
      <c r="Q30">
        <v>106</v>
      </c>
      <c r="R30">
        <v>0</v>
      </c>
      <c r="S30">
        <v>135</v>
      </c>
      <c r="T30">
        <v>0</v>
      </c>
      <c r="U30">
        <v>0</v>
      </c>
    </row>
    <row r="31" spans="1:21" x14ac:dyDescent="0.25">
      <c r="A31" t="s">
        <v>404</v>
      </c>
      <c r="B31" t="s">
        <v>483</v>
      </c>
      <c r="C31">
        <v>323</v>
      </c>
      <c r="D31">
        <v>457</v>
      </c>
      <c r="E31">
        <v>155</v>
      </c>
      <c r="F31">
        <v>8</v>
      </c>
      <c r="G31">
        <v>40</v>
      </c>
      <c r="H31">
        <v>0</v>
      </c>
      <c r="I31">
        <v>0</v>
      </c>
      <c r="J31">
        <v>106</v>
      </c>
      <c r="K31">
        <v>17</v>
      </c>
      <c r="L31">
        <v>459</v>
      </c>
      <c r="M31">
        <v>536</v>
      </c>
      <c r="N31">
        <v>380</v>
      </c>
      <c r="O31">
        <v>32</v>
      </c>
      <c r="P31">
        <v>9</v>
      </c>
      <c r="Q31">
        <v>12</v>
      </c>
      <c r="R31">
        <v>0</v>
      </c>
      <c r="S31">
        <v>4</v>
      </c>
      <c r="T31">
        <v>42</v>
      </c>
      <c r="U31">
        <v>0</v>
      </c>
    </row>
    <row r="32" spans="1:21" x14ac:dyDescent="0.25">
      <c r="A32" t="s">
        <v>405</v>
      </c>
      <c r="B32" t="s">
        <v>483</v>
      </c>
      <c r="C32">
        <v>1781</v>
      </c>
      <c r="D32">
        <v>596</v>
      </c>
      <c r="E32">
        <v>410</v>
      </c>
      <c r="F32">
        <v>29</v>
      </c>
      <c r="G32">
        <v>38</v>
      </c>
      <c r="H32">
        <v>0</v>
      </c>
      <c r="I32">
        <v>11</v>
      </c>
      <c r="J32">
        <v>32</v>
      </c>
      <c r="K32">
        <v>0</v>
      </c>
      <c r="L32">
        <v>968</v>
      </c>
      <c r="M32">
        <v>498</v>
      </c>
      <c r="N32">
        <v>312</v>
      </c>
      <c r="O32">
        <v>5</v>
      </c>
      <c r="P32">
        <v>18</v>
      </c>
      <c r="Q32">
        <v>102</v>
      </c>
      <c r="R32">
        <v>0</v>
      </c>
      <c r="S32">
        <v>4</v>
      </c>
      <c r="T32">
        <v>0</v>
      </c>
      <c r="U32">
        <v>0</v>
      </c>
    </row>
    <row r="33" spans="1:21" x14ac:dyDescent="0.25">
      <c r="A33" t="s">
        <v>406</v>
      </c>
      <c r="B33" t="s">
        <v>483</v>
      </c>
      <c r="C33">
        <v>10729</v>
      </c>
      <c r="D33">
        <v>1921</v>
      </c>
      <c r="E33">
        <v>1677</v>
      </c>
      <c r="F33">
        <v>135</v>
      </c>
      <c r="G33">
        <v>121</v>
      </c>
      <c r="H33">
        <v>43</v>
      </c>
      <c r="I33">
        <v>56</v>
      </c>
      <c r="J33">
        <v>138</v>
      </c>
      <c r="K33">
        <v>0</v>
      </c>
      <c r="L33">
        <v>610</v>
      </c>
      <c r="M33">
        <v>338</v>
      </c>
      <c r="N33">
        <v>497</v>
      </c>
      <c r="O33">
        <v>0</v>
      </c>
      <c r="P33">
        <v>8</v>
      </c>
      <c r="Q33">
        <v>247</v>
      </c>
      <c r="R33">
        <v>0</v>
      </c>
      <c r="S33">
        <v>38</v>
      </c>
      <c r="T33">
        <v>0</v>
      </c>
      <c r="U33">
        <v>0</v>
      </c>
    </row>
    <row r="34" spans="1:21" x14ac:dyDescent="0.25">
      <c r="A34" t="s">
        <v>407</v>
      </c>
      <c r="B34" t="s">
        <v>483</v>
      </c>
      <c r="C34">
        <v>4032</v>
      </c>
      <c r="D34">
        <v>1802</v>
      </c>
      <c r="E34">
        <v>1501</v>
      </c>
      <c r="F34">
        <v>139</v>
      </c>
      <c r="G34">
        <v>72</v>
      </c>
      <c r="H34">
        <v>0</v>
      </c>
      <c r="I34">
        <v>9</v>
      </c>
      <c r="J34">
        <v>352</v>
      </c>
      <c r="K34">
        <v>0</v>
      </c>
      <c r="L34">
        <v>6877</v>
      </c>
      <c r="M34">
        <v>7087</v>
      </c>
      <c r="N34">
        <v>4506</v>
      </c>
      <c r="O34">
        <v>254</v>
      </c>
      <c r="P34">
        <v>188</v>
      </c>
      <c r="Q34">
        <v>156</v>
      </c>
      <c r="R34">
        <v>0</v>
      </c>
      <c r="S34">
        <v>116</v>
      </c>
      <c r="T34">
        <v>0</v>
      </c>
      <c r="U34">
        <v>0</v>
      </c>
    </row>
    <row r="35" spans="1:21" x14ac:dyDescent="0.25">
      <c r="A35" t="s">
        <v>408</v>
      </c>
      <c r="B35" t="s">
        <v>483</v>
      </c>
      <c r="C35">
        <v>1655</v>
      </c>
      <c r="D35">
        <v>1538</v>
      </c>
      <c r="E35">
        <v>535</v>
      </c>
      <c r="F35">
        <v>36</v>
      </c>
      <c r="G35">
        <v>117</v>
      </c>
      <c r="H35">
        <v>7</v>
      </c>
      <c r="I35">
        <v>0</v>
      </c>
      <c r="J35">
        <v>155</v>
      </c>
      <c r="K35">
        <v>34</v>
      </c>
      <c r="L35">
        <v>164</v>
      </c>
      <c r="M35">
        <v>68</v>
      </c>
      <c r="N35">
        <v>112</v>
      </c>
      <c r="O35">
        <v>0</v>
      </c>
      <c r="P35">
        <v>0</v>
      </c>
      <c r="Q35">
        <v>29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t="s">
        <v>409</v>
      </c>
      <c r="B36" t="s">
        <v>483</v>
      </c>
      <c r="C36">
        <v>4633</v>
      </c>
      <c r="D36">
        <v>2334</v>
      </c>
      <c r="E36">
        <v>2745</v>
      </c>
      <c r="F36">
        <v>131</v>
      </c>
      <c r="G36">
        <v>185</v>
      </c>
      <c r="H36">
        <v>0</v>
      </c>
      <c r="I36">
        <v>162</v>
      </c>
      <c r="J36">
        <v>317</v>
      </c>
      <c r="K36">
        <v>0</v>
      </c>
      <c r="L36">
        <v>1049</v>
      </c>
      <c r="M36">
        <v>1305</v>
      </c>
      <c r="N36">
        <v>1051</v>
      </c>
      <c r="O36">
        <v>50</v>
      </c>
      <c r="P36">
        <v>38</v>
      </c>
      <c r="Q36">
        <v>160</v>
      </c>
      <c r="R36">
        <v>39</v>
      </c>
      <c r="S36">
        <v>0</v>
      </c>
      <c r="T36">
        <v>0</v>
      </c>
      <c r="U36">
        <v>0</v>
      </c>
    </row>
    <row r="37" spans="1:21" x14ac:dyDescent="0.25">
      <c r="A37" t="s">
        <v>410</v>
      </c>
      <c r="B37" t="s">
        <v>483</v>
      </c>
      <c r="C37">
        <v>241</v>
      </c>
      <c r="D37">
        <v>382</v>
      </c>
      <c r="E37">
        <v>79</v>
      </c>
      <c r="F37">
        <v>5</v>
      </c>
      <c r="G37">
        <v>27</v>
      </c>
      <c r="H37">
        <v>0</v>
      </c>
      <c r="I37">
        <v>0</v>
      </c>
      <c r="J37">
        <v>90</v>
      </c>
      <c r="K37">
        <v>0</v>
      </c>
      <c r="L37">
        <v>147</v>
      </c>
      <c r="M37">
        <v>100</v>
      </c>
      <c r="N37">
        <v>16</v>
      </c>
      <c r="O37">
        <v>3</v>
      </c>
      <c r="P37">
        <v>4</v>
      </c>
      <c r="Q37">
        <v>40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411</v>
      </c>
      <c r="B38" t="s">
        <v>483</v>
      </c>
      <c r="C38">
        <v>2762</v>
      </c>
      <c r="D38">
        <v>1838</v>
      </c>
      <c r="E38">
        <v>1153</v>
      </c>
      <c r="F38">
        <v>122</v>
      </c>
      <c r="G38">
        <v>145</v>
      </c>
      <c r="H38">
        <v>46</v>
      </c>
      <c r="I38">
        <v>27</v>
      </c>
      <c r="J38">
        <v>583</v>
      </c>
      <c r="K38">
        <v>0</v>
      </c>
      <c r="L38">
        <v>2678</v>
      </c>
      <c r="M38">
        <v>3228</v>
      </c>
      <c r="N38">
        <v>1782</v>
      </c>
      <c r="O38">
        <v>145</v>
      </c>
      <c r="P38">
        <v>133</v>
      </c>
      <c r="Q38">
        <v>121</v>
      </c>
      <c r="R38">
        <v>0</v>
      </c>
      <c r="S38">
        <v>13</v>
      </c>
      <c r="T38">
        <v>0</v>
      </c>
      <c r="U38">
        <v>0</v>
      </c>
    </row>
    <row r="39" spans="1:21" x14ac:dyDescent="0.25">
      <c r="A39" t="s">
        <v>412</v>
      </c>
      <c r="B39" t="s">
        <v>483</v>
      </c>
      <c r="C39">
        <v>1035</v>
      </c>
      <c r="D39">
        <v>712</v>
      </c>
      <c r="E39">
        <v>296</v>
      </c>
      <c r="F39">
        <v>69</v>
      </c>
      <c r="G39">
        <v>38</v>
      </c>
      <c r="H39">
        <v>0</v>
      </c>
      <c r="I39">
        <v>9</v>
      </c>
      <c r="J39">
        <v>82</v>
      </c>
      <c r="K39">
        <v>0</v>
      </c>
      <c r="L39">
        <v>577</v>
      </c>
      <c r="M39">
        <v>515</v>
      </c>
      <c r="N39">
        <v>267</v>
      </c>
      <c r="O39">
        <v>27</v>
      </c>
      <c r="P39">
        <v>16</v>
      </c>
      <c r="Q39">
        <v>16</v>
      </c>
      <c r="R39">
        <v>0</v>
      </c>
      <c r="S39">
        <v>5</v>
      </c>
      <c r="T39">
        <v>0</v>
      </c>
      <c r="U39">
        <v>0</v>
      </c>
    </row>
    <row r="40" spans="1:21" x14ac:dyDescent="0.25">
      <c r="A40" t="s">
        <v>413</v>
      </c>
      <c r="B40" t="s">
        <v>483</v>
      </c>
      <c r="C40">
        <v>0</v>
      </c>
      <c r="D40">
        <v>0</v>
      </c>
      <c r="E40">
        <v>459</v>
      </c>
      <c r="F40">
        <v>0</v>
      </c>
      <c r="G40">
        <v>0</v>
      </c>
      <c r="H40">
        <v>0</v>
      </c>
      <c r="I40">
        <v>0</v>
      </c>
      <c r="J40">
        <v>7066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414</v>
      </c>
      <c r="B41" t="s">
        <v>483</v>
      </c>
      <c r="C41">
        <v>11122</v>
      </c>
      <c r="D41">
        <v>3098</v>
      </c>
      <c r="E41">
        <v>3320</v>
      </c>
      <c r="F41">
        <v>78</v>
      </c>
      <c r="G41">
        <v>135</v>
      </c>
      <c r="H41">
        <v>8</v>
      </c>
      <c r="I41">
        <v>180</v>
      </c>
      <c r="J41">
        <v>930</v>
      </c>
      <c r="K41">
        <v>2</v>
      </c>
      <c r="L41">
        <v>1369</v>
      </c>
      <c r="M41">
        <v>1570</v>
      </c>
      <c r="N41">
        <v>723</v>
      </c>
      <c r="O41">
        <v>52</v>
      </c>
      <c r="P41">
        <v>49</v>
      </c>
      <c r="Q41">
        <v>45</v>
      </c>
      <c r="R41">
        <v>0</v>
      </c>
      <c r="S41">
        <v>18</v>
      </c>
      <c r="T41">
        <v>0</v>
      </c>
      <c r="U41">
        <v>0</v>
      </c>
    </row>
    <row r="42" spans="1:21" x14ac:dyDescent="0.25">
      <c r="A42" t="s">
        <v>415</v>
      </c>
      <c r="B42" t="s">
        <v>483</v>
      </c>
      <c r="C42">
        <v>0</v>
      </c>
      <c r="D42">
        <v>0</v>
      </c>
      <c r="E42">
        <v>162</v>
      </c>
      <c r="F42">
        <v>0</v>
      </c>
      <c r="G42">
        <v>0</v>
      </c>
      <c r="H42">
        <v>0</v>
      </c>
      <c r="I42">
        <v>23</v>
      </c>
      <c r="J42">
        <v>1605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t="s">
        <v>416</v>
      </c>
      <c r="B43" t="s">
        <v>483</v>
      </c>
      <c r="C43">
        <v>5927</v>
      </c>
      <c r="D43">
        <v>2739</v>
      </c>
      <c r="E43">
        <v>1490</v>
      </c>
      <c r="F43">
        <v>106</v>
      </c>
      <c r="G43">
        <v>76</v>
      </c>
      <c r="H43">
        <v>43</v>
      </c>
      <c r="I43">
        <v>20</v>
      </c>
      <c r="J43">
        <v>145</v>
      </c>
      <c r="K43">
        <v>0</v>
      </c>
      <c r="L43">
        <v>1251</v>
      </c>
      <c r="M43">
        <v>1123</v>
      </c>
      <c r="N43">
        <v>690</v>
      </c>
      <c r="O43">
        <v>21</v>
      </c>
      <c r="P43">
        <v>14</v>
      </c>
      <c r="Q43">
        <v>238</v>
      </c>
      <c r="R43">
        <v>0</v>
      </c>
      <c r="S43">
        <v>25</v>
      </c>
      <c r="T43">
        <v>0</v>
      </c>
      <c r="U43">
        <v>0</v>
      </c>
    </row>
    <row r="44" spans="1:21" x14ac:dyDescent="0.25">
      <c r="A44" t="s">
        <v>417</v>
      </c>
      <c r="B44" t="s">
        <v>483</v>
      </c>
      <c r="C44">
        <v>372</v>
      </c>
      <c r="D44">
        <v>444</v>
      </c>
      <c r="E44">
        <v>154</v>
      </c>
      <c r="F44">
        <v>23</v>
      </c>
      <c r="G44">
        <v>12</v>
      </c>
      <c r="H44">
        <v>0</v>
      </c>
      <c r="I44">
        <v>150</v>
      </c>
      <c r="J44">
        <v>72</v>
      </c>
      <c r="K44">
        <v>0</v>
      </c>
      <c r="L44">
        <v>582</v>
      </c>
      <c r="M44">
        <v>1221</v>
      </c>
      <c r="N44">
        <v>474</v>
      </c>
      <c r="O44">
        <v>87</v>
      </c>
      <c r="P44">
        <v>26</v>
      </c>
      <c r="Q44">
        <v>36</v>
      </c>
      <c r="R44">
        <v>4</v>
      </c>
      <c r="S44">
        <v>3</v>
      </c>
      <c r="T44">
        <v>0</v>
      </c>
      <c r="U44">
        <v>0</v>
      </c>
    </row>
    <row r="45" spans="1:21" x14ac:dyDescent="0.25">
      <c r="A45" t="s">
        <v>418</v>
      </c>
      <c r="B45" t="s">
        <v>484</v>
      </c>
      <c r="C45">
        <v>11</v>
      </c>
      <c r="D45">
        <v>82</v>
      </c>
      <c r="E45">
        <v>137</v>
      </c>
      <c r="F45">
        <v>0</v>
      </c>
      <c r="G45">
        <v>0</v>
      </c>
      <c r="H45">
        <v>0</v>
      </c>
      <c r="I45">
        <v>0</v>
      </c>
      <c r="J45">
        <v>1960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419</v>
      </c>
      <c r="B46" t="s">
        <v>484</v>
      </c>
      <c r="C46">
        <v>5292</v>
      </c>
      <c r="D46">
        <v>3117</v>
      </c>
      <c r="E46">
        <v>2560</v>
      </c>
      <c r="F46">
        <v>199</v>
      </c>
      <c r="G46">
        <v>68</v>
      </c>
      <c r="H46">
        <v>0</v>
      </c>
      <c r="I46">
        <v>26</v>
      </c>
      <c r="J46">
        <v>564</v>
      </c>
      <c r="K46">
        <v>1</v>
      </c>
      <c r="L46">
        <v>380</v>
      </c>
      <c r="M46">
        <v>743</v>
      </c>
      <c r="N46">
        <v>379</v>
      </c>
      <c r="O46">
        <v>20</v>
      </c>
      <c r="P46">
        <v>20</v>
      </c>
      <c r="Q46">
        <v>44</v>
      </c>
      <c r="R46">
        <v>0</v>
      </c>
      <c r="S46">
        <v>40</v>
      </c>
      <c r="T46">
        <v>0</v>
      </c>
      <c r="U46">
        <v>0</v>
      </c>
    </row>
    <row r="47" spans="1:21" x14ac:dyDescent="0.25">
      <c r="A47" t="s">
        <v>490</v>
      </c>
      <c r="B47" t="s">
        <v>484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107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">
        <v>487</v>
      </c>
      <c r="B48" t="s">
        <v>484</v>
      </c>
      <c r="C48">
        <v>237</v>
      </c>
      <c r="D48">
        <v>76</v>
      </c>
      <c r="E48">
        <v>88</v>
      </c>
      <c r="F48">
        <v>1</v>
      </c>
      <c r="G48">
        <v>5</v>
      </c>
      <c r="H48">
        <v>0</v>
      </c>
      <c r="I48">
        <v>0</v>
      </c>
      <c r="J48">
        <v>68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 t="s">
        <v>420</v>
      </c>
      <c r="B49" t="s">
        <v>484</v>
      </c>
      <c r="C49">
        <v>2986</v>
      </c>
      <c r="D49">
        <v>1677</v>
      </c>
      <c r="E49">
        <v>1401</v>
      </c>
      <c r="F49">
        <v>51</v>
      </c>
      <c r="G49">
        <v>55</v>
      </c>
      <c r="H49">
        <v>49</v>
      </c>
      <c r="I49">
        <v>731</v>
      </c>
      <c r="J49">
        <v>493</v>
      </c>
      <c r="K49">
        <v>0</v>
      </c>
      <c r="L49">
        <v>833</v>
      </c>
      <c r="M49">
        <v>1103</v>
      </c>
      <c r="N49">
        <v>348</v>
      </c>
      <c r="O49">
        <v>74</v>
      </c>
      <c r="P49">
        <v>78</v>
      </c>
      <c r="Q49">
        <v>35</v>
      </c>
      <c r="R49">
        <v>0</v>
      </c>
      <c r="S49">
        <v>10</v>
      </c>
      <c r="T49">
        <v>6</v>
      </c>
      <c r="U49">
        <v>0</v>
      </c>
    </row>
    <row r="50" spans="1:21" x14ac:dyDescent="0.25">
      <c r="A50" t="s">
        <v>421</v>
      </c>
      <c r="B50" t="s">
        <v>484</v>
      </c>
      <c r="C50">
        <v>6809</v>
      </c>
      <c r="D50">
        <v>2110</v>
      </c>
      <c r="E50">
        <v>2101</v>
      </c>
      <c r="F50">
        <v>73</v>
      </c>
      <c r="G50">
        <v>178</v>
      </c>
      <c r="H50">
        <v>13</v>
      </c>
      <c r="I50">
        <v>25</v>
      </c>
      <c r="J50">
        <v>477</v>
      </c>
      <c r="K50">
        <v>474</v>
      </c>
      <c r="L50">
        <v>2345</v>
      </c>
      <c r="M50">
        <v>1660</v>
      </c>
      <c r="N50">
        <v>1359</v>
      </c>
      <c r="O50">
        <v>81</v>
      </c>
      <c r="P50">
        <v>23</v>
      </c>
      <c r="Q50">
        <v>192</v>
      </c>
      <c r="R50">
        <v>0</v>
      </c>
      <c r="S50">
        <v>90</v>
      </c>
      <c r="T50">
        <v>6</v>
      </c>
      <c r="U50">
        <v>0</v>
      </c>
    </row>
    <row r="51" spans="1:21" x14ac:dyDescent="0.25">
      <c r="A51" t="s">
        <v>422</v>
      </c>
      <c r="B51" t="s">
        <v>484</v>
      </c>
      <c r="C51">
        <v>2605</v>
      </c>
      <c r="D51">
        <v>817</v>
      </c>
      <c r="E51">
        <v>1000</v>
      </c>
      <c r="F51">
        <v>89</v>
      </c>
      <c r="G51">
        <v>61</v>
      </c>
      <c r="H51">
        <v>0</v>
      </c>
      <c r="I51">
        <v>0</v>
      </c>
      <c r="J51">
        <v>279</v>
      </c>
      <c r="K51">
        <v>0</v>
      </c>
      <c r="L51">
        <v>880</v>
      </c>
      <c r="M51">
        <v>738</v>
      </c>
      <c r="N51">
        <v>820</v>
      </c>
      <c r="O51">
        <v>26</v>
      </c>
      <c r="P51">
        <v>6</v>
      </c>
      <c r="Q51">
        <v>34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">
        <v>423</v>
      </c>
      <c r="B52" t="s">
        <v>484</v>
      </c>
      <c r="C52">
        <v>823</v>
      </c>
      <c r="D52">
        <v>239</v>
      </c>
      <c r="E52">
        <v>230</v>
      </c>
      <c r="F52">
        <v>38</v>
      </c>
      <c r="G52">
        <v>25</v>
      </c>
      <c r="H52">
        <v>0</v>
      </c>
      <c r="I52">
        <v>0</v>
      </c>
      <c r="J52">
        <v>212</v>
      </c>
      <c r="K52">
        <v>0</v>
      </c>
      <c r="L52">
        <v>1359</v>
      </c>
      <c r="M52">
        <v>1021</v>
      </c>
      <c r="N52">
        <v>1061</v>
      </c>
      <c r="O52">
        <v>43</v>
      </c>
      <c r="P52">
        <v>32</v>
      </c>
      <c r="Q52">
        <v>70</v>
      </c>
      <c r="R52">
        <v>0</v>
      </c>
      <c r="S52">
        <v>70</v>
      </c>
      <c r="T52">
        <v>0</v>
      </c>
      <c r="U52">
        <v>0</v>
      </c>
    </row>
    <row r="53" spans="1:21" x14ac:dyDescent="0.25">
      <c r="A53" t="s">
        <v>424</v>
      </c>
      <c r="B53" t="s">
        <v>484</v>
      </c>
      <c r="C53">
        <v>351</v>
      </c>
      <c r="D53">
        <v>122</v>
      </c>
      <c r="E53">
        <v>107</v>
      </c>
      <c r="F53">
        <v>16</v>
      </c>
      <c r="G53">
        <v>13</v>
      </c>
      <c r="H53">
        <v>0</v>
      </c>
      <c r="I53">
        <v>90</v>
      </c>
      <c r="J53">
        <v>20</v>
      </c>
      <c r="K53">
        <v>0</v>
      </c>
      <c r="L53">
        <v>164</v>
      </c>
      <c r="M53">
        <v>244</v>
      </c>
      <c r="N53">
        <v>134</v>
      </c>
      <c r="O53">
        <v>8</v>
      </c>
      <c r="P53">
        <v>12</v>
      </c>
      <c r="Q53">
        <v>0</v>
      </c>
      <c r="R53">
        <v>0</v>
      </c>
      <c r="S53">
        <v>10</v>
      </c>
      <c r="T53">
        <v>0</v>
      </c>
      <c r="U53">
        <v>0</v>
      </c>
    </row>
    <row r="54" spans="1:21" x14ac:dyDescent="0.25">
      <c r="A54" t="s">
        <v>425</v>
      </c>
      <c r="B54" t="s">
        <v>484</v>
      </c>
      <c r="C54">
        <v>1547</v>
      </c>
      <c r="D54">
        <v>254</v>
      </c>
      <c r="E54">
        <v>600</v>
      </c>
      <c r="F54">
        <v>27</v>
      </c>
      <c r="G54">
        <v>9</v>
      </c>
      <c r="H54">
        <v>0</v>
      </c>
      <c r="I54">
        <v>0</v>
      </c>
      <c r="J54">
        <v>109</v>
      </c>
      <c r="K54">
        <v>0</v>
      </c>
      <c r="L54">
        <v>250</v>
      </c>
      <c r="M54">
        <v>194</v>
      </c>
      <c r="N54">
        <v>116</v>
      </c>
      <c r="O54">
        <v>10</v>
      </c>
      <c r="P54">
        <v>8</v>
      </c>
      <c r="Q54">
        <v>18</v>
      </c>
      <c r="R54">
        <v>0</v>
      </c>
      <c r="S54">
        <v>2</v>
      </c>
      <c r="T54">
        <v>0</v>
      </c>
      <c r="U54">
        <v>0</v>
      </c>
    </row>
    <row r="55" spans="1:21" x14ac:dyDescent="0.25">
      <c r="A55" t="s">
        <v>426</v>
      </c>
      <c r="B55" t="s">
        <v>484</v>
      </c>
      <c r="C55">
        <v>263</v>
      </c>
      <c r="D55">
        <v>104</v>
      </c>
      <c r="E55">
        <v>99</v>
      </c>
      <c r="F55">
        <v>12</v>
      </c>
      <c r="G55">
        <v>2</v>
      </c>
      <c r="H55">
        <v>0</v>
      </c>
      <c r="I55">
        <v>10</v>
      </c>
      <c r="J55">
        <v>138</v>
      </c>
      <c r="K55">
        <v>0</v>
      </c>
      <c r="L55">
        <v>225</v>
      </c>
      <c r="M55">
        <v>203</v>
      </c>
      <c r="N55">
        <v>146</v>
      </c>
      <c r="O55">
        <v>10</v>
      </c>
      <c r="P55">
        <v>5</v>
      </c>
      <c r="Q55">
        <v>26</v>
      </c>
      <c r="R55">
        <v>0</v>
      </c>
      <c r="S55">
        <v>4</v>
      </c>
      <c r="T55">
        <v>0</v>
      </c>
      <c r="U55">
        <v>0</v>
      </c>
    </row>
    <row r="56" spans="1:21" x14ac:dyDescent="0.25">
      <c r="A56" t="s">
        <v>427</v>
      </c>
      <c r="B56" t="s">
        <v>484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105</v>
      </c>
      <c r="J56">
        <v>198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t="s">
        <v>428</v>
      </c>
      <c r="B57" t="s">
        <v>485</v>
      </c>
      <c r="C57">
        <v>633</v>
      </c>
      <c r="D57">
        <v>337</v>
      </c>
      <c r="E57">
        <v>222</v>
      </c>
      <c r="F57">
        <v>28</v>
      </c>
      <c r="G57">
        <v>43</v>
      </c>
      <c r="H57">
        <v>0</v>
      </c>
      <c r="I57">
        <v>203</v>
      </c>
      <c r="J57">
        <v>154</v>
      </c>
      <c r="K57">
        <v>50</v>
      </c>
      <c r="L57">
        <v>563</v>
      </c>
      <c r="M57">
        <v>931</v>
      </c>
      <c r="N57">
        <v>331</v>
      </c>
      <c r="O57">
        <v>59</v>
      </c>
      <c r="P57">
        <v>52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">
        <v>429</v>
      </c>
      <c r="B58" t="s">
        <v>485</v>
      </c>
      <c r="C58">
        <v>1333</v>
      </c>
      <c r="D58">
        <v>497</v>
      </c>
      <c r="E58">
        <v>268</v>
      </c>
      <c r="F58">
        <v>79</v>
      </c>
      <c r="G58">
        <v>66</v>
      </c>
      <c r="H58">
        <v>0</v>
      </c>
      <c r="I58">
        <v>0</v>
      </c>
      <c r="J58">
        <v>69</v>
      </c>
      <c r="K58">
        <v>40</v>
      </c>
      <c r="L58">
        <v>1234</v>
      </c>
      <c r="M58">
        <v>902</v>
      </c>
      <c r="N58">
        <v>425</v>
      </c>
      <c r="O58">
        <v>66</v>
      </c>
      <c r="P58">
        <v>40</v>
      </c>
      <c r="Q58">
        <v>0</v>
      </c>
      <c r="R58">
        <v>0</v>
      </c>
      <c r="S58">
        <v>10</v>
      </c>
      <c r="T58">
        <v>0</v>
      </c>
      <c r="U58">
        <v>0</v>
      </c>
    </row>
    <row r="59" spans="1:21" x14ac:dyDescent="0.25">
      <c r="A59" t="s">
        <v>430</v>
      </c>
      <c r="B59" t="s">
        <v>485</v>
      </c>
      <c r="C59">
        <v>1331</v>
      </c>
      <c r="D59">
        <v>928</v>
      </c>
      <c r="E59">
        <v>560</v>
      </c>
      <c r="F59">
        <v>45</v>
      </c>
      <c r="G59">
        <v>28</v>
      </c>
      <c r="H59">
        <v>0</v>
      </c>
      <c r="I59">
        <v>0</v>
      </c>
      <c r="J59">
        <v>110</v>
      </c>
      <c r="K59">
        <v>0</v>
      </c>
      <c r="L59">
        <v>685</v>
      </c>
      <c r="M59">
        <v>875</v>
      </c>
      <c r="N59">
        <v>556</v>
      </c>
      <c r="O59">
        <v>8</v>
      </c>
      <c r="P59">
        <v>17</v>
      </c>
      <c r="Q59">
        <v>5</v>
      </c>
      <c r="R59">
        <v>0</v>
      </c>
      <c r="S59">
        <v>287</v>
      </c>
      <c r="T59">
        <v>0</v>
      </c>
      <c r="U59">
        <v>0</v>
      </c>
    </row>
    <row r="60" spans="1:21" x14ac:dyDescent="0.25">
      <c r="A60" t="s">
        <v>431</v>
      </c>
      <c r="B60" t="s">
        <v>485</v>
      </c>
      <c r="C60">
        <v>450</v>
      </c>
      <c r="D60">
        <v>63</v>
      </c>
      <c r="E60">
        <v>88</v>
      </c>
      <c r="F60">
        <v>10</v>
      </c>
      <c r="G60">
        <v>5</v>
      </c>
      <c r="H60">
        <v>0</v>
      </c>
      <c r="I60">
        <v>265</v>
      </c>
      <c r="J60">
        <v>90</v>
      </c>
      <c r="K60">
        <v>0</v>
      </c>
      <c r="L60">
        <v>388</v>
      </c>
      <c r="M60">
        <v>316</v>
      </c>
      <c r="N60">
        <v>183</v>
      </c>
      <c r="O60">
        <v>23</v>
      </c>
      <c r="P60">
        <v>21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">
        <v>432</v>
      </c>
      <c r="B61" t="s">
        <v>485</v>
      </c>
      <c r="C61">
        <v>6644</v>
      </c>
      <c r="D61">
        <v>1536</v>
      </c>
      <c r="E61">
        <v>3721</v>
      </c>
      <c r="F61">
        <v>98</v>
      </c>
      <c r="G61">
        <v>121</v>
      </c>
      <c r="H61">
        <v>3</v>
      </c>
      <c r="I61">
        <v>1537</v>
      </c>
      <c r="J61">
        <v>755</v>
      </c>
      <c r="K61">
        <v>2</v>
      </c>
      <c r="L61">
        <v>644</v>
      </c>
      <c r="M61">
        <v>667</v>
      </c>
      <c r="N61">
        <v>874</v>
      </c>
      <c r="O61">
        <v>17</v>
      </c>
      <c r="P61">
        <v>38</v>
      </c>
      <c r="Q61">
        <v>48</v>
      </c>
      <c r="R61">
        <v>0</v>
      </c>
      <c r="S61">
        <v>31</v>
      </c>
      <c r="T61">
        <v>0</v>
      </c>
      <c r="U61">
        <v>0</v>
      </c>
    </row>
    <row r="62" spans="1:21" x14ac:dyDescent="0.25">
      <c r="A62" t="s">
        <v>433</v>
      </c>
      <c r="B62" t="s">
        <v>485</v>
      </c>
      <c r="C62">
        <v>2070</v>
      </c>
      <c r="D62">
        <v>250</v>
      </c>
      <c r="E62">
        <v>457</v>
      </c>
      <c r="F62">
        <v>43</v>
      </c>
      <c r="G62">
        <v>18</v>
      </c>
      <c r="H62">
        <v>0</v>
      </c>
      <c r="I62">
        <v>0</v>
      </c>
      <c r="J62">
        <v>74</v>
      </c>
      <c r="K62">
        <v>0</v>
      </c>
      <c r="L62">
        <v>972</v>
      </c>
      <c r="M62">
        <v>761</v>
      </c>
      <c r="N62">
        <v>937</v>
      </c>
      <c r="O62">
        <v>68</v>
      </c>
      <c r="P62">
        <v>30</v>
      </c>
      <c r="Q62">
        <v>19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434</v>
      </c>
      <c r="B63" t="s">
        <v>485</v>
      </c>
      <c r="C63">
        <v>743</v>
      </c>
      <c r="D63">
        <v>226</v>
      </c>
      <c r="E63">
        <v>205</v>
      </c>
      <c r="F63">
        <v>66</v>
      </c>
      <c r="G63">
        <v>41</v>
      </c>
      <c r="H63">
        <v>0</v>
      </c>
      <c r="I63">
        <v>52</v>
      </c>
      <c r="J63">
        <v>129</v>
      </c>
      <c r="K63">
        <v>0</v>
      </c>
      <c r="L63">
        <v>350</v>
      </c>
      <c r="M63">
        <v>430</v>
      </c>
      <c r="N63">
        <v>229</v>
      </c>
      <c r="O63">
        <v>28</v>
      </c>
      <c r="P63">
        <v>35</v>
      </c>
      <c r="Q63">
        <v>111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435</v>
      </c>
      <c r="B64" t="s">
        <v>485</v>
      </c>
      <c r="C64">
        <v>526</v>
      </c>
      <c r="D64">
        <v>431</v>
      </c>
      <c r="E64">
        <v>526</v>
      </c>
      <c r="F64">
        <v>15</v>
      </c>
      <c r="G64">
        <v>14</v>
      </c>
      <c r="H64">
        <v>0</v>
      </c>
      <c r="I64">
        <v>279</v>
      </c>
      <c r="J64">
        <v>580</v>
      </c>
      <c r="K64">
        <v>0</v>
      </c>
      <c r="L64">
        <v>398</v>
      </c>
      <c r="M64">
        <v>549</v>
      </c>
      <c r="N64">
        <v>251</v>
      </c>
      <c r="O64">
        <v>39</v>
      </c>
      <c r="P64">
        <v>52</v>
      </c>
      <c r="Q64">
        <v>0</v>
      </c>
      <c r="R64">
        <v>0</v>
      </c>
      <c r="S64">
        <v>4</v>
      </c>
      <c r="T64">
        <v>0</v>
      </c>
      <c r="U64">
        <v>0</v>
      </c>
    </row>
    <row r="65" spans="1:21" x14ac:dyDescent="0.25">
      <c r="A65" t="s">
        <v>436</v>
      </c>
      <c r="B65" t="s">
        <v>485</v>
      </c>
      <c r="C65">
        <v>1862</v>
      </c>
      <c r="D65">
        <v>817</v>
      </c>
      <c r="E65">
        <v>405</v>
      </c>
      <c r="F65">
        <v>96</v>
      </c>
      <c r="G65">
        <v>86</v>
      </c>
      <c r="H65">
        <v>0</v>
      </c>
      <c r="I65">
        <v>0</v>
      </c>
      <c r="J65">
        <v>86</v>
      </c>
      <c r="K65">
        <v>6</v>
      </c>
      <c r="L65">
        <v>489</v>
      </c>
      <c r="M65">
        <v>471</v>
      </c>
      <c r="N65">
        <v>184</v>
      </c>
      <c r="O65">
        <v>83</v>
      </c>
      <c r="P65">
        <v>26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437</v>
      </c>
      <c r="B66" t="s">
        <v>485</v>
      </c>
      <c r="C66">
        <v>850</v>
      </c>
      <c r="D66">
        <v>313</v>
      </c>
      <c r="E66">
        <v>267</v>
      </c>
      <c r="F66">
        <v>87</v>
      </c>
      <c r="G66">
        <v>37</v>
      </c>
      <c r="H66">
        <v>0</v>
      </c>
      <c r="I66">
        <v>0</v>
      </c>
      <c r="J66">
        <v>189</v>
      </c>
      <c r="K66">
        <v>0</v>
      </c>
      <c r="L66">
        <v>1258</v>
      </c>
      <c r="M66">
        <v>976</v>
      </c>
      <c r="N66">
        <v>615</v>
      </c>
      <c r="O66">
        <v>114</v>
      </c>
      <c r="P66">
        <v>103</v>
      </c>
      <c r="Q66">
        <v>14</v>
      </c>
      <c r="R66">
        <v>0</v>
      </c>
      <c r="S66">
        <v>92</v>
      </c>
      <c r="T66">
        <v>0</v>
      </c>
      <c r="U66">
        <v>0</v>
      </c>
    </row>
    <row r="67" spans="1:21" x14ac:dyDescent="0.25">
      <c r="A67" t="s">
        <v>438</v>
      </c>
      <c r="B67" t="s">
        <v>485</v>
      </c>
      <c r="C67">
        <v>1852</v>
      </c>
      <c r="D67">
        <v>2221</v>
      </c>
      <c r="E67">
        <v>793</v>
      </c>
      <c r="F67">
        <v>114</v>
      </c>
      <c r="G67">
        <v>94</v>
      </c>
      <c r="H67">
        <v>0</v>
      </c>
      <c r="I67">
        <v>13</v>
      </c>
      <c r="J67">
        <v>334</v>
      </c>
      <c r="K67">
        <v>0</v>
      </c>
      <c r="L67">
        <v>1196</v>
      </c>
      <c r="M67">
        <v>1741</v>
      </c>
      <c r="N67">
        <v>1082</v>
      </c>
      <c r="O67">
        <v>56</v>
      </c>
      <c r="P67">
        <v>36</v>
      </c>
      <c r="Q67">
        <v>125</v>
      </c>
      <c r="R67">
        <v>0</v>
      </c>
      <c r="S67">
        <v>4</v>
      </c>
      <c r="T67">
        <v>0</v>
      </c>
      <c r="U67">
        <v>0</v>
      </c>
    </row>
    <row r="68" spans="1:21" x14ac:dyDescent="0.25">
      <c r="A68" t="s">
        <v>439</v>
      </c>
      <c r="B68" t="s">
        <v>485</v>
      </c>
      <c r="C68">
        <v>319</v>
      </c>
      <c r="D68">
        <v>437</v>
      </c>
      <c r="E68">
        <v>157</v>
      </c>
      <c r="F68">
        <v>32</v>
      </c>
      <c r="G68">
        <v>14</v>
      </c>
      <c r="H68">
        <v>0</v>
      </c>
      <c r="I68">
        <v>0</v>
      </c>
      <c r="J68">
        <v>130</v>
      </c>
      <c r="K68">
        <v>0</v>
      </c>
      <c r="L68">
        <v>504</v>
      </c>
      <c r="M68">
        <v>501</v>
      </c>
      <c r="N68">
        <v>361</v>
      </c>
      <c r="O68">
        <v>27</v>
      </c>
      <c r="P68">
        <v>11</v>
      </c>
      <c r="Q68">
        <v>22</v>
      </c>
      <c r="R68">
        <v>0</v>
      </c>
      <c r="S68">
        <v>17</v>
      </c>
      <c r="T68">
        <v>0</v>
      </c>
      <c r="U68">
        <v>0</v>
      </c>
    </row>
    <row r="69" spans="1:21" x14ac:dyDescent="0.25">
      <c r="A69" t="s">
        <v>440</v>
      </c>
      <c r="B69" t="s">
        <v>485</v>
      </c>
      <c r="C69">
        <v>341</v>
      </c>
      <c r="D69">
        <v>178</v>
      </c>
      <c r="E69">
        <v>130</v>
      </c>
      <c r="F69">
        <v>19</v>
      </c>
      <c r="G69">
        <v>26</v>
      </c>
      <c r="H69">
        <v>0</v>
      </c>
      <c r="I69">
        <v>0</v>
      </c>
      <c r="J69">
        <v>87</v>
      </c>
      <c r="K69">
        <v>0</v>
      </c>
      <c r="L69">
        <v>119</v>
      </c>
      <c r="M69">
        <v>370</v>
      </c>
      <c r="N69">
        <v>149</v>
      </c>
      <c r="O69">
        <v>23</v>
      </c>
      <c r="P69">
        <v>43</v>
      </c>
      <c r="Q69">
        <v>0</v>
      </c>
      <c r="R69">
        <v>0</v>
      </c>
      <c r="S69">
        <v>60</v>
      </c>
      <c r="T69">
        <v>0</v>
      </c>
      <c r="U69">
        <v>0</v>
      </c>
    </row>
    <row r="70" spans="1:21" x14ac:dyDescent="0.25">
      <c r="A70" t="s">
        <v>441</v>
      </c>
      <c r="B70" t="s">
        <v>485</v>
      </c>
      <c r="C70">
        <v>15536</v>
      </c>
      <c r="D70">
        <v>3156</v>
      </c>
      <c r="E70">
        <v>1948</v>
      </c>
      <c r="F70">
        <v>455</v>
      </c>
      <c r="G70">
        <v>124</v>
      </c>
      <c r="H70">
        <v>0</v>
      </c>
      <c r="I70">
        <v>390</v>
      </c>
      <c r="J70">
        <v>530</v>
      </c>
      <c r="K70">
        <v>0</v>
      </c>
      <c r="L70">
        <v>3029</v>
      </c>
      <c r="M70">
        <v>1924</v>
      </c>
      <c r="N70">
        <v>580</v>
      </c>
      <c r="O70">
        <v>228</v>
      </c>
      <c r="P70">
        <v>82</v>
      </c>
      <c r="Q70">
        <v>484</v>
      </c>
      <c r="R70">
        <v>0</v>
      </c>
      <c r="S70">
        <v>6</v>
      </c>
      <c r="T70">
        <v>0</v>
      </c>
      <c r="U70">
        <v>0</v>
      </c>
    </row>
    <row r="71" spans="1:21" x14ac:dyDescent="0.25">
      <c r="A71" t="s">
        <v>442</v>
      </c>
      <c r="B71" t="s">
        <v>485</v>
      </c>
      <c r="C71">
        <v>456</v>
      </c>
      <c r="D71">
        <v>167</v>
      </c>
      <c r="E71">
        <v>85</v>
      </c>
      <c r="F71">
        <v>8</v>
      </c>
      <c r="G71">
        <v>12</v>
      </c>
      <c r="H71">
        <v>0</v>
      </c>
      <c r="I71">
        <v>0</v>
      </c>
      <c r="J71">
        <v>38</v>
      </c>
      <c r="K71">
        <v>0</v>
      </c>
      <c r="L71">
        <v>1351</v>
      </c>
      <c r="M71">
        <v>673</v>
      </c>
      <c r="N71">
        <v>562</v>
      </c>
      <c r="O71">
        <v>56</v>
      </c>
      <c r="P71">
        <v>32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488</v>
      </c>
      <c r="B72" t="s">
        <v>486</v>
      </c>
      <c r="C72">
        <v>584</v>
      </c>
      <c r="D72">
        <v>287</v>
      </c>
      <c r="E72">
        <v>124</v>
      </c>
      <c r="F72">
        <v>92</v>
      </c>
      <c r="G72">
        <v>24</v>
      </c>
      <c r="H72">
        <v>0</v>
      </c>
      <c r="I72">
        <v>0</v>
      </c>
      <c r="J72">
        <v>118</v>
      </c>
      <c r="K72">
        <v>0</v>
      </c>
      <c r="L72">
        <v>255</v>
      </c>
      <c r="M72">
        <v>401</v>
      </c>
      <c r="N72">
        <v>113</v>
      </c>
      <c r="O72">
        <v>23</v>
      </c>
      <c r="P72">
        <v>28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t="s">
        <v>443</v>
      </c>
      <c r="B73" t="s">
        <v>486</v>
      </c>
      <c r="C73">
        <v>501</v>
      </c>
      <c r="D73">
        <v>248</v>
      </c>
      <c r="E73">
        <v>285</v>
      </c>
      <c r="F73">
        <v>26</v>
      </c>
      <c r="G73">
        <v>19</v>
      </c>
      <c r="H73">
        <v>0</v>
      </c>
      <c r="I73">
        <v>0</v>
      </c>
      <c r="J73">
        <v>163</v>
      </c>
      <c r="K73">
        <v>0</v>
      </c>
      <c r="L73">
        <v>265</v>
      </c>
      <c r="M73">
        <v>173</v>
      </c>
      <c r="N73">
        <v>268</v>
      </c>
      <c r="O73">
        <v>7</v>
      </c>
      <c r="P73">
        <v>7</v>
      </c>
      <c r="Q73">
        <v>0</v>
      </c>
      <c r="R73">
        <v>0</v>
      </c>
      <c r="S73">
        <v>454</v>
      </c>
      <c r="T73">
        <v>0</v>
      </c>
      <c r="U73">
        <v>0</v>
      </c>
    </row>
    <row r="74" spans="1:21" x14ac:dyDescent="0.25">
      <c r="A74" t="s">
        <v>444</v>
      </c>
      <c r="B74" t="s">
        <v>486</v>
      </c>
      <c r="C74">
        <v>1533</v>
      </c>
      <c r="D74">
        <v>304</v>
      </c>
      <c r="E74">
        <v>341</v>
      </c>
      <c r="F74">
        <v>55</v>
      </c>
      <c r="G74">
        <v>28</v>
      </c>
      <c r="H74">
        <v>0</v>
      </c>
      <c r="I74">
        <v>0</v>
      </c>
      <c r="J74">
        <v>251</v>
      </c>
      <c r="K74">
        <v>6</v>
      </c>
      <c r="L74">
        <v>931</v>
      </c>
      <c r="M74">
        <v>681</v>
      </c>
      <c r="N74">
        <v>307</v>
      </c>
      <c r="O74">
        <v>39</v>
      </c>
      <c r="P74">
        <v>45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t="s">
        <v>479</v>
      </c>
      <c r="B75" t="s">
        <v>486</v>
      </c>
      <c r="C75">
        <v>4874</v>
      </c>
      <c r="D75">
        <v>4893</v>
      </c>
      <c r="E75">
        <v>1702</v>
      </c>
      <c r="F75">
        <v>84</v>
      </c>
      <c r="G75">
        <v>246</v>
      </c>
      <c r="H75">
        <v>0</v>
      </c>
      <c r="I75">
        <v>0</v>
      </c>
      <c r="J75">
        <v>338</v>
      </c>
      <c r="K75">
        <v>0</v>
      </c>
      <c r="L75">
        <v>1254</v>
      </c>
      <c r="M75">
        <v>2062</v>
      </c>
      <c r="N75">
        <v>898</v>
      </c>
      <c r="O75">
        <v>38</v>
      </c>
      <c r="P75">
        <v>85</v>
      </c>
      <c r="Q75">
        <v>68</v>
      </c>
      <c r="R75">
        <v>0</v>
      </c>
      <c r="S75">
        <v>2</v>
      </c>
      <c r="T75">
        <v>0</v>
      </c>
      <c r="U75">
        <v>0</v>
      </c>
    </row>
    <row r="76" spans="1:21" x14ac:dyDescent="0.25">
      <c r="A76" t="s">
        <v>445</v>
      </c>
      <c r="B76" t="s">
        <v>486</v>
      </c>
      <c r="C76">
        <v>473</v>
      </c>
      <c r="D76">
        <v>309</v>
      </c>
      <c r="E76">
        <v>186</v>
      </c>
      <c r="F76">
        <v>23</v>
      </c>
      <c r="G76">
        <v>14</v>
      </c>
      <c r="H76">
        <v>0</v>
      </c>
      <c r="I76">
        <v>0</v>
      </c>
      <c r="J76">
        <v>84</v>
      </c>
      <c r="K76">
        <v>0</v>
      </c>
      <c r="L76">
        <v>256</v>
      </c>
      <c r="M76">
        <v>318</v>
      </c>
      <c r="N76">
        <v>150</v>
      </c>
      <c r="O76">
        <v>3</v>
      </c>
      <c r="P76">
        <v>16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t="s">
        <v>446</v>
      </c>
      <c r="B77" t="s">
        <v>486</v>
      </c>
      <c r="C77">
        <v>783</v>
      </c>
      <c r="D77">
        <v>527</v>
      </c>
      <c r="E77">
        <v>363</v>
      </c>
      <c r="F77">
        <v>24</v>
      </c>
      <c r="G77">
        <v>14</v>
      </c>
      <c r="H77">
        <v>0</v>
      </c>
      <c r="I77">
        <v>0</v>
      </c>
      <c r="J77">
        <v>198</v>
      </c>
      <c r="K77">
        <v>0</v>
      </c>
      <c r="L77">
        <v>785</v>
      </c>
      <c r="M77">
        <v>973</v>
      </c>
      <c r="N77">
        <v>448</v>
      </c>
      <c r="O77">
        <v>66</v>
      </c>
      <c r="P77">
        <v>29</v>
      </c>
      <c r="Q77">
        <v>0</v>
      </c>
      <c r="R77">
        <v>0</v>
      </c>
      <c r="S77">
        <v>4</v>
      </c>
      <c r="T77">
        <v>0</v>
      </c>
      <c r="U77">
        <v>0</v>
      </c>
    </row>
    <row r="78" spans="1:21" x14ac:dyDescent="0.25">
      <c r="A78" t="s">
        <v>447</v>
      </c>
      <c r="B78" t="s">
        <v>486</v>
      </c>
      <c r="C78">
        <v>1008</v>
      </c>
      <c r="D78">
        <v>434</v>
      </c>
      <c r="E78">
        <v>430</v>
      </c>
      <c r="F78">
        <v>32</v>
      </c>
      <c r="G78">
        <v>49</v>
      </c>
      <c r="H78">
        <v>0</v>
      </c>
      <c r="I78">
        <v>20</v>
      </c>
      <c r="J78">
        <v>27</v>
      </c>
      <c r="K78">
        <v>0</v>
      </c>
      <c r="L78">
        <v>619</v>
      </c>
      <c r="M78">
        <v>580</v>
      </c>
      <c r="N78">
        <v>300</v>
      </c>
      <c r="O78">
        <v>16</v>
      </c>
      <c r="P78">
        <v>9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 t="s">
        <v>448</v>
      </c>
      <c r="B79" t="s">
        <v>486</v>
      </c>
      <c r="C79">
        <v>2037</v>
      </c>
      <c r="D79">
        <v>874</v>
      </c>
      <c r="E79">
        <v>805</v>
      </c>
      <c r="F79">
        <v>27</v>
      </c>
      <c r="G79">
        <v>41</v>
      </c>
      <c r="H79">
        <v>118</v>
      </c>
      <c r="I79">
        <v>0</v>
      </c>
      <c r="J79">
        <v>294</v>
      </c>
      <c r="K79">
        <v>0</v>
      </c>
      <c r="L79">
        <v>1389</v>
      </c>
      <c r="M79">
        <v>1632</v>
      </c>
      <c r="N79">
        <v>951</v>
      </c>
      <c r="O79">
        <v>50</v>
      </c>
      <c r="P79">
        <v>79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t="s">
        <v>449</v>
      </c>
      <c r="B80" t="s">
        <v>486</v>
      </c>
      <c r="C80">
        <v>766</v>
      </c>
      <c r="D80">
        <v>441</v>
      </c>
      <c r="E80">
        <v>341</v>
      </c>
      <c r="F80">
        <v>56</v>
      </c>
      <c r="G80">
        <v>50</v>
      </c>
      <c r="H80">
        <v>0</v>
      </c>
      <c r="I80">
        <v>59</v>
      </c>
      <c r="J80">
        <v>166</v>
      </c>
      <c r="K80">
        <v>0</v>
      </c>
      <c r="L80">
        <v>605</v>
      </c>
      <c r="M80">
        <v>912</v>
      </c>
      <c r="N80">
        <v>386</v>
      </c>
      <c r="O80">
        <v>65</v>
      </c>
      <c r="P80">
        <v>19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t="s">
        <v>450</v>
      </c>
      <c r="B81" t="s">
        <v>486</v>
      </c>
      <c r="C81">
        <v>1487</v>
      </c>
      <c r="D81">
        <v>856</v>
      </c>
      <c r="E81">
        <v>638</v>
      </c>
      <c r="F81">
        <v>38</v>
      </c>
      <c r="G81">
        <v>48</v>
      </c>
      <c r="H81">
        <v>0</v>
      </c>
      <c r="I81">
        <v>4</v>
      </c>
      <c r="J81">
        <v>62</v>
      </c>
      <c r="K81">
        <v>0</v>
      </c>
      <c r="L81">
        <v>802</v>
      </c>
      <c r="M81">
        <v>1203</v>
      </c>
      <c r="N81">
        <v>508</v>
      </c>
      <c r="O81">
        <v>71</v>
      </c>
      <c r="P81">
        <v>38</v>
      </c>
      <c r="Q81">
        <v>26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t="s">
        <v>451</v>
      </c>
      <c r="B82" t="s">
        <v>486</v>
      </c>
      <c r="C82">
        <v>1838</v>
      </c>
      <c r="D82">
        <v>394</v>
      </c>
      <c r="E82">
        <v>482</v>
      </c>
      <c r="F82">
        <v>70</v>
      </c>
      <c r="G82">
        <v>42</v>
      </c>
      <c r="H82">
        <v>0</v>
      </c>
      <c r="I82">
        <v>2</v>
      </c>
      <c r="J82">
        <v>247</v>
      </c>
      <c r="K82">
        <v>0</v>
      </c>
      <c r="L82">
        <v>726</v>
      </c>
      <c r="M82">
        <v>596</v>
      </c>
      <c r="N82">
        <v>348</v>
      </c>
      <c r="O82">
        <v>50</v>
      </c>
      <c r="P82">
        <v>17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t="s">
        <v>452</v>
      </c>
      <c r="B83" t="s">
        <v>486</v>
      </c>
      <c r="C83">
        <v>1210</v>
      </c>
      <c r="D83">
        <v>759</v>
      </c>
      <c r="E83">
        <v>383</v>
      </c>
      <c r="F83">
        <v>70</v>
      </c>
      <c r="G83">
        <v>49</v>
      </c>
      <c r="H83">
        <v>0</v>
      </c>
      <c r="I83">
        <v>0</v>
      </c>
      <c r="J83">
        <v>216</v>
      </c>
      <c r="K83">
        <v>0</v>
      </c>
      <c r="L83">
        <v>558</v>
      </c>
      <c r="M83">
        <v>992</v>
      </c>
      <c r="N83">
        <v>349</v>
      </c>
      <c r="O83">
        <v>19</v>
      </c>
      <c r="P83">
        <v>54</v>
      </c>
      <c r="Q83">
        <v>24</v>
      </c>
      <c r="R83">
        <v>0</v>
      </c>
      <c r="S83">
        <v>6</v>
      </c>
      <c r="T83">
        <v>0</v>
      </c>
      <c r="U83">
        <v>0</v>
      </c>
    </row>
    <row r="84" spans="1:21" x14ac:dyDescent="0.25">
      <c r="A84" t="s">
        <v>453</v>
      </c>
      <c r="B84" t="s">
        <v>486</v>
      </c>
      <c r="C84">
        <v>8083</v>
      </c>
      <c r="D84">
        <v>5759</v>
      </c>
      <c r="E84">
        <v>4457</v>
      </c>
      <c r="F84">
        <v>108</v>
      </c>
      <c r="G84">
        <v>124</v>
      </c>
      <c r="H84">
        <v>9</v>
      </c>
      <c r="I84">
        <v>0</v>
      </c>
      <c r="J84">
        <v>268</v>
      </c>
      <c r="K84">
        <v>0</v>
      </c>
      <c r="L84">
        <v>1480</v>
      </c>
      <c r="M84">
        <v>2774</v>
      </c>
      <c r="N84">
        <v>1377</v>
      </c>
      <c r="O84">
        <v>30</v>
      </c>
      <c r="P84">
        <v>50</v>
      </c>
      <c r="Q84">
        <v>144</v>
      </c>
      <c r="R84">
        <v>0</v>
      </c>
      <c r="S84">
        <v>53</v>
      </c>
      <c r="T84">
        <v>0</v>
      </c>
      <c r="U84">
        <v>0</v>
      </c>
    </row>
    <row r="85" spans="1:21" x14ac:dyDescent="0.25">
      <c r="A85" t="s">
        <v>454</v>
      </c>
      <c r="B85" t="s">
        <v>486</v>
      </c>
      <c r="C85">
        <v>3205</v>
      </c>
      <c r="D85">
        <v>1275</v>
      </c>
      <c r="E85">
        <v>1049</v>
      </c>
      <c r="F85">
        <v>142</v>
      </c>
      <c r="G85">
        <v>28</v>
      </c>
      <c r="H85">
        <v>0</v>
      </c>
      <c r="I85">
        <v>3</v>
      </c>
      <c r="J85">
        <v>158</v>
      </c>
      <c r="K85">
        <v>0</v>
      </c>
      <c r="L85">
        <v>855</v>
      </c>
      <c r="M85">
        <v>1743</v>
      </c>
      <c r="N85">
        <v>941</v>
      </c>
      <c r="O85">
        <v>25</v>
      </c>
      <c r="P85">
        <v>8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t="s">
        <v>455</v>
      </c>
      <c r="B86" t="s">
        <v>486</v>
      </c>
      <c r="C86">
        <v>3582</v>
      </c>
      <c r="D86">
        <v>1870</v>
      </c>
      <c r="E86">
        <v>1601</v>
      </c>
      <c r="F86">
        <v>54</v>
      </c>
      <c r="G86">
        <v>55</v>
      </c>
      <c r="H86">
        <v>111</v>
      </c>
      <c r="I86">
        <v>70</v>
      </c>
      <c r="J86">
        <v>434</v>
      </c>
      <c r="K86">
        <v>0</v>
      </c>
      <c r="L86">
        <v>1578</v>
      </c>
      <c r="M86">
        <v>2552</v>
      </c>
      <c r="N86">
        <v>1135</v>
      </c>
      <c r="O86">
        <v>80</v>
      </c>
      <c r="P86">
        <v>46</v>
      </c>
      <c r="Q86">
        <v>7</v>
      </c>
      <c r="R86">
        <v>0</v>
      </c>
      <c r="S86">
        <v>7</v>
      </c>
      <c r="T86">
        <v>0</v>
      </c>
      <c r="U86">
        <v>0</v>
      </c>
    </row>
    <row r="88" spans="1:21" x14ac:dyDescent="0.25">
      <c r="C88" s="394">
        <f>SUM(C2:C87)</f>
        <v>168723</v>
      </c>
      <c r="D88" s="394">
        <f t="shared" ref="D88:U88" si="0">SUM(D2:D87)</f>
        <v>76052</v>
      </c>
      <c r="E88" s="394">
        <f t="shared" si="0"/>
        <v>59856</v>
      </c>
      <c r="F88" s="394">
        <f t="shared" si="0"/>
        <v>4367</v>
      </c>
      <c r="G88" s="394">
        <f t="shared" si="0"/>
        <v>4036</v>
      </c>
      <c r="H88" s="394">
        <f t="shared" si="0"/>
        <v>750</v>
      </c>
      <c r="I88" s="394">
        <f t="shared" si="0"/>
        <v>4852</v>
      </c>
      <c r="J88" s="394">
        <f t="shared" si="0"/>
        <v>33490</v>
      </c>
      <c r="K88" s="394">
        <f t="shared" si="0"/>
        <v>1027</v>
      </c>
      <c r="L88" s="394">
        <f t="shared" si="0"/>
        <v>56956</v>
      </c>
      <c r="M88" s="394">
        <f t="shared" si="0"/>
        <v>66637</v>
      </c>
      <c r="N88" s="394">
        <f t="shared" si="0"/>
        <v>35585</v>
      </c>
      <c r="O88" s="394">
        <f t="shared" si="0"/>
        <v>3239</v>
      </c>
      <c r="P88" s="394">
        <f t="shared" si="0"/>
        <v>2531</v>
      </c>
      <c r="Q88" s="394">
        <f t="shared" si="0"/>
        <v>3450</v>
      </c>
      <c r="R88" s="394">
        <f t="shared" si="0"/>
        <v>76</v>
      </c>
      <c r="S88" s="394">
        <f t="shared" si="0"/>
        <v>4491</v>
      </c>
      <c r="T88" s="394">
        <f t="shared" si="0"/>
        <v>245</v>
      </c>
      <c r="U88" s="394">
        <f t="shared" si="0"/>
        <v>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N114"/>
  <sheetViews>
    <sheetView showZeros="0" zoomScale="79" zoomScaleNormal="79" zoomScaleSheetLayoutView="50" workbookViewId="0">
      <pane xSplit="2" ySplit="5" topLeftCell="L6" activePane="bottomRight" state="frozen"/>
      <selection activeCell="B33" sqref="B33"/>
      <selection pane="topRight" activeCell="B33" sqref="B33"/>
      <selection pane="bottomLeft" activeCell="B33" sqref="B33"/>
      <selection pane="bottomRight" activeCell="C56" sqref="C56:C71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8" width="11.44140625" customWidth="1"/>
    <col min="9" max="9" width="11.33203125" customWidth="1"/>
    <col min="10" max="10" width="11.5546875" customWidth="1"/>
    <col min="11" max="11" width="14" customWidth="1"/>
    <col min="12" max="12" width="13.5546875" customWidth="1"/>
    <col min="13" max="13" width="13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14.5546875" customWidth="1"/>
    <col min="21" max="21" width="14" customWidth="1"/>
    <col min="22" max="22" width="13.5546875" customWidth="1"/>
    <col min="23" max="23" width="17.5546875" style="244" customWidth="1"/>
    <col min="24" max="25" width="15.109375" customWidth="1"/>
    <col min="26" max="26" width="15.5546875" bestFit="1" customWidth="1"/>
    <col min="27" max="27" width="13.109375" bestFit="1" customWidth="1"/>
    <col min="28" max="28" width="7.109375" bestFit="1" customWidth="1"/>
    <col min="29" max="29" width="15" customWidth="1"/>
  </cols>
  <sheetData>
    <row r="1" spans="1:40" s="111" customFormat="1" ht="22.8" x14ac:dyDescent="0.35">
      <c r="B1" s="544"/>
      <c r="C1" s="546" t="s">
        <v>263</v>
      </c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6"/>
      <c r="S1" s="546"/>
      <c r="T1" s="546"/>
      <c r="U1" s="546"/>
      <c r="V1" s="546"/>
      <c r="W1" s="546"/>
      <c r="X1" s="546"/>
      <c r="Y1" s="546"/>
      <c r="Z1" s="546"/>
      <c r="AC1"/>
      <c r="AD1"/>
      <c r="AE1"/>
      <c r="AF1"/>
      <c r="AG1"/>
      <c r="AH1"/>
      <c r="AI1"/>
      <c r="AJ1"/>
      <c r="AK1"/>
      <c r="AL1"/>
      <c r="AM1"/>
      <c r="AN1"/>
    </row>
    <row r="2" spans="1:40" s="111" customFormat="1" ht="22.8" x14ac:dyDescent="0.35">
      <c r="B2" s="544"/>
      <c r="C2" s="550"/>
      <c r="D2" s="550"/>
      <c r="E2" s="550"/>
      <c r="F2" s="550"/>
      <c r="G2" s="550"/>
      <c r="H2" s="550"/>
      <c r="I2" s="550"/>
      <c r="J2" s="550"/>
      <c r="K2" s="550"/>
      <c r="L2" s="550"/>
      <c r="M2" s="550"/>
      <c r="N2" s="550"/>
      <c r="O2" s="550"/>
      <c r="P2" s="550"/>
      <c r="Q2" s="550"/>
      <c r="R2" s="550"/>
      <c r="S2" s="550"/>
      <c r="T2" s="550"/>
      <c r="U2" s="550"/>
      <c r="V2" s="550"/>
      <c r="W2" s="550"/>
      <c r="X2" s="550"/>
      <c r="Y2" s="550"/>
      <c r="Z2" s="550"/>
      <c r="AC2"/>
      <c r="AD2"/>
      <c r="AE2"/>
      <c r="AF2"/>
      <c r="AG2"/>
      <c r="AH2"/>
      <c r="AI2"/>
      <c r="AJ2"/>
      <c r="AK2"/>
      <c r="AL2"/>
      <c r="AM2"/>
      <c r="AN2"/>
    </row>
    <row r="3" spans="1:40" s="111" customFormat="1" ht="21" thickBot="1" x14ac:dyDescent="0.4">
      <c r="B3" s="545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242"/>
      <c r="X3" s="116"/>
      <c r="Y3" s="116"/>
      <c r="Z3" s="116"/>
      <c r="AC3"/>
      <c r="AD3"/>
      <c r="AE3"/>
      <c r="AF3"/>
      <c r="AG3"/>
      <c r="AH3"/>
      <c r="AI3"/>
      <c r="AJ3"/>
      <c r="AK3"/>
      <c r="AL3"/>
      <c r="AM3"/>
      <c r="AN3"/>
    </row>
    <row r="4" spans="1:40" ht="21" customHeight="1" thickTop="1" thickBot="1" x14ac:dyDescent="0.3">
      <c r="A4" s="145"/>
      <c r="B4" s="167"/>
      <c r="C4" s="547" t="s">
        <v>253</v>
      </c>
      <c r="D4" s="548"/>
      <c r="E4" s="548"/>
      <c r="F4" s="548"/>
      <c r="G4" s="548"/>
      <c r="H4" s="548"/>
      <c r="I4" s="548"/>
      <c r="J4" s="548"/>
      <c r="K4" s="548"/>
      <c r="L4" s="549"/>
      <c r="M4" s="547" t="s">
        <v>262</v>
      </c>
      <c r="N4" s="548"/>
      <c r="O4" s="548"/>
      <c r="P4" s="548"/>
      <c r="Q4" s="548"/>
      <c r="R4" s="548"/>
      <c r="S4" s="548"/>
      <c r="T4" s="548"/>
      <c r="U4" s="548"/>
      <c r="V4" s="548"/>
      <c r="W4" s="277"/>
      <c r="X4" s="551" t="s">
        <v>472</v>
      </c>
      <c r="Y4" s="552"/>
      <c r="Z4" s="271"/>
      <c r="AA4" s="202"/>
    </row>
    <row r="5" spans="1:40" ht="45" customHeight="1" thickBot="1" x14ac:dyDescent="0.3">
      <c r="A5" s="146" t="s">
        <v>360</v>
      </c>
      <c r="B5" s="168" t="s">
        <v>456</v>
      </c>
      <c r="C5" s="478" t="s">
        <v>254</v>
      </c>
      <c r="D5" s="479" t="s">
        <v>219</v>
      </c>
      <c r="E5" s="477" t="s">
        <v>255</v>
      </c>
      <c r="F5" s="477" t="s">
        <v>256</v>
      </c>
      <c r="G5" s="477" t="s">
        <v>257</v>
      </c>
      <c r="H5" s="477" t="s">
        <v>258</v>
      </c>
      <c r="I5" s="477" t="s">
        <v>259</v>
      </c>
      <c r="J5" s="477" t="s">
        <v>260</v>
      </c>
      <c r="K5" s="477" t="s">
        <v>261</v>
      </c>
      <c r="L5" s="487" t="s">
        <v>208</v>
      </c>
      <c r="M5" s="397" t="s">
        <v>254</v>
      </c>
      <c r="N5" s="316" t="s">
        <v>219</v>
      </c>
      <c r="O5" s="317" t="s">
        <v>255</v>
      </c>
      <c r="P5" s="318" t="s">
        <v>256</v>
      </c>
      <c r="Q5" s="318" t="s">
        <v>257</v>
      </c>
      <c r="R5" s="318" t="s">
        <v>258</v>
      </c>
      <c r="S5" s="318" t="s">
        <v>259</v>
      </c>
      <c r="T5" s="318" t="s">
        <v>260</v>
      </c>
      <c r="U5" s="319" t="s">
        <v>261</v>
      </c>
      <c r="V5" s="398" t="s">
        <v>208</v>
      </c>
      <c r="W5" s="294" t="s">
        <v>266</v>
      </c>
      <c r="X5" s="203" t="s">
        <v>473</v>
      </c>
      <c r="Y5" s="203" t="s">
        <v>474</v>
      </c>
      <c r="Z5" s="213" t="s">
        <v>264</v>
      </c>
      <c r="AA5" s="287" t="s">
        <v>267</v>
      </c>
    </row>
    <row r="6" spans="1:40" ht="15" customHeight="1" x14ac:dyDescent="0.25">
      <c r="A6" s="136" t="s">
        <v>68</v>
      </c>
      <c r="B6" s="279" t="s">
        <v>268</v>
      </c>
      <c r="C6" s="230">
        <v>1419</v>
      </c>
      <c r="D6" s="230">
        <v>244</v>
      </c>
      <c r="E6" s="230">
        <v>553</v>
      </c>
      <c r="F6" s="230">
        <v>21</v>
      </c>
      <c r="G6" s="230">
        <v>11</v>
      </c>
      <c r="H6" s="230">
        <v>0</v>
      </c>
      <c r="I6" s="230">
        <v>0</v>
      </c>
      <c r="J6" s="230">
        <v>54</v>
      </c>
      <c r="K6" s="230">
        <v>0</v>
      </c>
      <c r="L6" s="234">
        <f>SUM(C6:K6)</f>
        <v>2302</v>
      </c>
      <c r="M6" s="230">
        <v>169</v>
      </c>
      <c r="N6" s="230">
        <v>139</v>
      </c>
      <c r="O6" s="230">
        <v>60</v>
      </c>
      <c r="P6" s="230">
        <v>13</v>
      </c>
      <c r="Q6" s="230">
        <v>0</v>
      </c>
      <c r="R6" s="230">
        <v>48</v>
      </c>
      <c r="S6" s="230">
        <v>0</v>
      </c>
      <c r="T6" s="230">
        <v>167</v>
      </c>
      <c r="U6" s="230"/>
      <c r="V6" s="230">
        <f>SUM(M6:U6)</f>
        <v>596</v>
      </c>
      <c r="W6" s="298">
        <v>534</v>
      </c>
      <c r="X6" s="211"/>
      <c r="Y6" s="211"/>
      <c r="Z6" s="281">
        <f>L6+V6+W6+X6+Y6</f>
        <v>3432</v>
      </c>
      <c r="AA6" s="218">
        <f>C6+D6+F6+K6+M6+N6+P6+U6</f>
        <v>2005</v>
      </c>
    </row>
    <row r="7" spans="1:40" ht="15" customHeight="1" x14ac:dyDescent="0.25">
      <c r="A7" s="136" t="s">
        <v>69</v>
      </c>
      <c r="B7" s="137" t="s">
        <v>269</v>
      </c>
      <c r="C7" s="230">
        <v>214</v>
      </c>
      <c r="D7" s="230">
        <v>105</v>
      </c>
      <c r="E7" s="230">
        <v>10</v>
      </c>
      <c r="F7" s="230">
        <v>4</v>
      </c>
      <c r="G7" s="230">
        <v>2</v>
      </c>
      <c r="H7" s="230">
        <v>0</v>
      </c>
      <c r="I7" s="230">
        <v>9</v>
      </c>
      <c r="J7" s="230">
        <v>228</v>
      </c>
      <c r="K7" s="230">
        <v>0</v>
      </c>
      <c r="L7" s="234">
        <f t="shared" ref="L7:L22" si="0">SUM(C7:K7)</f>
        <v>572</v>
      </c>
      <c r="M7" s="230">
        <v>27</v>
      </c>
      <c r="N7" s="230">
        <v>28</v>
      </c>
      <c r="O7" s="230">
        <v>2</v>
      </c>
      <c r="P7" s="230">
        <v>0</v>
      </c>
      <c r="Q7" s="230">
        <v>2</v>
      </c>
      <c r="R7" s="230">
        <v>0</v>
      </c>
      <c r="S7" s="230">
        <v>0</v>
      </c>
      <c r="T7" s="230">
        <v>2</v>
      </c>
      <c r="U7" s="230"/>
      <c r="V7" s="230">
        <f t="shared" ref="V7:V22" si="1">SUM(M7:U7)</f>
        <v>61</v>
      </c>
      <c r="W7" s="246"/>
      <c r="X7" s="248"/>
      <c r="Y7" s="248"/>
      <c r="Z7" s="247">
        <f t="shared" ref="Z7:Z70" si="2">L7+V7+W7+X7+Y7</f>
        <v>633</v>
      </c>
      <c r="AA7" s="215">
        <f>C7+D7+F7+K7+M7+N7+P7+U7</f>
        <v>378</v>
      </c>
    </row>
    <row r="8" spans="1:40" ht="15" customHeight="1" x14ac:dyDescent="0.25">
      <c r="A8" s="137" t="s">
        <v>73</v>
      </c>
      <c r="B8" s="418" t="s">
        <v>270</v>
      </c>
      <c r="C8" s="230">
        <v>19</v>
      </c>
      <c r="D8" s="230">
        <v>5</v>
      </c>
      <c r="E8" s="459">
        <v>0</v>
      </c>
      <c r="F8" s="230">
        <v>0</v>
      </c>
      <c r="G8" s="230">
        <v>0</v>
      </c>
      <c r="H8" s="230">
        <v>0</v>
      </c>
      <c r="I8" s="230">
        <v>0</v>
      </c>
      <c r="J8" s="230">
        <v>6</v>
      </c>
      <c r="K8" s="230">
        <v>0</v>
      </c>
      <c r="L8" s="232">
        <f t="shared" si="0"/>
        <v>30</v>
      </c>
      <c r="M8" s="230">
        <v>65</v>
      </c>
      <c r="N8" s="230">
        <v>21</v>
      </c>
      <c r="O8" s="230">
        <v>0</v>
      </c>
      <c r="P8" s="230">
        <v>0</v>
      </c>
      <c r="Q8" s="230">
        <v>0</v>
      </c>
      <c r="R8" s="230">
        <v>0</v>
      </c>
      <c r="S8" s="230">
        <v>0</v>
      </c>
      <c r="T8" s="230">
        <v>10</v>
      </c>
      <c r="U8" s="230"/>
      <c r="V8" s="230">
        <f t="shared" si="1"/>
        <v>96</v>
      </c>
      <c r="W8" s="299"/>
      <c r="X8" s="204"/>
      <c r="Y8" s="204"/>
      <c r="Z8" s="247">
        <f t="shared" si="2"/>
        <v>126</v>
      </c>
      <c r="AA8" s="215">
        <f>C8+D8+F8+K8+M8+N8+P8+U8</f>
        <v>110</v>
      </c>
    </row>
    <row r="9" spans="1:40" ht="15" customHeight="1" x14ac:dyDescent="0.25">
      <c r="A9" s="137" t="s">
        <v>74</v>
      </c>
      <c r="B9" s="418" t="s">
        <v>358</v>
      </c>
      <c r="C9" s="128"/>
      <c r="D9" s="128"/>
      <c r="E9" s="128"/>
      <c r="F9" s="128"/>
      <c r="G9" s="128"/>
      <c r="H9" s="128"/>
      <c r="I9" s="128"/>
      <c r="J9" s="128"/>
      <c r="K9" s="128"/>
      <c r="L9" s="232">
        <f t="shared" si="0"/>
        <v>0</v>
      </c>
      <c r="M9" s="147"/>
      <c r="N9" s="147"/>
      <c r="O9" s="147"/>
      <c r="P9" s="147"/>
      <c r="Q9" s="147"/>
      <c r="R9" s="147"/>
      <c r="S9" s="147"/>
      <c r="T9" s="147"/>
      <c r="U9" s="147"/>
      <c r="V9" s="230">
        <f t="shared" si="1"/>
        <v>0</v>
      </c>
      <c r="W9" s="299">
        <v>15437</v>
      </c>
      <c r="X9" s="204"/>
      <c r="Y9" s="204"/>
      <c r="Z9" s="247">
        <f t="shared" si="2"/>
        <v>15437</v>
      </c>
      <c r="AA9" s="215">
        <f>C9+D9+F9+K9+M9+N9+P9+U9</f>
        <v>0</v>
      </c>
    </row>
    <row r="10" spans="1:40" ht="15" customHeight="1" x14ac:dyDescent="0.25">
      <c r="A10" s="137" t="s">
        <v>94</v>
      </c>
      <c r="B10" s="418" t="s">
        <v>271</v>
      </c>
      <c r="C10" s="230">
        <v>718</v>
      </c>
      <c r="D10" s="230">
        <v>427</v>
      </c>
      <c r="E10" s="230">
        <v>133</v>
      </c>
      <c r="F10" s="230">
        <v>57</v>
      </c>
      <c r="G10" s="230">
        <v>21</v>
      </c>
      <c r="H10" s="230">
        <v>16</v>
      </c>
      <c r="I10" s="230">
        <v>19</v>
      </c>
      <c r="J10" s="230">
        <v>202</v>
      </c>
      <c r="K10" s="230">
        <v>0</v>
      </c>
      <c r="L10" s="232">
        <f t="shared" si="0"/>
        <v>1593</v>
      </c>
      <c r="M10" s="230">
        <v>636</v>
      </c>
      <c r="N10" s="230">
        <v>1805</v>
      </c>
      <c r="O10" s="230">
        <v>279</v>
      </c>
      <c r="P10" s="230">
        <v>118</v>
      </c>
      <c r="Q10" s="230">
        <v>28</v>
      </c>
      <c r="R10" s="230">
        <v>0</v>
      </c>
      <c r="S10" s="230">
        <v>164</v>
      </c>
      <c r="T10" s="230">
        <v>225</v>
      </c>
      <c r="U10" s="230"/>
      <c r="V10" s="230">
        <f t="shared" si="1"/>
        <v>3255</v>
      </c>
      <c r="W10" s="299">
        <v>980</v>
      </c>
      <c r="X10" s="204"/>
      <c r="Y10" s="204"/>
      <c r="Z10" s="247">
        <f t="shared" si="2"/>
        <v>5828</v>
      </c>
      <c r="AA10" s="215">
        <f t="shared" ref="AA10:AA22" si="3">C10+D10+F10+K10+M10+N10+P10+U10</f>
        <v>3761</v>
      </c>
    </row>
    <row r="11" spans="1:40" ht="15" customHeight="1" x14ac:dyDescent="0.25">
      <c r="A11" s="137" t="s">
        <v>95</v>
      </c>
      <c r="B11" s="418" t="s">
        <v>272</v>
      </c>
      <c r="C11" s="230">
        <v>0</v>
      </c>
      <c r="D11" s="230">
        <v>0</v>
      </c>
      <c r="E11" s="230">
        <v>18</v>
      </c>
      <c r="F11" s="230">
        <v>0</v>
      </c>
      <c r="G11" s="230">
        <v>0</v>
      </c>
      <c r="H11" s="230">
        <v>0</v>
      </c>
      <c r="I11" s="230">
        <v>0</v>
      </c>
      <c r="J11" s="230">
        <v>174</v>
      </c>
      <c r="K11" s="230">
        <v>0</v>
      </c>
      <c r="L11" s="232">
        <f t="shared" si="0"/>
        <v>192</v>
      </c>
      <c r="M11" s="230">
        <v>0</v>
      </c>
      <c r="N11" s="230">
        <v>0</v>
      </c>
      <c r="O11" s="230">
        <v>4</v>
      </c>
      <c r="P11" s="230">
        <v>0</v>
      </c>
      <c r="Q11" s="230">
        <v>0</v>
      </c>
      <c r="R11" s="230">
        <v>0</v>
      </c>
      <c r="S11" s="230">
        <v>0</v>
      </c>
      <c r="T11" s="230">
        <v>196</v>
      </c>
      <c r="U11" s="230">
        <v>0</v>
      </c>
      <c r="V11" s="230">
        <f t="shared" si="1"/>
        <v>200</v>
      </c>
      <c r="W11" s="246"/>
      <c r="X11" s="248"/>
      <c r="Y11" s="204"/>
      <c r="Z11" s="247">
        <f t="shared" si="2"/>
        <v>392</v>
      </c>
      <c r="AA11" s="215">
        <f t="shared" si="3"/>
        <v>0</v>
      </c>
    </row>
    <row r="12" spans="1:40" ht="15" customHeight="1" x14ac:dyDescent="0.25">
      <c r="A12" s="137" t="s">
        <v>361</v>
      </c>
      <c r="B12" s="418" t="s">
        <v>355</v>
      </c>
      <c r="C12" s="128"/>
      <c r="D12" s="128"/>
      <c r="E12" s="128"/>
      <c r="F12" s="128"/>
      <c r="G12" s="128"/>
      <c r="H12" s="128"/>
      <c r="I12" s="128"/>
      <c r="J12" s="128"/>
      <c r="K12" s="128"/>
      <c r="L12" s="232">
        <f t="shared" si="0"/>
        <v>0</v>
      </c>
      <c r="M12" s="230"/>
      <c r="N12" s="230"/>
      <c r="O12" s="230"/>
      <c r="P12" s="230"/>
      <c r="Q12" s="230"/>
      <c r="R12" s="230"/>
      <c r="S12" s="230"/>
      <c r="T12" s="230"/>
      <c r="U12" s="230"/>
      <c r="V12" s="230">
        <f t="shared" si="1"/>
        <v>0</v>
      </c>
      <c r="W12" s="246"/>
      <c r="X12" s="248">
        <v>216</v>
      </c>
      <c r="Y12" s="248">
        <v>60</v>
      </c>
      <c r="Z12" s="247">
        <f t="shared" si="2"/>
        <v>276</v>
      </c>
      <c r="AA12" s="215">
        <f t="shared" si="3"/>
        <v>0</v>
      </c>
    </row>
    <row r="13" spans="1:40" ht="15" customHeight="1" x14ac:dyDescent="0.25">
      <c r="A13" s="137" t="s">
        <v>106</v>
      </c>
      <c r="B13" s="418" t="s">
        <v>273</v>
      </c>
      <c r="C13" s="230">
        <v>107</v>
      </c>
      <c r="D13" s="230">
        <v>27</v>
      </c>
      <c r="E13" s="230">
        <v>2</v>
      </c>
      <c r="F13" s="230">
        <v>7</v>
      </c>
      <c r="G13" s="230">
        <v>0</v>
      </c>
      <c r="H13" s="230">
        <v>0</v>
      </c>
      <c r="I13" s="230">
        <v>0</v>
      </c>
      <c r="J13" s="230">
        <v>13</v>
      </c>
      <c r="K13" s="230">
        <v>0</v>
      </c>
      <c r="L13" s="232">
        <f t="shared" si="0"/>
        <v>156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230">
        <v>0</v>
      </c>
      <c r="V13" s="230">
        <f t="shared" si="1"/>
        <v>0</v>
      </c>
      <c r="W13" s="246"/>
      <c r="X13" s="204"/>
      <c r="Y13" s="204"/>
      <c r="Z13" s="247">
        <f t="shared" si="2"/>
        <v>156</v>
      </c>
      <c r="AA13" s="215">
        <f t="shared" si="3"/>
        <v>141</v>
      </c>
    </row>
    <row r="14" spans="1:40" ht="15" customHeight="1" x14ac:dyDescent="0.25">
      <c r="A14" s="137" t="s">
        <v>110</v>
      </c>
      <c r="B14" s="418" t="s">
        <v>274</v>
      </c>
      <c r="C14" s="230">
        <v>2734</v>
      </c>
      <c r="D14" s="230">
        <v>1011</v>
      </c>
      <c r="E14" s="230">
        <v>852</v>
      </c>
      <c r="F14" s="230">
        <v>21</v>
      </c>
      <c r="G14" s="230">
        <v>53</v>
      </c>
      <c r="H14" s="230">
        <v>15</v>
      </c>
      <c r="I14" s="230">
        <v>4</v>
      </c>
      <c r="J14" s="230">
        <v>594</v>
      </c>
      <c r="K14" s="230">
        <v>0</v>
      </c>
      <c r="L14" s="232">
        <f t="shared" si="0"/>
        <v>5284</v>
      </c>
      <c r="M14" s="230">
        <v>30</v>
      </c>
      <c r="N14" s="230">
        <v>15</v>
      </c>
      <c r="O14" s="230">
        <v>8</v>
      </c>
      <c r="P14" s="230">
        <v>1</v>
      </c>
      <c r="Q14" s="230">
        <v>0</v>
      </c>
      <c r="R14" s="230">
        <v>0</v>
      </c>
      <c r="S14" s="230">
        <v>0</v>
      </c>
      <c r="T14" s="230">
        <v>17</v>
      </c>
      <c r="U14" s="230">
        <v>0</v>
      </c>
      <c r="V14" s="230">
        <f t="shared" si="1"/>
        <v>71</v>
      </c>
      <c r="W14" s="246"/>
      <c r="X14" s="204"/>
      <c r="Y14" s="204"/>
      <c r="Z14" s="247">
        <f t="shared" si="2"/>
        <v>5355</v>
      </c>
      <c r="AA14" s="215">
        <f t="shared" si="3"/>
        <v>3812</v>
      </c>
    </row>
    <row r="15" spans="1:40" ht="15" customHeight="1" x14ac:dyDescent="0.25">
      <c r="A15" s="137" t="s">
        <v>119</v>
      </c>
      <c r="B15" s="418" t="s">
        <v>275</v>
      </c>
      <c r="C15" s="230">
        <v>957</v>
      </c>
      <c r="D15" s="230">
        <v>216</v>
      </c>
      <c r="E15" s="459">
        <v>224</v>
      </c>
      <c r="F15" s="230">
        <v>19</v>
      </c>
      <c r="G15" s="230">
        <v>8</v>
      </c>
      <c r="H15" s="230">
        <v>0</v>
      </c>
      <c r="I15" s="230">
        <v>115</v>
      </c>
      <c r="J15" s="230">
        <v>55</v>
      </c>
      <c r="K15" s="230">
        <v>0</v>
      </c>
      <c r="L15" s="232">
        <f t="shared" si="0"/>
        <v>1594</v>
      </c>
      <c r="M15" s="230">
        <v>117</v>
      </c>
      <c r="N15" s="230">
        <v>78</v>
      </c>
      <c r="O15" s="230">
        <v>25</v>
      </c>
      <c r="P15" s="230">
        <v>2</v>
      </c>
      <c r="Q15" s="230">
        <v>6</v>
      </c>
      <c r="R15" s="230">
        <v>0</v>
      </c>
      <c r="S15" s="230">
        <v>0</v>
      </c>
      <c r="T15" s="230">
        <v>10</v>
      </c>
      <c r="U15" s="230">
        <v>0</v>
      </c>
      <c r="V15" s="230">
        <f t="shared" si="1"/>
        <v>238</v>
      </c>
      <c r="W15" s="246"/>
      <c r="X15" s="248">
        <v>56</v>
      </c>
      <c r="Y15" s="248">
        <v>0</v>
      </c>
      <c r="Z15" s="247">
        <f t="shared" si="2"/>
        <v>1888</v>
      </c>
      <c r="AA15" s="215">
        <f t="shared" si="3"/>
        <v>1389</v>
      </c>
    </row>
    <row r="16" spans="1:40" ht="15" customHeight="1" x14ac:dyDescent="0.25">
      <c r="A16" s="136" t="s">
        <v>121</v>
      </c>
      <c r="B16" s="137" t="s">
        <v>276</v>
      </c>
      <c r="C16" s="230">
        <v>0</v>
      </c>
      <c r="D16" s="230">
        <v>0</v>
      </c>
      <c r="E16" s="459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713</v>
      </c>
      <c r="K16" s="230">
        <v>0</v>
      </c>
      <c r="L16" s="232">
        <f t="shared" si="0"/>
        <v>713</v>
      </c>
      <c r="M16" s="230">
        <v>0</v>
      </c>
      <c r="N16" s="230">
        <v>0</v>
      </c>
      <c r="O16" s="230">
        <v>60</v>
      </c>
      <c r="P16" s="230">
        <v>0</v>
      </c>
      <c r="Q16" s="230">
        <v>0</v>
      </c>
      <c r="R16" s="230">
        <v>0</v>
      </c>
      <c r="S16" s="230">
        <v>0</v>
      </c>
      <c r="T16" s="230">
        <v>246</v>
      </c>
      <c r="U16" s="230">
        <v>0</v>
      </c>
      <c r="V16" s="230">
        <f t="shared" si="1"/>
        <v>306</v>
      </c>
      <c r="W16" s="246"/>
      <c r="X16" s="204"/>
      <c r="Y16" s="204"/>
      <c r="Z16" s="247">
        <f t="shared" si="2"/>
        <v>1019</v>
      </c>
      <c r="AA16" s="215">
        <f t="shared" si="3"/>
        <v>0</v>
      </c>
    </row>
    <row r="17" spans="1:40" ht="15" customHeight="1" x14ac:dyDescent="0.25">
      <c r="A17" s="136" t="s">
        <v>123</v>
      </c>
      <c r="B17" s="137" t="s">
        <v>277</v>
      </c>
      <c r="C17" s="230">
        <v>20</v>
      </c>
      <c r="D17" s="230">
        <v>27</v>
      </c>
      <c r="E17" s="230">
        <v>4</v>
      </c>
      <c r="F17" s="230">
        <v>1</v>
      </c>
      <c r="G17" s="230">
        <v>2</v>
      </c>
      <c r="H17" s="230">
        <v>0</v>
      </c>
      <c r="I17" s="230">
        <v>0</v>
      </c>
      <c r="J17" s="230">
        <v>9</v>
      </c>
      <c r="K17" s="230">
        <v>0</v>
      </c>
      <c r="L17" s="232">
        <f t="shared" si="0"/>
        <v>63</v>
      </c>
      <c r="M17" s="230">
        <v>40</v>
      </c>
      <c r="N17" s="230">
        <v>48</v>
      </c>
      <c r="O17" s="230">
        <v>14</v>
      </c>
      <c r="P17" s="230">
        <v>0</v>
      </c>
      <c r="Q17" s="230">
        <v>6</v>
      </c>
      <c r="R17" s="230">
        <v>0</v>
      </c>
      <c r="S17" s="230">
        <v>0</v>
      </c>
      <c r="T17" s="230">
        <v>0</v>
      </c>
      <c r="U17" s="230">
        <v>0</v>
      </c>
      <c r="V17" s="230">
        <f t="shared" si="1"/>
        <v>108</v>
      </c>
      <c r="W17" s="299">
        <v>49</v>
      </c>
      <c r="X17" s="204"/>
      <c r="Y17" s="204"/>
      <c r="Z17" s="247">
        <f t="shared" si="2"/>
        <v>220</v>
      </c>
      <c r="AA17" s="215">
        <f t="shared" si="3"/>
        <v>136</v>
      </c>
    </row>
    <row r="18" spans="1:40" ht="15" customHeight="1" x14ac:dyDescent="0.25">
      <c r="A18" s="136" t="s">
        <v>128</v>
      </c>
      <c r="B18" s="137" t="s">
        <v>332</v>
      </c>
      <c r="C18" s="230">
        <v>350</v>
      </c>
      <c r="D18" s="230">
        <v>69</v>
      </c>
      <c r="E18" s="230">
        <v>90</v>
      </c>
      <c r="F18" s="230">
        <v>14</v>
      </c>
      <c r="G18" s="230">
        <v>4</v>
      </c>
      <c r="H18" s="230">
        <v>0</v>
      </c>
      <c r="I18" s="230">
        <v>0</v>
      </c>
      <c r="J18" s="230">
        <v>26</v>
      </c>
      <c r="K18" s="230">
        <v>0</v>
      </c>
      <c r="L18" s="232">
        <f t="shared" si="0"/>
        <v>553</v>
      </c>
      <c r="M18" s="230">
        <v>525</v>
      </c>
      <c r="N18" s="230">
        <v>384</v>
      </c>
      <c r="O18" s="230">
        <v>519</v>
      </c>
      <c r="P18" s="230">
        <v>45</v>
      </c>
      <c r="Q18" s="230">
        <v>3</v>
      </c>
      <c r="R18" s="230">
        <v>34</v>
      </c>
      <c r="S18" s="230">
        <v>0</v>
      </c>
      <c r="T18" s="230">
        <v>12</v>
      </c>
      <c r="U18" s="230">
        <v>0</v>
      </c>
      <c r="V18" s="230">
        <f t="shared" si="1"/>
        <v>1522</v>
      </c>
      <c r="W18" s="246"/>
      <c r="X18" s="204"/>
      <c r="Y18" s="204"/>
      <c r="Z18" s="247">
        <f t="shared" si="2"/>
        <v>2075</v>
      </c>
      <c r="AA18" s="215">
        <f t="shared" si="3"/>
        <v>1387</v>
      </c>
    </row>
    <row r="19" spans="1:40" ht="15" customHeight="1" x14ac:dyDescent="0.25">
      <c r="A19" s="136" t="s">
        <v>150</v>
      </c>
      <c r="B19" s="137" t="s">
        <v>278</v>
      </c>
      <c r="C19" s="230">
        <v>1003</v>
      </c>
      <c r="D19" s="230">
        <v>203</v>
      </c>
      <c r="E19" s="230">
        <v>329</v>
      </c>
      <c r="F19" s="230">
        <v>33</v>
      </c>
      <c r="G19" s="230">
        <v>11</v>
      </c>
      <c r="H19" s="230">
        <v>0</v>
      </c>
      <c r="I19" s="230">
        <v>0</v>
      </c>
      <c r="J19" s="230">
        <v>28</v>
      </c>
      <c r="K19" s="230">
        <v>0</v>
      </c>
      <c r="L19" s="232">
        <f t="shared" si="0"/>
        <v>1607</v>
      </c>
      <c r="M19" s="230">
        <v>212</v>
      </c>
      <c r="N19" s="230">
        <v>86</v>
      </c>
      <c r="O19" s="230">
        <v>34</v>
      </c>
      <c r="P19" s="230">
        <v>14</v>
      </c>
      <c r="Q19" s="230">
        <v>3</v>
      </c>
      <c r="R19" s="230">
        <v>0</v>
      </c>
      <c r="S19" s="230">
        <v>0</v>
      </c>
      <c r="T19" s="230">
        <v>2</v>
      </c>
      <c r="U19" s="230">
        <v>0</v>
      </c>
      <c r="V19" s="230">
        <f t="shared" si="1"/>
        <v>351</v>
      </c>
      <c r="W19" s="299">
        <v>346</v>
      </c>
      <c r="X19" s="204"/>
      <c r="Y19" s="204"/>
      <c r="Z19" s="247">
        <f t="shared" si="2"/>
        <v>2304</v>
      </c>
      <c r="AA19" s="215">
        <f t="shared" si="3"/>
        <v>1551</v>
      </c>
    </row>
    <row r="20" spans="1:40" ht="15" customHeight="1" x14ac:dyDescent="0.25">
      <c r="A20" s="136" t="s">
        <v>181</v>
      </c>
      <c r="B20" s="137" t="s">
        <v>335</v>
      </c>
      <c r="C20" s="230">
        <v>722</v>
      </c>
      <c r="D20" s="230">
        <v>1110</v>
      </c>
      <c r="E20" s="230">
        <v>358</v>
      </c>
      <c r="F20" s="230">
        <v>46</v>
      </c>
      <c r="G20" s="230">
        <v>31</v>
      </c>
      <c r="H20" s="230">
        <v>0</v>
      </c>
      <c r="I20" s="230">
        <v>16</v>
      </c>
      <c r="J20" s="230">
        <v>1930</v>
      </c>
      <c r="K20" s="230">
        <v>0</v>
      </c>
      <c r="L20" s="232">
        <f t="shared" si="0"/>
        <v>4213</v>
      </c>
      <c r="M20" s="230">
        <v>343</v>
      </c>
      <c r="N20" s="230">
        <v>1039</v>
      </c>
      <c r="O20" s="230">
        <v>394</v>
      </c>
      <c r="P20" s="230">
        <v>111</v>
      </c>
      <c r="Q20" s="230">
        <v>47</v>
      </c>
      <c r="R20" s="230">
        <v>0</v>
      </c>
      <c r="S20" s="230">
        <v>0</v>
      </c>
      <c r="T20" s="230">
        <v>210</v>
      </c>
      <c r="U20" s="230">
        <v>0</v>
      </c>
      <c r="V20" s="230">
        <f t="shared" si="1"/>
        <v>2144</v>
      </c>
      <c r="W20" s="300"/>
      <c r="X20" s="209"/>
      <c r="Y20" s="209"/>
      <c r="Z20" s="247">
        <f t="shared" si="2"/>
        <v>6357</v>
      </c>
      <c r="AA20" s="215">
        <f t="shared" si="3"/>
        <v>3371</v>
      </c>
    </row>
    <row r="21" spans="1:40" ht="15" customHeight="1" x14ac:dyDescent="0.25">
      <c r="A21" s="136" t="s">
        <v>184</v>
      </c>
      <c r="B21" s="137" t="s">
        <v>279</v>
      </c>
      <c r="C21" s="230">
        <v>149</v>
      </c>
      <c r="D21" s="230">
        <v>59</v>
      </c>
      <c r="E21" s="230">
        <v>20</v>
      </c>
      <c r="F21" s="230">
        <v>5</v>
      </c>
      <c r="G21" s="230">
        <v>8</v>
      </c>
      <c r="H21" s="230">
        <v>0</v>
      </c>
      <c r="I21" s="230">
        <v>6</v>
      </c>
      <c r="J21" s="230">
        <v>21</v>
      </c>
      <c r="K21" s="230">
        <v>0</v>
      </c>
      <c r="L21" s="232">
        <f t="shared" si="0"/>
        <v>268</v>
      </c>
      <c r="M21" s="230">
        <v>136</v>
      </c>
      <c r="N21" s="230">
        <v>128</v>
      </c>
      <c r="O21" s="230">
        <v>23</v>
      </c>
      <c r="P21" s="230">
        <v>13</v>
      </c>
      <c r="Q21" s="230">
        <v>46</v>
      </c>
      <c r="R21" s="230">
        <v>0</v>
      </c>
      <c r="S21" s="230">
        <v>0</v>
      </c>
      <c r="T21" s="230">
        <v>0</v>
      </c>
      <c r="U21" s="230">
        <v>0</v>
      </c>
      <c r="V21" s="230">
        <f t="shared" si="1"/>
        <v>346</v>
      </c>
      <c r="W21" s="299">
        <v>83</v>
      </c>
      <c r="X21" s="204"/>
      <c r="Y21" s="204"/>
      <c r="Z21" s="247">
        <f t="shared" si="2"/>
        <v>697</v>
      </c>
      <c r="AA21" s="215">
        <f t="shared" si="3"/>
        <v>490</v>
      </c>
    </row>
    <row r="22" spans="1:40" ht="15" customHeight="1" thickBot="1" x14ac:dyDescent="0.3">
      <c r="A22" s="136" t="s">
        <v>194</v>
      </c>
      <c r="B22" s="143" t="s">
        <v>280</v>
      </c>
      <c r="C22">
        <v>0</v>
      </c>
      <c r="D22">
        <v>0</v>
      </c>
      <c r="E22">
        <v>719</v>
      </c>
      <c r="F22" s="265">
        <v>0</v>
      </c>
      <c r="G22" s="265">
        <v>0</v>
      </c>
      <c r="H22" s="265">
        <v>0</v>
      </c>
      <c r="I22" s="265">
        <v>0</v>
      </c>
      <c r="J22" s="265">
        <v>3395</v>
      </c>
      <c r="K22" s="265">
        <v>0</v>
      </c>
      <c r="L22" s="268">
        <f t="shared" si="0"/>
        <v>4114</v>
      </c>
      <c r="M22" s="265"/>
      <c r="N22" s="265"/>
      <c r="O22" s="265"/>
      <c r="P22" s="265"/>
      <c r="Q22" s="265"/>
      <c r="R22" s="265"/>
      <c r="S22" s="265"/>
      <c r="T22" s="265"/>
      <c r="U22" s="265"/>
      <c r="V22" s="230">
        <f t="shared" si="1"/>
        <v>0</v>
      </c>
      <c r="W22" s="300"/>
      <c r="X22" s="209"/>
      <c r="Y22" s="209"/>
      <c r="Z22" s="278">
        <f t="shared" si="2"/>
        <v>4114</v>
      </c>
      <c r="AA22" s="217">
        <f t="shared" si="3"/>
        <v>0</v>
      </c>
    </row>
    <row r="23" spans="1:40" s="110" customFormat="1" ht="14.4" thickBot="1" x14ac:dyDescent="0.3">
      <c r="A23" s="134"/>
      <c r="B23" s="159" t="s">
        <v>457</v>
      </c>
      <c r="C23" s="258">
        <f t="shared" ref="C23:AA23" si="4">SUM(C6:C22)</f>
        <v>8412</v>
      </c>
      <c r="D23" s="157">
        <f t="shared" si="4"/>
        <v>3503</v>
      </c>
      <c r="E23" s="166">
        <f t="shared" si="4"/>
        <v>3312</v>
      </c>
      <c r="F23" s="362">
        <f t="shared" si="4"/>
        <v>228</v>
      </c>
      <c r="G23" s="157">
        <f t="shared" si="4"/>
        <v>151</v>
      </c>
      <c r="H23" s="157">
        <f t="shared" si="4"/>
        <v>31</v>
      </c>
      <c r="I23" s="157">
        <f t="shared" si="4"/>
        <v>169</v>
      </c>
      <c r="J23" s="157">
        <f t="shared" si="4"/>
        <v>7448</v>
      </c>
      <c r="K23" s="259">
        <f t="shared" si="4"/>
        <v>0</v>
      </c>
      <c r="L23" s="263">
        <f t="shared" si="4"/>
        <v>23254</v>
      </c>
      <c r="M23" s="327">
        <f t="shared" si="4"/>
        <v>2300</v>
      </c>
      <c r="N23" s="328">
        <f t="shared" si="4"/>
        <v>3771</v>
      </c>
      <c r="O23" s="329">
        <f t="shared" si="4"/>
        <v>1422</v>
      </c>
      <c r="P23" s="327">
        <f t="shared" si="4"/>
        <v>317</v>
      </c>
      <c r="Q23" s="328">
        <f t="shared" si="4"/>
        <v>141</v>
      </c>
      <c r="R23" s="328">
        <f t="shared" si="4"/>
        <v>82</v>
      </c>
      <c r="S23" s="328">
        <f t="shared" si="4"/>
        <v>164</v>
      </c>
      <c r="T23" s="328">
        <f t="shared" si="4"/>
        <v>1097</v>
      </c>
      <c r="U23" s="329">
        <f t="shared" si="4"/>
        <v>0</v>
      </c>
      <c r="V23" s="263">
        <f t="shared" si="4"/>
        <v>9294</v>
      </c>
      <c r="W23" s="295">
        <f t="shared" si="4"/>
        <v>17429</v>
      </c>
      <c r="X23" s="210">
        <f t="shared" si="4"/>
        <v>272</v>
      </c>
      <c r="Y23" s="210">
        <f>SUM(Y6:Y22)</f>
        <v>60</v>
      </c>
      <c r="Z23" s="210">
        <f t="shared" si="4"/>
        <v>50309</v>
      </c>
      <c r="AA23" s="276">
        <f t="shared" si="4"/>
        <v>18531</v>
      </c>
      <c r="AC23"/>
      <c r="AD23"/>
      <c r="AE23"/>
      <c r="AF23"/>
      <c r="AG23"/>
      <c r="AH23"/>
      <c r="AI23"/>
      <c r="AJ23"/>
      <c r="AK23"/>
      <c r="AL23"/>
      <c r="AM23"/>
      <c r="AN23"/>
    </row>
    <row r="24" spans="1:40" ht="15" customHeight="1" x14ac:dyDescent="0.25">
      <c r="A24" s="136" t="s">
        <v>72</v>
      </c>
      <c r="B24" s="279" t="s">
        <v>356</v>
      </c>
      <c r="C24" s="280">
        <v>315</v>
      </c>
      <c r="D24" s="280">
        <v>423</v>
      </c>
      <c r="E24" s="280">
        <v>110</v>
      </c>
      <c r="F24" s="280">
        <v>3</v>
      </c>
      <c r="G24" s="280">
        <v>5</v>
      </c>
      <c r="H24" s="280">
        <v>5</v>
      </c>
      <c r="I24" s="280">
        <v>0</v>
      </c>
      <c r="J24" s="280">
        <v>18</v>
      </c>
      <c r="K24" s="280">
        <v>11</v>
      </c>
      <c r="L24" s="280">
        <f>SUM(C24:K24)</f>
        <v>890</v>
      </c>
      <c r="M24" s="230">
        <v>0</v>
      </c>
      <c r="N24" s="230">
        <v>0</v>
      </c>
      <c r="O24" s="230">
        <v>0</v>
      </c>
      <c r="P24" s="230">
        <v>0</v>
      </c>
      <c r="Q24" s="230">
        <v>0</v>
      </c>
      <c r="R24" s="230">
        <v>0</v>
      </c>
      <c r="S24" s="230">
        <v>0</v>
      </c>
      <c r="T24" s="230">
        <v>0</v>
      </c>
      <c r="U24" s="230">
        <v>0</v>
      </c>
      <c r="V24" s="296">
        <f>SUM(M24:U24)</f>
        <v>0</v>
      </c>
      <c r="W24" s="301"/>
      <c r="X24" s="211"/>
      <c r="Y24" s="211"/>
      <c r="Z24" s="281">
        <f t="shared" si="2"/>
        <v>890</v>
      </c>
      <c r="AA24" s="218">
        <f>C24+D24+F24+K24+M24+N24+P24+U24</f>
        <v>752</v>
      </c>
    </row>
    <row r="25" spans="1:40" ht="15" customHeight="1" x14ac:dyDescent="0.25">
      <c r="A25" s="136" t="s">
        <v>85</v>
      </c>
      <c r="B25" s="137" t="s">
        <v>281</v>
      </c>
      <c r="C25" s="230">
        <v>1005</v>
      </c>
      <c r="D25" s="230">
        <v>614</v>
      </c>
      <c r="E25" s="230">
        <v>147</v>
      </c>
      <c r="F25" s="230">
        <v>62</v>
      </c>
      <c r="G25" s="230">
        <v>57</v>
      </c>
      <c r="H25" s="230">
        <v>0</v>
      </c>
      <c r="I25" s="230">
        <v>0</v>
      </c>
      <c r="J25" s="230">
        <v>38</v>
      </c>
      <c r="K25" s="230">
        <v>0</v>
      </c>
      <c r="L25" s="280">
        <f t="shared" ref="L25:L36" si="5">SUM(C25:K25)</f>
        <v>1923</v>
      </c>
      <c r="M25" s="230">
        <v>135</v>
      </c>
      <c r="N25" s="230">
        <v>109</v>
      </c>
      <c r="O25" s="230">
        <v>39</v>
      </c>
      <c r="P25" s="230">
        <v>5</v>
      </c>
      <c r="Q25" s="230">
        <v>5</v>
      </c>
      <c r="R25" s="230">
        <v>0</v>
      </c>
      <c r="S25" s="230">
        <v>0</v>
      </c>
      <c r="T25" s="230">
        <v>683</v>
      </c>
      <c r="U25" s="230">
        <v>0</v>
      </c>
      <c r="V25" s="296">
        <f t="shared" ref="V25:V35" si="6">SUM(M25:U25)</f>
        <v>976</v>
      </c>
      <c r="W25" s="299">
        <v>963</v>
      </c>
      <c r="X25" s="204"/>
      <c r="Y25" s="204"/>
      <c r="Z25" s="247">
        <f t="shared" si="2"/>
        <v>3862</v>
      </c>
      <c r="AA25" s="215">
        <f>C25+D25+F25+K25+M25+N25+P25+U25</f>
        <v>1930</v>
      </c>
    </row>
    <row r="26" spans="1:40" ht="15" customHeight="1" x14ac:dyDescent="0.25">
      <c r="A26" s="136" t="s">
        <v>214</v>
      </c>
      <c r="B26" s="137" t="s">
        <v>282</v>
      </c>
      <c r="C26" s="230">
        <v>212</v>
      </c>
      <c r="D26" s="230">
        <v>239</v>
      </c>
      <c r="E26" s="230">
        <v>100</v>
      </c>
      <c r="F26" s="230">
        <v>7</v>
      </c>
      <c r="G26" s="230">
        <v>2</v>
      </c>
      <c r="H26" s="230">
        <v>0</v>
      </c>
      <c r="I26" s="230">
        <v>0</v>
      </c>
      <c r="J26" s="230">
        <v>0</v>
      </c>
      <c r="K26" s="230">
        <v>0</v>
      </c>
      <c r="L26" s="280">
        <f t="shared" si="5"/>
        <v>560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230">
        <v>0</v>
      </c>
      <c r="V26" s="296">
        <f t="shared" si="6"/>
        <v>0</v>
      </c>
      <c r="W26" s="246"/>
      <c r="X26" s="204"/>
      <c r="Y26" s="204"/>
      <c r="Z26" s="247">
        <f t="shared" si="2"/>
        <v>560</v>
      </c>
      <c r="AA26" s="215">
        <f t="shared" ref="AA26:AA36" si="7">C26+D26+F26+K26+M26+N26+P26+U26</f>
        <v>458</v>
      </c>
    </row>
    <row r="27" spans="1:40" ht="15" customHeight="1" x14ac:dyDescent="0.25">
      <c r="A27" s="136" t="s">
        <v>101</v>
      </c>
      <c r="B27" s="137" t="s">
        <v>283</v>
      </c>
      <c r="C27" s="230">
        <v>1734</v>
      </c>
      <c r="D27" s="230">
        <v>488</v>
      </c>
      <c r="E27" s="230">
        <v>375</v>
      </c>
      <c r="F27" s="230">
        <v>48</v>
      </c>
      <c r="G27" s="230">
        <v>35</v>
      </c>
      <c r="H27" s="230">
        <v>0</v>
      </c>
      <c r="I27" s="230">
        <v>17</v>
      </c>
      <c r="J27" s="230">
        <v>22</v>
      </c>
      <c r="K27" s="230">
        <v>0</v>
      </c>
      <c r="L27" s="280">
        <f t="shared" si="5"/>
        <v>2719</v>
      </c>
      <c r="M27" s="230">
        <v>122</v>
      </c>
      <c r="N27" s="230">
        <v>296</v>
      </c>
      <c r="O27" s="230">
        <v>87</v>
      </c>
      <c r="P27" s="230">
        <v>0</v>
      </c>
      <c r="Q27" s="230">
        <v>0</v>
      </c>
      <c r="R27" s="230">
        <v>0</v>
      </c>
      <c r="S27" s="230">
        <v>0</v>
      </c>
      <c r="T27" s="230">
        <v>7</v>
      </c>
      <c r="U27" s="230">
        <v>0</v>
      </c>
      <c r="V27" s="296">
        <f t="shared" si="6"/>
        <v>512</v>
      </c>
      <c r="W27" s="299">
        <v>1414</v>
      </c>
      <c r="X27" s="204"/>
      <c r="Y27" s="204"/>
      <c r="Z27" s="247">
        <f t="shared" si="2"/>
        <v>4645</v>
      </c>
      <c r="AA27" s="215">
        <f t="shared" si="7"/>
        <v>2688</v>
      </c>
    </row>
    <row r="28" spans="1:40" ht="15" customHeight="1" x14ac:dyDescent="0.25">
      <c r="A28" s="136" t="s">
        <v>114</v>
      </c>
      <c r="B28" s="137" t="s">
        <v>284</v>
      </c>
      <c r="C28" s="230">
        <v>78</v>
      </c>
      <c r="D28" s="230">
        <v>36</v>
      </c>
      <c r="E28" s="230">
        <v>24</v>
      </c>
      <c r="F28" s="230">
        <v>7</v>
      </c>
      <c r="G28" s="230">
        <v>0</v>
      </c>
      <c r="H28" s="230">
        <v>0</v>
      </c>
      <c r="I28" s="230">
        <v>0</v>
      </c>
      <c r="J28" s="230">
        <v>6</v>
      </c>
      <c r="K28" s="230">
        <v>0</v>
      </c>
      <c r="L28" s="280">
        <f t="shared" si="5"/>
        <v>151</v>
      </c>
      <c r="M28" s="230">
        <v>14</v>
      </c>
      <c r="N28" s="230">
        <v>12</v>
      </c>
      <c r="O28" s="230">
        <v>0</v>
      </c>
      <c r="P28" s="230">
        <v>5</v>
      </c>
      <c r="Q28" s="230">
        <v>0</v>
      </c>
      <c r="R28" s="230">
        <v>0</v>
      </c>
      <c r="S28" s="230">
        <v>0</v>
      </c>
      <c r="T28" s="230">
        <v>0</v>
      </c>
      <c r="U28" s="230">
        <v>0</v>
      </c>
      <c r="V28" s="296">
        <f t="shared" si="6"/>
        <v>31</v>
      </c>
      <c r="W28" s="299">
        <v>80</v>
      </c>
      <c r="X28" s="204"/>
      <c r="Y28" s="204"/>
      <c r="Z28" s="247">
        <f t="shared" si="2"/>
        <v>262</v>
      </c>
      <c r="AA28" s="215">
        <f t="shared" si="7"/>
        <v>152</v>
      </c>
    </row>
    <row r="29" spans="1:40" ht="15" customHeight="1" x14ac:dyDescent="0.25">
      <c r="A29" s="136" t="s">
        <v>115</v>
      </c>
      <c r="B29" s="137" t="s">
        <v>285</v>
      </c>
      <c r="C29" s="230"/>
      <c r="D29" s="230"/>
      <c r="E29" s="230"/>
      <c r="F29" s="230"/>
      <c r="G29" s="230"/>
      <c r="H29" s="230"/>
      <c r="I29" s="230"/>
      <c r="J29" s="230"/>
      <c r="K29" s="230"/>
      <c r="L29" s="280">
        <f t="shared" si="5"/>
        <v>0</v>
      </c>
      <c r="M29" s="230"/>
      <c r="N29" s="230"/>
      <c r="O29" s="230"/>
      <c r="P29" s="230"/>
      <c r="Q29" s="230"/>
      <c r="R29" s="230"/>
      <c r="S29" s="230"/>
      <c r="T29" s="230"/>
      <c r="U29" s="230"/>
      <c r="V29" s="296">
        <f t="shared" si="6"/>
        <v>0</v>
      </c>
      <c r="W29" s="248">
        <v>0</v>
      </c>
      <c r="X29" s="204"/>
      <c r="Y29" s="204"/>
      <c r="Z29" s="247">
        <f t="shared" si="2"/>
        <v>0</v>
      </c>
      <c r="AA29" s="215">
        <f t="shared" si="7"/>
        <v>0</v>
      </c>
    </row>
    <row r="30" spans="1:40" ht="15" customHeight="1" x14ac:dyDescent="0.25">
      <c r="A30" s="136" t="s">
        <v>127</v>
      </c>
      <c r="B30" s="137" t="s">
        <v>286</v>
      </c>
      <c r="C30" s="230">
        <v>7567</v>
      </c>
      <c r="D30" s="230">
        <v>2720</v>
      </c>
      <c r="E30" s="230">
        <v>3041</v>
      </c>
      <c r="F30" s="230">
        <v>38</v>
      </c>
      <c r="G30" s="230">
        <v>100</v>
      </c>
      <c r="H30" s="230">
        <v>21</v>
      </c>
      <c r="I30" s="230">
        <v>0</v>
      </c>
      <c r="J30" s="230">
        <v>39</v>
      </c>
      <c r="K30" s="230">
        <v>0</v>
      </c>
      <c r="L30" s="280">
        <f t="shared" si="5"/>
        <v>13526</v>
      </c>
      <c r="M30" s="230">
        <v>150</v>
      </c>
      <c r="N30" s="230">
        <v>263</v>
      </c>
      <c r="O30" s="230">
        <v>83</v>
      </c>
      <c r="P30" s="230">
        <v>1</v>
      </c>
      <c r="Q30" s="230">
        <v>69</v>
      </c>
      <c r="R30" s="230">
        <v>0</v>
      </c>
      <c r="S30" s="230">
        <v>0</v>
      </c>
      <c r="T30" s="230">
        <v>231</v>
      </c>
      <c r="U30" s="230"/>
      <c r="V30" s="296">
        <f t="shared" si="6"/>
        <v>797</v>
      </c>
      <c r="W30" s="302">
        <v>99</v>
      </c>
      <c r="X30" s="236"/>
      <c r="Y30" s="204"/>
      <c r="Z30" s="247">
        <f t="shared" si="2"/>
        <v>14422</v>
      </c>
      <c r="AA30" s="215">
        <f t="shared" si="7"/>
        <v>10739</v>
      </c>
    </row>
    <row r="31" spans="1:40" ht="15" customHeight="1" x14ac:dyDescent="0.25">
      <c r="A31" s="136" t="s">
        <v>129</v>
      </c>
      <c r="B31" s="137" t="s">
        <v>287</v>
      </c>
      <c r="C31" s="230">
        <v>1848</v>
      </c>
      <c r="D31" s="230">
        <v>1237</v>
      </c>
      <c r="E31" s="230">
        <v>980</v>
      </c>
      <c r="F31" s="230">
        <v>61</v>
      </c>
      <c r="G31" s="230">
        <v>103</v>
      </c>
      <c r="H31" s="230">
        <v>0</v>
      </c>
      <c r="I31" s="230">
        <v>0</v>
      </c>
      <c r="J31" s="230">
        <v>151</v>
      </c>
      <c r="K31" s="230">
        <v>0</v>
      </c>
      <c r="L31" s="280">
        <f t="shared" si="5"/>
        <v>4380</v>
      </c>
      <c r="M31" s="230">
        <v>374</v>
      </c>
      <c r="N31" s="230">
        <v>430</v>
      </c>
      <c r="O31" s="230">
        <v>285</v>
      </c>
      <c r="P31" s="230">
        <v>21</v>
      </c>
      <c r="Q31" s="230">
        <v>34</v>
      </c>
      <c r="R31" s="230">
        <v>22</v>
      </c>
      <c r="S31" s="230">
        <v>0</v>
      </c>
      <c r="T31" s="230">
        <v>3513</v>
      </c>
      <c r="U31" s="230"/>
      <c r="V31" s="296">
        <f t="shared" si="6"/>
        <v>4679</v>
      </c>
      <c r="W31" s="302">
        <v>1824</v>
      </c>
      <c r="X31" s="236"/>
      <c r="Y31" s="204"/>
      <c r="Z31" s="247">
        <f t="shared" si="2"/>
        <v>10883</v>
      </c>
      <c r="AA31" s="215">
        <f t="shared" si="7"/>
        <v>3971</v>
      </c>
    </row>
    <row r="32" spans="1:40" ht="15" customHeight="1" x14ac:dyDescent="0.25">
      <c r="A32" s="136" t="s">
        <v>139</v>
      </c>
      <c r="B32" s="137" t="s">
        <v>321</v>
      </c>
      <c r="C32" s="230">
        <v>753</v>
      </c>
      <c r="D32" s="230">
        <v>971</v>
      </c>
      <c r="E32" s="230">
        <v>377</v>
      </c>
      <c r="F32" s="230">
        <v>34</v>
      </c>
      <c r="G32" s="230">
        <v>38</v>
      </c>
      <c r="H32" s="230">
        <v>27</v>
      </c>
      <c r="I32" s="230">
        <v>6</v>
      </c>
      <c r="J32" s="230">
        <v>135</v>
      </c>
      <c r="K32" s="340">
        <v>166</v>
      </c>
      <c r="L32" s="280">
        <f t="shared" si="5"/>
        <v>2507</v>
      </c>
      <c r="M32" s="230">
        <v>157</v>
      </c>
      <c r="N32" s="230">
        <v>360</v>
      </c>
      <c r="O32" s="230">
        <v>71</v>
      </c>
      <c r="P32" s="230">
        <v>30</v>
      </c>
      <c r="Q32" s="230">
        <v>1</v>
      </c>
      <c r="R32" s="230">
        <v>0</v>
      </c>
      <c r="S32" s="230">
        <v>0</v>
      </c>
      <c r="T32" s="230">
        <v>118</v>
      </c>
      <c r="U32" s="230"/>
      <c r="V32" s="296">
        <f t="shared" si="6"/>
        <v>737</v>
      </c>
      <c r="W32" s="302">
        <v>483</v>
      </c>
      <c r="X32" s="236"/>
      <c r="Y32" s="204"/>
      <c r="Z32" s="247">
        <f t="shared" si="2"/>
        <v>3727</v>
      </c>
      <c r="AA32" s="215">
        <f>C32+D32+F32+K32+M32+N32+P32+U32</f>
        <v>2471</v>
      </c>
    </row>
    <row r="33" spans="1:40" ht="15" customHeight="1" x14ac:dyDescent="0.25">
      <c r="A33" s="140" t="s">
        <v>151</v>
      </c>
      <c r="B33" s="161" t="s">
        <v>323</v>
      </c>
      <c r="C33" s="230">
        <v>0</v>
      </c>
      <c r="D33" s="230">
        <v>0</v>
      </c>
      <c r="E33" s="230">
        <v>142</v>
      </c>
      <c r="F33" s="230">
        <v>0</v>
      </c>
      <c r="G33" s="230">
        <v>0</v>
      </c>
      <c r="H33" s="230">
        <v>0</v>
      </c>
      <c r="I33" s="230">
        <v>0</v>
      </c>
      <c r="J33" s="230">
        <v>1212</v>
      </c>
      <c r="K33">
        <v>0</v>
      </c>
      <c r="L33" s="280">
        <f t="shared" si="5"/>
        <v>1354</v>
      </c>
      <c r="M33" s="230"/>
      <c r="N33" s="230"/>
      <c r="O33" s="147"/>
      <c r="P33" s="147"/>
      <c r="Q33" s="147"/>
      <c r="R33" s="147"/>
      <c r="S33" s="147"/>
      <c r="T33" s="147"/>
      <c r="U33" s="147"/>
      <c r="V33" s="296">
        <f t="shared" si="6"/>
        <v>0</v>
      </c>
      <c r="W33" s="303"/>
      <c r="X33" s="236"/>
      <c r="Y33" s="204"/>
      <c r="Z33" s="247">
        <f t="shared" si="2"/>
        <v>1354</v>
      </c>
      <c r="AA33" s="215">
        <f t="shared" ref="AA33:AA35" si="8">C33+D33+F33+K33+M33+N33+P33+U33</f>
        <v>0</v>
      </c>
    </row>
    <row r="34" spans="1:40" ht="15" customHeight="1" x14ac:dyDescent="0.25">
      <c r="A34" s="136" t="s">
        <v>170</v>
      </c>
      <c r="B34" s="137" t="s">
        <v>288</v>
      </c>
      <c r="C34" s="230"/>
      <c r="D34" s="230"/>
      <c r="E34" s="230"/>
      <c r="F34" s="230"/>
      <c r="G34" s="230"/>
      <c r="H34" s="230"/>
      <c r="I34" s="230"/>
      <c r="J34" s="230"/>
      <c r="K34" s="340"/>
      <c r="L34" s="280">
        <f t="shared" si="5"/>
        <v>0</v>
      </c>
      <c r="M34" s="230"/>
      <c r="N34" s="230"/>
      <c r="O34" s="230"/>
      <c r="P34" s="230"/>
      <c r="Q34" s="230"/>
      <c r="R34" s="230"/>
      <c r="S34" s="230"/>
      <c r="T34" s="230"/>
      <c r="U34" s="230"/>
      <c r="V34" s="296">
        <f t="shared" si="6"/>
        <v>0</v>
      </c>
      <c r="W34" s="248">
        <v>0</v>
      </c>
      <c r="X34" s="230"/>
      <c r="Y34" s="204"/>
      <c r="Z34" s="247">
        <f t="shared" si="2"/>
        <v>0</v>
      </c>
      <c r="AA34" s="215">
        <f t="shared" si="8"/>
        <v>0</v>
      </c>
    </row>
    <row r="35" spans="1:40" ht="15" customHeight="1" x14ac:dyDescent="0.25">
      <c r="A35" s="136" t="s">
        <v>171</v>
      </c>
      <c r="B35" s="137" t="s">
        <v>324</v>
      </c>
      <c r="C35" s="230">
        <v>4</v>
      </c>
      <c r="D35" s="230">
        <v>0</v>
      </c>
      <c r="E35" s="230">
        <v>1</v>
      </c>
      <c r="F35" s="230">
        <v>0</v>
      </c>
      <c r="G35" s="230">
        <v>0</v>
      </c>
      <c r="H35" s="230">
        <v>0</v>
      </c>
      <c r="I35" s="230">
        <v>0</v>
      </c>
      <c r="J35" s="230">
        <v>0</v>
      </c>
      <c r="K35" s="230">
        <v>0</v>
      </c>
      <c r="L35" s="280">
        <f t="shared" si="5"/>
        <v>5</v>
      </c>
      <c r="M35" s="230"/>
      <c r="N35" s="230"/>
      <c r="O35" s="230"/>
      <c r="P35" s="230"/>
      <c r="Q35" s="230"/>
      <c r="R35" s="230"/>
      <c r="S35" s="230"/>
      <c r="T35" s="230"/>
      <c r="U35" s="230"/>
      <c r="V35" s="296">
        <f t="shared" si="6"/>
        <v>0</v>
      </c>
      <c r="W35" s="304">
        <f>511+659</f>
        <v>1170</v>
      </c>
      <c r="X35" s="230"/>
      <c r="Y35" s="204"/>
      <c r="Z35" s="247">
        <f t="shared" si="2"/>
        <v>1175</v>
      </c>
      <c r="AA35" s="215">
        <f t="shared" si="8"/>
        <v>4</v>
      </c>
    </row>
    <row r="36" spans="1:40" ht="15" customHeight="1" thickBot="1" x14ac:dyDescent="0.3">
      <c r="A36" s="136" t="s">
        <v>362</v>
      </c>
      <c r="B36" s="143" t="s">
        <v>289</v>
      </c>
      <c r="C36" s="265">
        <v>228</v>
      </c>
      <c r="D36" s="265">
        <v>159</v>
      </c>
      <c r="E36" s="265">
        <v>190</v>
      </c>
      <c r="F36" s="265">
        <v>9</v>
      </c>
      <c r="G36" s="265">
        <v>10</v>
      </c>
      <c r="H36" s="265">
        <v>0</v>
      </c>
      <c r="I36" s="265">
        <v>0</v>
      </c>
      <c r="J36" s="265">
        <v>433</v>
      </c>
      <c r="K36" s="265">
        <v>0</v>
      </c>
      <c r="L36" s="280">
        <f t="shared" si="5"/>
        <v>1029</v>
      </c>
      <c r="M36" s="265"/>
      <c r="N36" s="265"/>
      <c r="O36" s="265"/>
      <c r="P36" s="265"/>
      <c r="Q36" s="265"/>
      <c r="R36" s="265"/>
      <c r="S36" s="265"/>
      <c r="T36" s="265"/>
      <c r="U36" s="265"/>
      <c r="V36" s="296">
        <f t="shared" ref="V36" si="9">SUM(M36:U36)</f>
        <v>0</v>
      </c>
      <c r="W36" s="305"/>
      <c r="X36" s="265"/>
      <c r="Z36" s="278">
        <f t="shared" si="2"/>
        <v>1029</v>
      </c>
      <c r="AA36" s="217">
        <f t="shared" si="7"/>
        <v>396</v>
      </c>
    </row>
    <row r="37" spans="1:40" s="109" customFormat="1" ht="14.4" thickBot="1" x14ac:dyDescent="0.3">
      <c r="A37" s="134"/>
      <c r="B37" s="159" t="s">
        <v>458</v>
      </c>
      <c r="C37" s="258">
        <f t="shared" ref="C37:AA37" si="10">SUM(C24:C36)</f>
        <v>13744</v>
      </c>
      <c r="D37" s="157">
        <f t="shared" si="10"/>
        <v>6887</v>
      </c>
      <c r="E37" s="166">
        <f t="shared" si="10"/>
        <v>5487</v>
      </c>
      <c r="F37" s="362">
        <f t="shared" si="10"/>
        <v>269</v>
      </c>
      <c r="G37" s="157">
        <f t="shared" si="10"/>
        <v>350</v>
      </c>
      <c r="H37" s="259">
        <f t="shared" si="10"/>
        <v>53</v>
      </c>
      <c r="I37" s="362">
        <f t="shared" si="10"/>
        <v>23</v>
      </c>
      <c r="J37" s="157">
        <f t="shared" si="10"/>
        <v>2054</v>
      </c>
      <c r="K37" s="259">
        <f t="shared" si="10"/>
        <v>177</v>
      </c>
      <c r="L37" s="263">
        <f t="shared" si="10"/>
        <v>29044</v>
      </c>
      <c r="M37" s="262">
        <f t="shared" si="10"/>
        <v>952</v>
      </c>
      <c r="N37" s="158">
        <f t="shared" si="10"/>
        <v>1470</v>
      </c>
      <c r="O37" s="191">
        <f t="shared" si="10"/>
        <v>565</v>
      </c>
      <c r="P37" s="263">
        <f t="shared" si="10"/>
        <v>62</v>
      </c>
      <c r="Q37" s="363">
        <f t="shared" si="10"/>
        <v>109</v>
      </c>
      <c r="R37" s="158">
        <f t="shared" si="10"/>
        <v>22</v>
      </c>
      <c r="S37" s="158">
        <f t="shared" si="10"/>
        <v>0</v>
      </c>
      <c r="T37" s="264">
        <f t="shared" si="10"/>
        <v>4552</v>
      </c>
      <c r="U37" s="485">
        <f t="shared" si="10"/>
        <v>0</v>
      </c>
      <c r="V37" s="263">
        <f t="shared" si="10"/>
        <v>7732</v>
      </c>
      <c r="W37" s="295">
        <f t="shared" si="10"/>
        <v>6033</v>
      </c>
      <c r="X37" s="210">
        <f t="shared" si="10"/>
        <v>0</v>
      </c>
      <c r="Y37" s="210">
        <f>SUM(Y24:Y36)</f>
        <v>0</v>
      </c>
      <c r="Z37" s="210">
        <f t="shared" si="10"/>
        <v>42809</v>
      </c>
      <c r="AA37" s="276">
        <f t="shared" si="10"/>
        <v>23561</v>
      </c>
      <c r="AC37"/>
      <c r="AD37"/>
      <c r="AE37"/>
      <c r="AF37"/>
      <c r="AG37"/>
      <c r="AH37"/>
      <c r="AI37"/>
      <c r="AJ37"/>
      <c r="AK37"/>
      <c r="AL37"/>
      <c r="AM37"/>
      <c r="AN37"/>
    </row>
    <row r="38" spans="1:40" ht="15" customHeight="1" x14ac:dyDescent="0.25">
      <c r="A38" s="136" t="s">
        <v>70</v>
      </c>
      <c r="B38" s="279" t="s">
        <v>313</v>
      </c>
      <c r="C38" s="280">
        <v>535</v>
      </c>
      <c r="D38" s="280">
        <v>1063</v>
      </c>
      <c r="E38" s="280">
        <v>256</v>
      </c>
      <c r="F38" s="280">
        <v>16</v>
      </c>
      <c r="G38" s="280">
        <v>45</v>
      </c>
      <c r="H38" s="280">
        <v>0</v>
      </c>
      <c r="I38" s="280">
        <v>159</v>
      </c>
      <c r="J38" s="280">
        <v>107</v>
      </c>
      <c r="K38" s="280">
        <v>21</v>
      </c>
      <c r="L38" s="491">
        <f>SUM(C38:K38)</f>
        <v>2202</v>
      </c>
      <c r="M38" s="280">
        <v>162</v>
      </c>
      <c r="N38" s="280">
        <v>229</v>
      </c>
      <c r="O38" s="280">
        <v>96</v>
      </c>
      <c r="P38" s="280">
        <v>5</v>
      </c>
      <c r="Q38" s="280">
        <v>42</v>
      </c>
      <c r="R38" s="280">
        <v>24</v>
      </c>
      <c r="S38" s="280">
        <v>0</v>
      </c>
      <c r="T38" s="280">
        <v>317</v>
      </c>
      <c r="U38" s="230">
        <v>34</v>
      </c>
      <c r="V38" s="296">
        <f>SUM(M38:U38)</f>
        <v>909</v>
      </c>
      <c r="W38" s="306">
        <v>846</v>
      </c>
      <c r="X38" s="240">
        <v>151</v>
      </c>
      <c r="Y38" s="240">
        <v>112</v>
      </c>
      <c r="Z38" s="281">
        <f t="shared" si="2"/>
        <v>4220</v>
      </c>
      <c r="AA38" s="218">
        <f t="shared" ref="AA38:AA48" si="11">C38+D38+F38+K38+M38+N38+P38+U38</f>
        <v>2065</v>
      </c>
    </row>
    <row r="39" spans="1:40" ht="15" customHeight="1" x14ac:dyDescent="0.25">
      <c r="A39" s="136" t="s">
        <v>75</v>
      </c>
      <c r="B39" s="137" t="s">
        <v>336</v>
      </c>
      <c r="C39" s="230">
        <v>1490</v>
      </c>
      <c r="D39" s="230">
        <v>1186</v>
      </c>
      <c r="E39" s="230">
        <v>685</v>
      </c>
      <c r="F39" s="230">
        <v>63</v>
      </c>
      <c r="G39" s="230">
        <v>81</v>
      </c>
      <c r="H39" s="230">
        <v>1</v>
      </c>
      <c r="I39" s="230">
        <v>0</v>
      </c>
      <c r="J39" s="230">
        <v>189</v>
      </c>
      <c r="K39" s="230">
        <v>0</v>
      </c>
      <c r="L39" s="491">
        <f t="shared" ref="L39:L54" si="12">SUM(C39:K39)</f>
        <v>3695</v>
      </c>
      <c r="M39" s="230">
        <v>314</v>
      </c>
      <c r="N39" s="230">
        <v>902</v>
      </c>
      <c r="O39" s="230">
        <v>308</v>
      </c>
      <c r="P39" s="230">
        <v>11</v>
      </c>
      <c r="Q39" s="230">
        <v>43</v>
      </c>
      <c r="R39" s="230">
        <v>57</v>
      </c>
      <c r="S39" s="230">
        <v>0</v>
      </c>
      <c r="T39" s="230">
        <v>141</v>
      </c>
      <c r="U39" s="230">
        <v>0</v>
      </c>
      <c r="V39" s="296">
        <f t="shared" ref="V39:V53" si="13">SUM(M39:U39)</f>
        <v>1776</v>
      </c>
      <c r="W39" s="304">
        <v>1364</v>
      </c>
      <c r="X39" s="233"/>
      <c r="Y39" s="233"/>
      <c r="Z39" s="247">
        <f t="shared" si="2"/>
        <v>6835</v>
      </c>
      <c r="AA39" s="215">
        <f t="shared" si="11"/>
        <v>3966</v>
      </c>
    </row>
    <row r="40" spans="1:40" ht="15" customHeight="1" x14ac:dyDescent="0.25">
      <c r="A40" s="136" t="s">
        <v>78</v>
      </c>
      <c r="B40" s="137" t="s">
        <v>314</v>
      </c>
      <c r="C40" s="230">
        <v>69</v>
      </c>
      <c r="D40" s="230">
        <v>182</v>
      </c>
      <c r="E40" s="230">
        <v>35</v>
      </c>
      <c r="F40" s="230">
        <v>5</v>
      </c>
      <c r="G40" s="230">
        <v>15</v>
      </c>
      <c r="H40" s="230">
        <v>0</v>
      </c>
      <c r="I40" s="230">
        <v>0</v>
      </c>
      <c r="J40" s="230">
        <v>9</v>
      </c>
      <c r="K40" s="230">
        <v>33</v>
      </c>
      <c r="L40" s="491">
        <f t="shared" si="12"/>
        <v>348</v>
      </c>
      <c r="M40" s="230">
        <v>160</v>
      </c>
      <c r="N40" s="230">
        <v>147</v>
      </c>
      <c r="O40" s="230">
        <v>89</v>
      </c>
      <c r="P40" s="230">
        <v>4</v>
      </c>
      <c r="Q40" s="230">
        <v>2</v>
      </c>
      <c r="R40" s="230">
        <v>0</v>
      </c>
      <c r="S40" s="230">
        <v>0</v>
      </c>
      <c r="T40" s="230">
        <v>5</v>
      </c>
      <c r="U40" s="230">
        <v>1</v>
      </c>
      <c r="V40" s="296">
        <f t="shared" si="13"/>
        <v>408</v>
      </c>
      <c r="W40" s="304">
        <v>221</v>
      </c>
      <c r="X40" s="233"/>
      <c r="Y40" s="233"/>
      <c r="Z40" s="247">
        <f t="shared" si="2"/>
        <v>977</v>
      </c>
      <c r="AA40" s="215">
        <f t="shared" si="11"/>
        <v>601</v>
      </c>
    </row>
    <row r="41" spans="1:40" ht="15" customHeight="1" x14ac:dyDescent="0.25">
      <c r="A41" s="136" t="s">
        <v>88</v>
      </c>
      <c r="B41" s="137" t="s">
        <v>337</v>
      </c>
      <c r="C41" s="230">
        <v>1593</v>
      </c>
      <c r="D41" s="230">
        <v>508</v>
      </c>
      <c r="E41" s="230">
        <v>357</v>
      </c>
      <c r="F41" s="230">
        <v>13</v>
      </c>
      <c r="G41" s="230">
        <v>44</v>
      </c>
      <c r="H41" s="230">
        <v>0</v>
      </c>
      <c r="I41" s="230">
        <v>0</v>
      </c>
      <c r="J41" s="230">
        <v>43</v>
      </c>
      <c r="K41" s="230">
        <v>0</v>
      </c>
      <c r="L41" s="491">
        <f t="shared" si="12"/>
        <v>2558</v>
      </c>
      <c r="M41" s="230">
        <v>1029</v>
      </c>
      <c r="N41" s="230">
        <v>422</v>
      </c>
      <c r="O41" s="230">
        <v>445</v>
      </c>
      <c r="P41" s="230">
        <v>5</v>
      </c>
      <c r="Q41" s="230">
        <v>23</v>
      </c>
      <c r="R41" s="230">
        <v>2</v>
      </c>
      <c r="S41" s="230">
        <v>0</v>
      </c>
      <c r="T41" s="230">
        <v>5</v>
      </c>
      <c r="U41" s="230">
        <v>0</v>
      </c>
      <c r="V41" s="296">
        <f t="shared" si="13"/>
        <v>1931</v>
      </c>
      <c r="W41" s="247">
        <v>645</v>
      </c>
      <c r="X41" s="233"/>
      <c r="Y41" s="233"/>
      <c r="Z41" s="247">
        <f t="shared" si="2"/>
        <v>5134</v>
      </c>
      <c r="AA41" s="215">
        <f t="shared" si="11"/>
        <v>3570</v>
      </c>
    </row>
    <row r="42" spans="1:40" ht="15" customHeight="1" x14ac:dyDescent="0.25">
      <c r="A42" s="137" t="s">
        <v>99</v>
      </c>
      <c r="B42" s="418" t="s">
        <v>338</v>
      </c>
      <c r="C42" s="230">
        <v>10442</v>
      </c>
      <c r="D42" s="230">
        <v>2030</v>
      </c>
      <c r="E42" s="230">
        <v>1764</v>
      </c>
      <c r="F42" s="230">
        <v>92</v>
      </c>
      <c r="G42" s="230">
        <v>143</v>
      </c>
      <c r="H42" s="230">
        <v>17</v>
      </c>
      <c r="I42" s="230">
        <v>9</v>
      </c>
      <c r="J42" s="230">
        <v>362</v>
      </c>
      <c r="K42" s="230">
        <v>0</v>
      </c>
      <c r="L42" s="491">
        <f t="shared" si="12"/>
        <v>14859</v>
      </c>
      <c r="M42" s="230">
        <v>719</v>
      </c>
      <c r="N42" s="230">
        <v>434</v>
      </c>
      <c r="O42" s="230">
        <v>397</v>
      </c>
      <c r="P42" s="230">
        <v>8</v>
      </c>
      <c r="Q42" s="230">
        <v>9</v>
      </c>
      <c r="R42" s="230">
        <v>226</v>
      </c>
      <c r="S42" s="230">
        <v>0</v>
      </c>
      <c r="T42" s="230">
        <v>12</v>
      </c>
      <c r="U42" s="230">
        <v>0</v>
      </c>
      <c r="V42" s="296">
        <f t="shared" si="13"/>
        <v>1805</v>
      </c>
      <c r="W42" s="304">
        <v>1302</v>
      </c>
      <c r="X42" s="245"/>
      <c r="Y42" s="233"/>
      <c r="Z42" s="247">
        <f t="shared" si="2"/>
        <v>17966</v>
      </c>
      <c r="AA42" s="215">
        <f t="shared" si="11"/>
        <v>13725</v>
      </c>
    </row>
    <row r="43" spans="1:40" ht="15" customHeight="1" x14ac:dyDescent="0.25">
      <c r="A43" s="137" t="s">
        <v>113</v>
      </c>
      <c r="B43" s="418" t="s">
        <v>339</v>
      </c>
      <c r="C43" s="230">
        <v>3282</v>
      </c>
      <c r="D43" s="230">
        <v>1760</v>
      </c>
      <c r="E43" s="230">
        <v>1328</v>
      </c>
      <c r="F43" s="230">
        <v>73</v>
      </c>
      <c r="G43" s="230">
        <v>73</v>
      </c>
      <c r="H43" s="230">
        <v>0</v>
      </c>
      <c r="I43" s="230">
        <v>0</v>
      </c>
      <c r="J43" s="230">
        <v>321</v>
      </c>
      <c r="K43" s="230">
        <v>0</v>
      </c>
      <c r="L43" s="491">
        <f t="shared" si="12"/>
        <v>6837</v>
      </c>
      <c r="M43" s="230">
        <v>4645</v>
      </c>
      <c r="N43" s="230">
        <v>6539</v>
      </c>
      <c r="O43" s="230">
        <v>3507</v>
      </c>
      <c r="P43" s="230">
        <v>156</v>
      </c>
      <c r="Q43" s="230">
        <v>237</v>
      </c>
      <c r="R43" s="230">
        <v>12</v>
      </c>
      <c r="S43" s="230">
        <v>0</v>
      </c>
      <c r="T43" s="230">
        <v>897</v>
      </c>
      <c r="U43" s="230">
        <v>0</v>
      </c>
      <c r="V43" s="296">
        <f t="shared" si="13"/>
        <v>15993</v>
      </c>
      <c r="W43" s="304">
        <v>915</v>
      </c>
      <c r="X43" s="233"/>
      <c r="Y43" s="233"/>
      <c r="Z43" s="247">
        <f t="shared" si="2"/>
        <v>23745</v>
      </c>
      <c r="AA43" s="215">
        <f t="shared" si="11"/>
        <v>16455</v>
      </c>
    </row>
    <row r="44" spans="1:40" ht="15" customHeight="1" x14ac:dyDescent="0.25">
      <c r="A44" s="137" t="s">
        <v>116</v>
      </c>
      <c r="B44" s="418" t="s">
        <v>316</v>
      </c>
      <c r="C44" s="230">
        <v>1947</v>
      </c>
      <c r="D44" s="230">
        <v>1830</v>
      </c>
      <c r="E44" s="230">
        <v>686</v>
      </c>
      <c r="F44" s="230">
        <v>32</v>
      </c>
      <c r="G44" s="230">
        <v>190</v>
      </c>
      <c r="H44" s="230">
        <v>0</v>
      </c>
      <c r="I44" s="230">
        <v>0</v>
      </c>
      <c r="J44" s="230">
        <v>69</v>
      </c>
      <c r="K44" s="230">
        <v>80</v>
      </c>
      <c r="L44" s="491">
        <f t="shared" si="12"/>
        <v>4834</v>
      </c>
      <c r="M44" s="230">
        <v>130</v>
      </c>
      <c r="N44" s="230">
        <v>123</v>
      </c>
      <c r="O44" s="230">
        <v>128</v>
      </c>
      <c r="P44" s="230">
        <v>3</v>
      </c>
      <c r="Q44" s="230">
        <v>4</v>
      </c>
      <c r="R44" s="230">
        <v>52</v>
      </c>
      <c r="S44" s="230">
        <v>0</v>
      </c>
      <c r="T44" s="230">
        <v>0</v>
      </c>
      <c r="U44" s="230">
        <v>1</v>
      </c>
      <c r="V44" s="296">
        <f t="shared" si="13"/>
        <v>441</v>
      </c>
      <c r="W44" s="304">
        <v>1273</v>
      </c>
      <c r="X44" s="233"/>
      <c r="Y44" s="233"/>
      <c r="Z44" s="247">
        <f t="shared" si="2"/>
        <v>6548</v>
      </c>
      <c r="AA44" s="215">
        <f t="shared" si="11"/>
        <v>4146</v>
      </c>
    </row>
    <row r="45" spans="1:40" ht="15" customHeight="1" x14ac:dyDescent="0.25">
      <c r="A45" s="137" t="s">
        <v>117</v>
      </c>
      <c r="B45" s="418" t="s">
        <v>317</v>
      </c>
      <c r="C45" s="230">
        <v>2775</v>
      </c>
      <c r="D45" s="230">
        <v>2073</v>
      </c>
      <c r="E45" s="230">
        <v>1632</v>
      </c>
      <c r="F45" s="230">
        <v>92</v>
      </c>
      <c r="G45" s="230">
        <v>165</v>
      </c>
      <c r="H45" s="230">
        <v>0</v>
      </c>
      <c r="I45" s="230">
        <v>2</v>
      </c>
      <c r="J45" s="230">
        <v>214</v>
      </c>
      <c r="K45" s="230">
        <v>0</v>
      </c>
      <c r="L45" s="491">
        <f t="shared" si="12"/>
        <v>6953</v>
      </c>
      <c r="M45" s="230">
        <v>415</v>
      </c>
      <c r="N45" s="230">
        <v>927</v>
      </c>
      <c r="O45" s="230">
        <v>391</v>
      </c>
      <c r="P45" s="230">
        <v>51</v>
      </c>
      <c r="Q45" s="230">
        <v>56</v>
      </c>
      <c r="R45" s="230">
        <v>72</v>
      </c>
      <c r="S45" s="230">
        <v>0</v>
      </c>
      <c r="T45" s="230">
        <v>348</v>
      </c>
      <c r="U45" s="230">
        <v>0</v>
      </c>
      <c r="V45" s="296">
        <f t="shared" si="13"/>
        <v>2260</v>
      </c>
      <c r="W45" s="248">
        <v>0</v>
      </c>
      <c r="X45" s="233"/>
      <c r="Y45" s="233"/>
      <c r="Z45" s="247">
        <f t="shared" si="2"/>
        <v>9213</v>
      </c>
      <c r="AA45" s="215">
        <f t="shared" si="11"/>
        <v>6333</v>
      </c>
    </row>
    <row r="46" spans="1:40" ht="15" customHeight="1" x14ac:dyDescent="0.25">
      <c r="A46" s="137" t="s">
        <v>118</v>
      </c>
      <c r="B46" s="418" t="s">
        <v>340</v>
      </c>
      <c r="C46" s="230">
        <v>181</v>
      </c>
      <c r="D46" s="230">
        <v>346</v>
      </c>
      <c r="E46" s="230">
        <v>56</v>
      </c>
      <c r="F46" s="230">
        <v>22</v>
      </c>
      <c r="G46" s="230">
        <v>14</v>
      </c>
      <c r="H46" s="230">
        <v>0</v>
      </c>
      <c r="I46" s="230">
        <v>0</v>
      </c>
      <c r="J46" s="230">
        <v>34</v>
      </c>
      <c r="K46" s="230">
        <v>0</v>
      </c>
      <c r="L46" s="491">
        <f t="shared" si="12"/>
        <v>653</v>
      </c>
      <c r="M46" s="230">
        <v>63</v>
      </c>
      <c r="N46" s="230">
        <v>102</v>
      </c>
      <c r="O46" s="230">
        <v>16</v>
      </c>
      <c r="P46" s="230">
        <v>3</v>
      </c>
      <c r="Q46" s="230">
        <v>3</v>
      </c>
      <c r="R46" s="230">
        <v>0</v>
      </c>
      <c r="S46" s="230">
        <v>0</v>
      </c>
      <c r="T46" s="230">
        <v>0</v>
      </c>
      <c r="U46" s="230">
        <v>0</v>
      </c>
      <c r="V46" s="296">
        <f t="shared" si="13"/>
        <v>187</v>
      </c>
      <c r="W46" s="304">
        <v>94</v>
      </c>
      <c r="X46" s="245">
        <v>93</v>
      </c>
      <c r="Y46" s="245">
        <v>5</v>
      </c>
      <c r="Z46" s="247">
        <f t="shared" si="2"/>
        <v>1032</v>
      </c>
      <c r="AA46" s="215">
        <f t="shared" si="11"/>
        <v>717</v>
      </c>
    </row>
    <row r="47" spans="1:40" ht="15" customHeight="1" x14ac:dyDescent="0.25">
      <c r="A47" s="137" t="s">
        <v>122</v>
      </c>
      <c r="B47" s="418" t="s">
        <v>341</v>
      </c>
      <c r="C47" s="230">
        <v>2413</v>
      </c>
      <c r="D47" s="230">
        <v>1821</v>
      </c>
      <c r="E47" s="230">
        <v>1076</v>
      </c>
      <c r="F47" s="230">
        <v>79</v>
      </c>
      <c r="G47" s="230">
        <v>135</v>
      </c>
      <c r="H47" s="230">
        <v>1</v>
      </c>
      <c r="I47" s="230">
        <v>42</v>
      </c>
      <c r="J47" s="230">
        <v>546</v>
      </c>
      <c r="K47" s="230">
        <v>0</v>
      </c>
      <c r="L47" s="491">
        <f t="shared" si="12"/>
        <v>6113</v>
      </c>
      <c r="M47" s="230">
        <v>1930</v>
      </c>
      <c r="N47" s="230">
        <v>2814</v>
      </c>
      <c r="O47" s="230">
        <v>1566</v>
      </c>
      <c r="P47" s="230">
        <v>85</v>
      </c>
      <c r="Q47" s="230">
        <v>109</v>
      </c>
      <c r="R47" s="230">
        <v>272</v>
      </c>
      <c r="S47" s="230">
        <v>0</v>
      </c>
      <c r="T47" s="230">
        <v>565</v>
      </c>
      <c r="U47" s="230">
        <v>0</v>
      </c>
      <c r="V47" s="296">
        <f t="shared" si="13"/>
        <v>7341</v>
      </c>
      <c r="W47" s="304">
        <v>904</v>
      </c>
      <c r="X47" s="245"/>
      <c r="Y47" s="245"/>
      <c r="Z47" s="247">
        <f t="shared" si="2"/>
        <v>14358</v>
      </c>
      <c r="AA47" s="215">
        <f t="shared" si="11"/>
        <v>9142</v>
      </c>
    </row>
    <row r="48" spans="1:40" ht="15" customHeight="1" x14ac:dyDescent="0.25">
      <c r="A48" s="137" t="s">
        <v>140</v>
      </c>
      <c r="B48" s="117" t="s">
        <v>265</v>
      </c>
      <c r="C48" s="459"/>
      <c r="D48" s="128"/>
      <c r="E48" s="128"/>
      <c r="F48" s="128"/>
      <c r="G48" s="128"/>
      <c r="H48" s="128"/>
      <c r="I48" s="128"/>
      <c r="J48" s="128"/>
      <c r="K48" s="128"/>
      <c r="L48" s="491">
        <f t="shared" si="12"/>
        <v>0</v>
      </c>
      <c r="M48" s="230"/>
      <c r="N48" s="230"/>
      <c r="O48" s="230"/>
      <c r="P48" s="230"/>
      <c r="Q48" s="230"/>
      <c r="R48" s="230"/>
      <c r="S48" s="230"/>
      <c r="T48" s="230"/>
      <c r="U48" s="230"/>
      <c r="V48" s="296">
        <f t="shared" si="13"/>
        <v>0</v>
      </c>
      <c r="W48" s="246"/>
      <c r="X48" s="245"/>
      <c r="Y48" s="245"/>
      <c r="Z48" s="247">
        <f t="shared" si="2"/>
        <v>0</v>
      </c>
      <c r="AA48" s="215">
        <f t="shared" si="11"/>
        <v>0</v>
      </c>
    </row>
    <row r="49" spans="1:40" ht="15" customHeight="1" x14ac:dyDescent="0.25">
      <c r="A49" s="137" t="s">
        <v>141</v>
      </c>
      <c r="B49" s="117" t="s">
        <v>342</v>
      </c>
      <c r="C49" s="230">
        <v>957</v>
      </c>
      <c r="D49" s="230">
        <v>599</v>
      </c>
      <c r="E49" s="230">
        <v>269</v>
      </c>
      <c r="F49" s="230">
        <v>67</v>
      </c>
      <c r="G49" s="230">
        <v>38</v>
      </c>
      <c r="H49" s="230">
        <v>0</v>
      </c>
      <c r="I49" s="230">
        <v>0</v>
      </c>
      <c r="J49" s="230">
        <v>91</v>
      </c>
      <c r="K49" s="230">
        <v>0</v>
      </c>
      <c r="L49" s="491">
        <f t="shared" si="12"/>
        <v>2021</v>
      </c>
      <c r="M49" s="230">
        <v>476</v>
      </c>
      <c r="N49" s="230">
        <v>418</v>
      </c>
      <c r="O49" s="230">
        <v>166</v>
      </c>
      <c r="P49" s="230">
        <v>9</v>
      </c>
      <c r="Q49" s="230">
        <v>19</v>
      </c>
      <c r="R49" s="230">
        <v>139</v>
      </c>
      <c r="S49" s="230">
        <v>0</v>
      </c>
      <c r="T49" s="230">
        <v>50</v>
      </c>
      <c r="U49" s="230"/>
      <c r="V49" s="296">
        <f t="shared" si="13"/>
        <v>1277</v>
      </c>
      <c r="W49" s="299">
        <v>918</v>
      </c>
      <c r="X49" s="204"/>
      <c r="Y49" s="204"/>
      <c r="Z49" s="247">
        <f t="shared" si="2"/>
        <v>4216</v>
      </c>
      <c r="AA49" s="215">
        <f t="shared" ref="AA49:AA54" si="14">C49+D49+F49+K49+M49+N49+P49+U49</f>
        <v>2526</v>
      </c>
    </row>
    <row r="50" spans="1:40" ht="15" customHeight="1" x14ac:dyDescent="0.25">
      <c r="A50" s="137" t="s">
        <v>142</v>
      </c>
      <c r="B50" s="117" t="s">
        <v>343</v>
      </c>
      <c r="C50" s="230">
        <v>0</v>
      </c>
      <c r="D50" s="230">
        <v>0</v>
      </c>
      <c r="E50" s="230">
        <v>478</v>
      </c>
      <c r="F50" s="230">
        <v>0</v>
      </c>
      <c r="G50" s="230">
        <v>0</v>
      </c>
      <c r="H50" s="230">
        <v>0</v>
      </c>
      <c r="I50" s="230">
        <v>0</v>
      </c>
      <c r="J50" s="230">
        <v>6014</v>
      </c>
      <c r="K50" s="230">
        <v>0</v>
      </c>
      <c r="L50" s="491">
        <f t="shared" si="12"/>
        <v>6492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230"/>
      <c r="V50" s="296">
        <f t="shared" si="13"/>
        <v>0</v>
      </c>
      <c r="W50" s="299">
        <f>532+605</f>
        <v>1137</v>
      </c>
      <c r="X50" s="204"/>
      <c r="Y50" s="204"/>
      <c r="Z50" s="247">
        <f t="shared" si="2"/>
        <v>7629</v>
      </c>
      <c r="AA50" s="215">
        <f t="shared" si="14"/>
        <v>0</v>
      </c>
    </row>
    <row r="51" spans="1:40" ht="15" customHeight="1" x14ac:dyDescent="0.25">
      <c r="A51" s="137" t="s">
        <v>147</v>
      </c>
      <c r="B51" s="117" t="s">
        <v>322</v>
      </c>
      <c r="C51" s="230">
        <v>8718</v>
      </c>
      <c r="D51" s="230">
        <v>3130</v>
      </c>
      <c r="E51" s="230">
        <v>1958</v>
      </c>
      <c r="F51" s="230">
        <v>67</v>
      </c>
      <c r="G51" s="230">
        <v>119</v>
      </c>
      <c r="H51" s="230">
        <v>14</v>
      </c>
      <c r="I51" s="230">
        <v>90</v>
      </c>
      <c r="J51" s="230">
        <v>1472</v>
      </c>
      <c r="K51" s="230">
        <v>0</v>
      </c>
      <c r="L51" s="491">
        <f t="shared" si="12"/>
        <v>15568</v>
      </c>
      <c r="M51" s="230">
        <v>513</v>
      </c>
      <c r="N51" s="230">
        <v>356</v>
      </c>
      <c r="O51" s="230">
        <v>263</v>
      </c>
      <c r="P51" s="230">
        <v>2</v>
      </c>
      <c r="Q51" s="230">
        <v>2</v>
      </c>
      <c r="R51" s="230">
        <v>114</v>
      </c>
      <c r="S51" s="230">
        <v>0</v>
      </c>
      <c r="T51" s="230">
        <v>533</v>
      </c>
      <c r="U51" s="230"/>
      <c r="V51" s="296">
        <f t="shared" si="13"/>
        <v>1783</v>
      </c>
      <c r="W51" s="299">
        <v>624</v>
      </c>
      <c r="X51" s="204"/>
      <c r="Y51" s="204"/>
      <c r="Z51" s="247">
        <f t="shared" si="2"/>
        <v>17975</v>
      </c>
      <c r="AA51" s="215">
        <f t="shared" si="14"/>
        <v>12786</v>
      </c>
    </row>
    <row r="52" spans="1:40" ht="15" customHeight="1" x14ac:dyDescent="0.25">
      <c r="A52" s="370" t="s">
        <v>365</v>
      </c>
      <c r="B52" s="371" t="s">
        <v>366</v>
      </c>
      <c r="C52" s="459"/>
      <c r="D52" s="128"/>
      <c r="E52" s="128"/>
      <c r="F52" s="128"/>
      <c r="G52" s="128"/>
      <c r="H52" s="128"/>
      <c r="I52" s="128"/>
      <c r="J52" s="128">
        <v>2994</v>
      </c>
      <c r="K52" s="128"/>
      <c r="L52" s="491">
        <f t="shared" si="12"/>
        <v>2994</v>
      </c>
      <c r="M52" s="147"/>
      <c r="N52" s="147"/>
      <c r="O52" s="147"/>
      <c r="P52" s="147"/>
      <c r="Q52" s="147"/>
      <c r="R52" s="147"/>
      <c r="S52" s="147"/>
      <c r="T52" s="147">
        <v>3051</v>
      </c>
      <c r="U52" s="147"/>
      <c r="V52" s="296">
        <f t="shared" si="13"/>
        <v>3051</v>
      </c>
      <c r="W52" s="246"/>
      <c r="X52" s="204"/>
      <c r="Y52" s="204"/>
      <c r="Z52" s="247">
        <f t="shared" si="2"/>
        <v>6045</v>
      </c>
      <c r="AA52" s="215">
        <f t="shared" si="14"/>
        <v>0</v>
      </c>
    </row>
    <row r="53" spans="1:40" ht="15" customHeight="1" x14ac:dyDescent="0.25">
      <c r="A53" s="136" t="s">
        <v>174</v>
      </c>
      <c r="B53" s="137" t="s">
        <v>344</v>
      </c>
      <c r="C53" s="230">
        <v>4768</v>
      </c>
      <c r="D53" s="230">
        <v>2407</v>
      </c>
      <c r="E53" s="230">
        <v>1232</v>
      </c>
      <c r="F53" s="230">
        <v>98</v>
      </c>
      <c r="G53" s="230">
        <v>57</v>
      </c>
      <c r="H53" s="230">
        <v>24</v>
      </c>
      <c r="I53" s="230">
        <v>12</v>
      </c>
      <c r="J53" s="230">
        <v>366</v>
      </c>
      <c r="K53" s="230">
        <v>0</v>
      </c>
      <c r="L53" s="491">
        <f t="shared" si="12"/>
        <v>8964</v>
      </c>
      <c r="M53" s="230">
        <v>907</v>
      </c>
      <c r="N53" s="230">
        <v>771</v>
      </c>
      <c r="O53" s="230">
        <v>470</v>
      </c>
      <c r="P53" s="230">
        <v>15</v>
      </c>
      <c r="Q53" s="230">
        <v>26</v>
      </c>
      <c r="R53" s="230">
        <v>12</v>
      </c>
      <c r="S53" s="230">
        <v>0</v>
      </c>
      <c r="T53" s="230">
        <v>225</v>
      </c>
      <c r="U53" s="230"/>
      <c r="V53" s="296">
        <f t="shared" si="13"/>
        <v>2426</v>
      </c>
      <c r="W53" s="307">
        <v>1385</v>
      </c>
      <c r="X53" s="204"/>
      <c r="Y53" s="204"/>
      <c r="Z53" s="247">
        <f t="shared" si="2"/>
        <v>12775</v>
      </c>
      <c r="AA53" s="215">
        <f t="shared" si="14"/>
        <v>8966</v>
      </c>
    </row>
    <row r="54" spans="1:40" ht="15" customHeight="1" thickBot="1" x14ac:dyDescent="0.3">
      <c r="A54" s="136" t="s">
        <v>186</v>
      </c>
      <c r="B54" s="143" t="s">
        <v>345</v>
      </c>
      <c r="C54" s="265">
        <v>283</v>
      </c>
      <c r="D54" s="265">
        <v>363</v>
      </c>
      <c r="E54" s="265">
        <v>145</v>
      </c>
      <c r="F54" s="265">
        <v>14</v>
      </c>
      <c r="G54" s="265">
        <v>26</v>
      </c>
      <c r="H54" s="265">
        <v>17</v>
      </c>
      <c r="I54" s="265">
        <v>150</v>
      </c>
      <c r="J54" s="265">
        <v>77</v>
      </c>
      <c r="K54" s="265">
        <v>0</v>
      </c>
      <c r="L54" s="491">
        <f t="shared" si="12"/>
        <v>1075</v>
      </c>
      <c r="M54" s="230">
        <v>534</v>
      </c>
      <c r="N54" s="230">
        <v>1029</v>
      </c>
      <c r="O54" s="230">
        <v>313</v>
      </c>
      <c r="P54" s="230">
        <v>61</v>
      </c>
      <c r="Q54" s="230">
        <v>50</v>
      </c>
      <c r="R54" s="230">
        <v>68</v>
      </c>
      <c r="S54" s="230">
        <v>0</v>
      </c>
      <c r="T54" s="230">
        <v>65</v>
      </c>
      <c r="U54" s="265"/>
      <c r="V54" s="399">
        <f t="shared" ref="V54" si="15">SUM(M54:U54)</f>
        <v>2120</v>
      </c>
      <c r="W54" s="308">
        <v>533</v>
      </c>
      <c r="X54" s="209"/>
      <c r="Y54" s="209"/>
      <c r="Z54" s="278">
        <f t="shared" si="2"/>
        <v>3728</v>
      </c>
      <c r="AA54" s="217">
        <f t="shared" si="14"/>
        <v>2284</v>
      </c>
    </row>
    <row r="55" spans="1:40" s="109" customFormat="1" ht="14.4" thickBot="1" x14ac:dyDescent="0.3">
      <c r="A55" s="134"/>
      <c r="B55" s="159" t="s">
        <v>459</v>
      </c>
      <c r="C55" s="258">
        <f t="shared" ref="C55:AA55" si="16">SUM(C38:C54)</f>
        <v>39453</v>
      </c>
      <c r="D55" s="157">
        <f t="shared" si="16"/>
        <v>19298</v>
      </c>
      <c r="E55" s="166">
        <f t="shared" si="16"/>
        <v>11957</v>
      </c>
      <c r="F55" s="362">
        <f t="shared" si="16"/>
        <v>733</v>
      </c>
      <c r="G55" s="157">
        <f t="shared" si="16"/>
        <v>1145</v>
      </c>
      <c r="H55" s="259">
        <f t="shared" si="16"/>
        <v>74</v>
      </c>
      <c r="I55" s="362">
        <f t="shared" si="16"/>
        <v>464</v>
      </c>
      <c r="J55" s="157">
        <f t="shared" si="16"/>
        <v>12908</v>
      </c>
      <c r="K55" s="259">
        <f t="shared" si="16"/>
        <v>134</v>
      </c>
      <c r="L55" s="263">
        <f t="shared" si="16"/>
        <v>86166</v>
      </c>
      <c r="M55" s="330">
        <f t="shared" si="16"/>
        <v>11997</v>
      </c>
      <c r="N55" s="331">
        <f t="shared" si="16"/>
        <v>15213</v>
      </c>
      <c r="O55" s="331">
        <f t="shared" si="16"/>
        <v>8155</v>
      </c>
      <c r="P55" s="331">
        <f t="shared" si="16"/>
        <v>418</v>
      </c>
      <c r="Q55" s="331">
        <f t="shared" si="16"/>
        <v>625</v>
      </c>
      <c r="R55" s="331">
        <f t="shared" si="16"/>
        <v>1050</v>
      </c>
      <c r="S55" s="331">
        <f t="shared" si="16"/>
        <v>0</v>
      </c>
      <c r="T55" s="331">
        <f t="shared" si="16"/>
        <v>6214</v>
      </c>
      <c r="U55" s="264">
        <f t="shared" si="16"/>
        <v>36</v>
      </c>
      <c r="V55" s="263">
        <f t="shared" si="16"/>
        <v>43708</v>
      </c>
      <c r="W55" s="295">
        <f t="shared" si="16"/>
        <v>12161</v>
      </c>
      <c r="X55" s="210">
        <f t="shared" si="16"/>
        <v>244</v>
      </c>
      <c r="Y55" s="210">
        <f>SUM(Y38:Y54)</f>
        <v>117</v>
      </c>
      <c r="Z55" s="210">
        <f t="shared" si="16"/>
        <v>142396</v>
      </c>
      <c r="AA55" s="276">
        <f t="shared" si="16"/>
        <v>87282</v>
      </c>
      <c r="AC55"/>
      <c r="AD55"/>
      <c r="AE55"/>
      <c r="AF55"/>
      <c r="AG55"/>
      <c r="AH55"/>
      <c r="AI55"/>
      <c r="AJ55"/>
      <c r="AK55"/>
      <c r="AL55"/>
      <c r="AM55"/>
      <c r="AN55"/>
    </row>
    <row r="56" spans="1:40" ht="15" customHeight="1" x14ac:dyDescent="0.25">
      <c r="A56" s="136" t="s">
        <v>71</v>
      </c>
      <c r="B56" s="279" t="s">
        <v>305</v>
      </c>
      <c r="C56" s="280">
        <v>4</v>
      </c>
      <c r="D56" s="280">
        <v>0</v>
      </c>
      <c r="E56" s="280">
        <v>0</v>
      </c>
      <c r="F56" s="280">
        <v>0</v>
      </c>
      <c r="G56" s="280">
        <v>0</v>
      </c>
      <c r="H56" s="280">
        <v>0</v>
      </c>
      <c r="I56" s="280">
        <v>0</v>
      </c>
      <c r="J56" s="280">
        <v>991</v>
      </c>
      <c r="K56" s="280">
        <v>0</v>
      </c>
      <c r="L56" s="286">
        <f t="shared" ref="L56:L71" si="17">SUM(C56:K56)</f>
        <v>995</v>
      </c>
      <c r="M56" s="374"/>
      <c r="N56" s="280"/>
      <c r="O56" s="280"/>
      <c r="P56" s="280"/>
      <c r="Q56" s="280"/>
      <c r="R56" s="280"/>
      <c r="S56" s="280"/>
      <c r="T56" s="280"/>
      <c r="U56" s="280"/>
      <c r="V56" s="296">
        <f>SUM(M56:U56)</f>
        <v>0</v>
      </c>
      <c r="W56" s="309"/>
      <c r="X56" s="211"/>
      <c r="Y56" s="211"/>
      <c r="Z56" s="281">
        <f t="shared" si="2"/>
        <v>995</v>
      </c>
      <c r="AA56" s="218">
        <f t="shared" ref="AA56:AA65" si="18">C56+D56+F56+K56+M56+N56+P56+U56</f>
        <v>4</v>
      </c>
      <c r="AB56" s="142">
        <f>L56</f>
        <v>995</v>
      </c>
    </row>
    <row r="57" spans="1:40" ht="15" customHeight="1" x14ac:dyDescent="0.25">
      <c r="A57" s="136" t="s">
        <v>77</v>
      </c>
      <c r="B57" s="137" t="s">
        <v>306</v>
      </c>
      <c r="C57" s="230"/>
      <c r="D57" s="230"/>
      <c r="E57" s="230"/>
      <c r="F57" s="230"/>
      <c r="G57" s="230"/>
      <c r="H57" s="230"/>
      <c r="I57" s="230"/>
      <c r="J57" s="230"/>
      <c r="K57" s="230"/>
      <c r="L57" s="286">
        <f t="shared" si="17"/>
        <v>0</v>
      </c>
      <c r="M57" s="340"/>
      <c r="N57" s="230"/>
      <c r="O57" s="230"/>
      <c r="P57" s="230"/>
      <c r="Q57" s="230"/>
      <c r="R57" s="230"/>
      <c r="S57" s="230"/>
      <c r="T57" s="230"/>
      <c r="U57" s="230"/>
      <c r="V57" s="296">
        <f t="shared" ref="V57:V71" si="19">SUM(M57:U57)</f>
        <v>0</v>
      </c>
      <c r="W57" s="299">
        <v>568</v>
      </c>
      <c r="X57" s="204"/>
      <c r="Y57" s="204"/>
      <c r="Z57" s="247">
        <f t="shared" si="2"/>
        <v>568</v>
      </c>
      <c r="AA57" s="215">
        <f t="shared" si="18"/>
        <v>0</v>
      </c>
    </row>
    <row r="58" spans="1:40" ht="15" customHeight="1" x14ac:dyDescent="0.25">
      <c r="A58" s="137" t="s">
        <v>102</v>
      </c>
      <c r="B58" s="418" t="s">
        <v>315</v>
      </c>
      <c r="C58" s="230">
        <v>0</v>
      </c>
      <c r="D58" s="230">
        <v>0</v>
      </c>
      <c r="E58" s="230">
        <v>0</v>
      </c>
      <c r="F58" s="230">
        <v>0</v>
      </c>
      <c r="G58" s="230">
        <v>0</v>
      </c>
      <c r="H58" s="230">
        <v>0</v>
      </c>
      <c r="I58" s="230">
        <v>0</v>
      </c>
      <c r="J58" s="230">
        <v>109</v>
      </c>
      <c r="K58" s="230">
        <v>0</v>
      </c>
      <c r="L58" s="286">
        <f t="shared" si="17"/>
        <v>109</v>
      </c>
      <c r="M58" s="340"/>
      <c r="N58" s="230"/>
      <c r="O58" s="230"/>
      <c r="P58" s="230"/>
      <c r="Q58" s="230"/>
      <c r="R58" s="230"/>
      <c r="S58" s="230"/>
      <c r="T58" s="230"/>
      <c r="U58" s="230"/>
      <c r="V58" s="296">
        <f t="shared" si="19"/>
        <v>0</v>
      </c>
      <c r="W58" s="246"/>
      <c r="X58" s="204"/>
      <c r="Y58" s="204"/>
      <c r="Z58" s="247">
        <f t="shared" si="2"/>
        <v>109</v>
      </c>
      <c r="AA58" s="215">
        <f>C58+D58+F58+K58+M58+N58+P58+U58</f>
        <v>0</v>
      </c>
    </row>
    <row r="59" spans="1:40" ht="15" customHeight="1" x14ac:dyDescent="0.25">
      <c r="A59" s="137" t="s">
        <v>103</v>
      </c>
      <c r="B59" s="418" t="s">
        <v>297</v>
      </c>
      <c r="C59" s="230">
        <v>294</v>
      </c>
      <c r="D59" s="230">
        <v>95</v>
      </c>
      <c r="E59" s="230">
        <v>94</v>
      </c>
      <c r="F59" s="230">
        <v>7</v>
      </c>
      <c r="G59" s="230">
        <v>1</v>
      </c>
      <c r="H59" s="230">
        <v>0</v>
      </c>
      <c r="I59" s="230">
        <v>0</v>
      </c>
      <c r="J59" s="230">
        <v>23</v>
      </c>
      <c r="K59" s="230">
        <v>0</v>
      </c>
      <c r="L59" s="286">
        <f t="shared" si="17"/>
        <v>514</v>
      </c>
      <c r="M59" s="230">
        <v>43</v>
      </c>
      <c r="N59" s="230">
        <v>10</v>
      </c>
      <c r="O59" s="230">
        <v>23</v>
      </c>
      <c r="P59" s="230">
        <v>0</v>
      </c>
      <c r="Q59" s="230">
        <v>0</v>
      </c>
      <c r="R59" s="230">
        <v>0</v>
      </c>
      <c r="S59" s="230">
        <v>0</v>
      </c>
      <c r="T59" s="230">
        <v>39</v>
      </c>
      <c r="U59" s="230"/>
      <c r="V59" s="296">
        <f t="shared" si="19"/>
        <v>115</v>
      </c>
      <c r="W59" s="247">
        <v>1159</v>
      </c>
      <c r="X59" s="204"/>
      <c r="Y59" s="204"/>
      <c r="Z59" s="247">
        <f t="shared" si="2"/>
        <v>1788</v>
      </c>
      <c r="AA59" s="215">
        <f>C59+D59+F59+K59+M59+N59+P59+U59</f>
        <v>449</v>
      </c>
    </row>
    <row r="60" spans="1:40" ht="15" customHeight="1" x14ac:dyDescent="0.25">
      <c r="A60" s="137" t="s">
        <v>112</v>
      </c>
      <c r="B60" s="418" t="s">
        <v>307</v>
      </c>
      <c r="C60" s="230">
        <v>523</v>
      </c>
      <c r="D60" s="230">
        <v>451</v>
      </c>
      <c r="E60" s="230">
        <v>168</v>
      </c>
      <c r="F60" s="230">
        <v>13</v>
      </c>
      <c r="G60" s="230">
        <v>17</v>
      </c>
      <c r="H60" s="230">
        <v>0</v>
      </c>
      <c r="I60" s="230">
        <v>72</v>
      </c>
      <c r="J60" s="230">
        <v>143</v>
      </c>
      <c r="K60" s="230">
        <v>0</v>
      </c>
      <c r="L60" s="286">
        <f t="shared" si="17"/>
        <v>1387</v>
      </c>
      <c r="M60" s="230">
        <v>300</v>
      </c>
      <c r="N60" s="230">
        <v>311</v>
      </c>
      <c r="O60" s="230">
        <v>144</v>
      </c>
      <c r="P60" s="230">
        <v>8</v>
      </c>
      <c r="Q60" s="230">
        <v>4</v>
      </c>
      <c r="R60" s="230">
        <v>0</v>
      </c>
      <c r="S60" s="230">
        <v>0</v>
      </c>
      <c r="T60" s="230">
        <v>61</v>
      </c>
      <c r="U60" s="230"/>
      <c r="V60" s="296">
        <f t="shared" si="19"/>
        <v>828</v>
      </c>
      <c r="W60" s="247">
        <v>46</v>
      </c>
      <c r="X60" s="233"/>
      <c r="Y60" s="233"/>
      <c r="Z60" s="247">
        <f t="shared" si="2"/>
        <v>2261</v>
      </c>
      <c r="AA60" s="215">
        <f t="shared" si="18"/>
        <v>1606</v>
      </c>
    </row>
    <row r="61" spans="1:40" ht="15" customHeight="1" x14ac:dyDescent="0.25">
      <c r="A61" s="137" t="s">
        <v>120</v>
      </c>
      <c r="B61" s="418" t="s">
        <v>318</v>
      </c>
      <c r="C61" s="230">
        <v>2410</v>
      </c>
      <c r="D61" s="230">
        <v>839</v>
      </c>
      <c r="E61" s="230">
        <v>633</v>
      </c>
      <c r="F61" s="230">
        <v>32</v>
      </c>
      <c r="G61" s="230">
        <v>56</v>
      </c>
      <c r="H61" s="230">
        <v>1</v>
      </c>
      <c r="I61" s="230">
        <v>0</v>
      </c>
      <c r="J61" s="230">
        <v>210</v>
      </c>
      <c r="K61" s="230">
        <v>263</v>
      </c>
      <c r="L61" s="286">
        <f t="shared" si="17"/>
        <v>4444</v>
      </c>
      <c r="M61" s="230">
        <v>1056</v>
      </c>
      <c r="N61" s="230">
        <v>625</v>
      </c>
      <c r="O61" s="230">
        <v>586</v>
      </c>
      <c r="P61" s="230">
        <v>35</v>
      </c>
      <c r="Q61" s="230">
        <v>11</v>
      </c>
      <c r="R61" s="230">
        <v>76</v>
      </c>
      <c r="S61" s="230">
        <v>0</v>
      </c>
      <c r="T61" s="230">
        <v>5</v>
      </c>
      <c r="U61" s="230"/>
      <c r="V61" s="296">
        <f t="shared" si="19"/>
        <v>2394</v>
      </c>
      <c r="W61" s="304">
        <v>341</v>
      </c>
      <c r="X61" s="233"/>
      <c r="Y61" s="233"/>
      <c r="Z61" s="247">
        <f t="shared" si="2"/>
        <v>7179</v>
      </c>
      <c r="AA61" s="215">
        <f>C61+D61+F61+K61+M61+N61+P61+U61</f>
        <v>5260</v>
      </c>
    </row>
    <row r="62" spans="1:40" ht="15" customHeight="1" x14ac:dyDescent="0.25">
      <c r="A62" s="137" t="s">
        <v>131</v>
      </c>
      <c r="B62" s="418" t="s">
        <v>308</v>
      </c>
      <c r="C62" s="230">
        <v>1319</v>
      </c>
      <c r="D62" s="230">
        <v>588</v>
      </c>
      <c r="E62" s="230">
        <v>513</v>
      </c>
      <c r="F62" s="230">
        <v>33</v>
      </c>
      <c r="G62" s="230">
        <v>36</v>
      </c>
      <c r="H62" s="230">
        <v>0</v>
      </c>
      <c r="I62" s="230">
        <v>0</v>
      </c>
      <c r="J62" s="230">
        <v>313</v>
      </c>
      <c r="K62" s="230">
        <v>1</v>
      </c>
      <c r="L62" s="286">
        <f t="shared" si="17"/>
        <v>2803</v>
      </c>
      <c r="M62" s="230">
        <v>1119</v>
      </c>
      <c r="N62" s="230">
        <v>1191</v>
      </c>
      <c r="O62" s="459">
        <v>1064</v>
      </c>
      <c r="P62" s="230">
        <v>25</v>
      </c>
      <c r="Q62" s="230">
        <v>67</v>
      </c>
      <c r="R62" s="230">
        <v>54</v>
      </c>
      <c r="S62" s="230">
        <v>0</v>
      </c>
      <c r="T62" s="230">
        <v>274</v>
      </c>
      <c r="U62" s="230"/>
      <c r="V62" s="296">
        <f t="shared" si="19"/>
        <v>3794</v>
      </c>
      <c r="W62" s="304">
        <v>803</v>
      </c>
      <c r="X62" s="233"/>
      <c r="Y62" s="233"/>
      <c r="Z62" s="247">
        <f t="shared" si="2"/>
        <v>7400</v>
      </c>
      <c r="AA62" s="215">
        <f t="shared" si="18"/>
        <v>4276</v>
      </c>
    </row>
    <row r="63" spans="1:40" ht="15" customHeight="1" x14ac:dyDescent="0.25">
      <c r="A63" s="137" t="s">
        <v>133</v>
      </c>
      <c r="B63" s="418" t="s">
        <v>319</v>
      </c>
      <c r="C63" s="230"/>
      <c r="D63" s="230"/>
      <c r="E63" s="230"/>
      <c r="F63" s="230">
        <v>0</v>
      </c>
      <c r="G63" s="230">
        <v>0</v>
      </c>
      <c r="H63" s="230">
        <v>0</v>
      </c>
      <c r="I63" s="230">
        <v>0</v>
      </c>
      <c r="J63" s="230">
        <v>0</v>
      </c>
      <c r="K63" s="230">
        <v>0</v>
      </c>
      <c r="L63" s="286">
        <f t="shared" si="17"/>
        <v>0</v>
      </c>
      <c r="M63">
        <v>0</v>
      </c>
      <c r="N63">
        <v>0</v>
      </c>
      <c r="O63">
        <v>14</v>
      </c>
      <c r="P63" s="230">
        <v>0</v>
      </c>
      <c r="Q63" s="230">
        <v>0</v>
      </c>
      <c r="R63" s="230">
        <v>0</v>
      </c>
      <c r="S63" s="230">
        <v>0</v>
      </c>
      <c r="T63" s="230">
        <v>137</v>
      </c>
      <c r="U63" s="230"/>
      <c r="V63" s="296">
        <f t="shared" si="19"/>
        <v>151</v>
      </c>
      <c r="W63" s="304">
        <v>360</v>
      </c>
      <c r="X63" s="233"/>
      <c r="Y63" s="233"/>
      <c r="Z63" s="247">
        <f t="shared" si="2"/>
        <v>511</v>
      </c>
      <c r="AA63" s="215">
        <f>C63+D63+F63+K63+M63+N63+P63+U63</f>
        <v>0</v>
      </c>
    </row>
    <row r="64" spans="1:40" ht="15" customHeight="1" x14ac:dyDescent="0.25">
      <c r="A64" s="137" t="s">
        <v>134</v>
      </c>
      <c r="B64" s="418" t="s">
        <v>320</v>
      </c>
      <c r="C64" s="230"/>
      <c r="D64" s="230"/>
      <c r="E64" s="230"/>
      <c r="F64" s="230"/>
      <c r="G64" s="230"/>
      <c r="H64" s="230"/>
      <c r="I64" s="230"/>
      <c r="J64" s="230"/>
      <c r="K64" s="230"/>
      <c r="L64" s="286">
        <f t="shared" si="17"/>
        <v>0</v>
      </c>
      <c r="M64" s="340"/>
      <c r="N64" s="230"/>
      <c r="O64" s="459"/>
      <c r="P64" s="230"/>
      <c r="Q64" s="230"/>
      <c r="R64" s="230"/>
      <c r="S64" s="230"/>
      <c r="T64" s="230"/>
      <c r="U64" s="230"/>
      <c r="V64" s="296">
        <f t="shared" si="19"/>
        <v>0</v>
      </c>
      <c r="W64" s="304">
        <v>178</v>
      </c>
      <c r="X64" s="233"/>
      <c r="Y64" s="233"/>
      <c r="Z64" s="247">
        <f t="shared" si="2"/>
        <v>178</v>
      </c>
      <c r="AA64" s="215">
        <f>C64+D64+F64+K64+M64+N64+P64+U64</f>
        <v>0</v>
      </c>
    </row>
    <row r="65" spans="1:40" ht="15" customHeight="1" x14ac:dyDescent="0.25">
      <c r="A65" s="137" t="s">
        <v>145</v>
      </c>
      <c r="B65" s="418" t="s">
        <v>309</v>
      </c>
      <c r="C65" s="230">
        <v>355</v>
      </c>
      <c r="D65" s="230">
        <v>168</v>
      </c>
      <c r="E65" s="230">
        <v>104</v>
      </c>
      <c r="F65" s="230">
        <v>29</v>
      </c>
      <c r="G65" s="230">
        <v>17</v>
      </c>
      <c r="H65" s="230">
        <v>0</v>
      </c>
      <c r="I65" s="230">
        <v>0</v>
      </c>
      <c r="J65" s="230">
        <v>90</v>
      </c>
      <c r="K65" s="230">
        <v>0</v>
      </c>
      <c r="L65" s="286">
        <f t="shared" si="17"/>
        <v>763</v>
      </c>
      <c r="M65" s="230">
        <v>263</v>
      </c>
      <c r="N65" s="230">
        <v>169</v>
      </c>
      <c r="O65" s="459">
        <v>134</v>
      </c>
      <c r="P65" s="230">
        <v>23</v>
      </c>
      <c r="Q65" s="230">
        <v>14</v>
      </c>
      <c r="R65" s="230">
        <v>72</v>
      </c>
      <c r="S65" s="230">
        <v>0</v>
      </c>
      <c r="T65" s="230">
        <v>46</v>
      </c>
      <c r="U65" s="230"/>
      <c r="V65" s="296">
        <f t="shared" si="19"/>
        <v>721</v>
      </c>
      <c r="W65" s="304">
        <f>352+66</f>
        <v>418</v>
      </c>
      <c r="X65" s="233"/>
      <c r="Y65" s="233"/>
      <c r="Z65" s="247">
        <f t="shared" si="2"/>
        <v>1902</v>
      </c>
      <c r="AA65" s="215">
        <f t="shared" si="18"/>
        <v>1007</v>
      </c>
    </row>
    <row r="66" spans="1:40" ht="15" customHeight="1" x14ac:dyDescent="0.25">
      <c r="A66" s="137" t="s">
        <v>149</v>
      </c>
      <c r="B66" s="418" t="s">
        <v>353</v>
      </c>
      <c r="C66" s="230">
        <v>368</v>
      </c>
      <c r="D66" s="230">
        <v>99</v>
      </c>
      <c r="E66" s="230">
        <v>65</v>
      </c>
      <c r="F66" s="230">
        <v>11</v>
      </c>
      <c r="G66" s="230">
        <v>7</v>
      </c>
      <c r="H66" s="230">
        <v>0</v>
      </c>
      <c r="I66" s="230">
        <v>0</v>
      </c>
      <c r="J66" s="230">
        <v>28</v>
      </c>
      <c r="K66" s="230">
        <v>0</v>
      </c>
      <c r="L66" s="286">
        <f t="shared" si="17"/>
        <v>578</v>
      </c>
      <c r="M66" s="230">
        <v>63</v>
      </c>
      <c r="N66" s="230">
        <v>68</v>
      </c>
      <c r="O66" s="459">
        <v>70</v>
      </c>
      <c r="P66" s="230">
        <v>0</v>
      </c>
      <c r="Q66" s="230">
        <v>4</v>
      </c>
      <c r="R66" s="230">
        <v>6</v>
      </c>
      <c r="S66" s="230">
        <v>0</v>
      </c>
      <c r="T66" s="230">
        <v>0</v>
      </c>
      <c r="U66" s="230"/>
      <c r="V66" s="296">
        <f t="shared" si="19"/>
        <v>211</v>
      </c>
      <c r="W66" s="304">
        <v>295</v>
      </c>
      <c r="X66" s="233"/>
      <c r="Y66" s="233"/>
      <c r="Z66" s="247">
        <f t="shared" si="2"/>
        <v>1084</v>
      </c>
      <c r="AA66" s="215">
        <f t="shared" ref="AA66:AA71" si="20">C66+D66+F66+K66+M66+N66+P66+U66</f>
        <v>609</v>
      </c>
    </row>
    <row r="67" spans="1:40" ht="15" customHeight="1" x14ac:dyDescent="0.25">
      <c r="A67" s="136" t="s">
        <v>182</v>
      </c>
      <c r="B67" s="137" t="s">
        <v>357</v>
      </c>
      <c r="C67" s="230">
        <v>400</v>
      </c>
      <c r="D67" s="230">
        <v>78</v>
      </c>
      <c r="E67" s="230">
        <v>87</v>
      </c>
      <c r="F67" s="230">
        <v>0</v>
      </c>
      <c r="G67" s="230">
        <v>4</v>
      </c>
      <c r="H67" s="230">
        <v>0</v>
      </c>
      <c r="I67" s="230">
        <v>0</v>
      </c>
      <c r="J67" s="230">
        <v>26</v>
      </c>
      <c r="K67" s="230">
        <v>0</v>
      </c>
      <c r="L67" s="286">
        <f t="shared" si="17"/>
        <v>595</v>
      </c>
      <c r="M67" s="230">
        <v>54</v>
      </c>
      <c r="N67" s="230">
        <v>31</v>
      </c>
      <c r="O67" s="230">
        <v>2</v>
      </c>
      <c r="P67" s="230">
        <v>0</v>
      </c>
      <c r="Q67" s="230">
        <v>0</v>
      </c>
      <c r="R67" s="230">
        <v>0</v>
      </c>
      <c r="S67" s="230">
        <v>0</v>
      </c>
      <c r="T67" s="230">
        <v>2</v>
      </c>
      <c r="U67" s="230"/>
      <c r="V67" s="296">
        <f t="shared" si="19"/>
        <v>89</v>
      </c>
      <c r="W67" s="310">
        <f>2097+383</f>
        <v>2480</v>
      </c>
      <c r="X67" s="233"/>
      <c r="Y67" s="233"/>
      <c r="Z67" s="247">
        <f t="shared" si="2"/>
        <v>3164</v>
      </c>
      <c r="AA67" s="215">
        <f t="shared" si="20"/>
        <v>563</v>
      </c>
      <c r="AB67" s="142">
        <f>L67+V67</f>
        <v>684</v>
      </c>
    </row>
    <row r="68" spans="1:40" ht="15" customHeight="1" x14ac:dyDescent="0.25">
      <c r="A68" s="136" t="s">
        <v>185</v>
      </c>
      <c r="B68" s="137" t="s">
        <v>310</v>
      </c>
      <c r="C68" s="230"/>
      <c r="D68" s="230"/>
      <c r="E68" s="230">
        <v>38</v>
      </c>
      <c r="F68" s="230"/>
      <c r="G68" s="230"/>
      <c r="H68" s="230"/>
      <c r="I68" s="230"/>
      <c r="J68" s="230">
        <v>1593</v>
      </c>
      <c r="K68" s="230"/>
      <c r="L68" s="286">
        <f t="shared" si="17"/>
        <v>1631</v>
      </c>
      <c r="M68" s="340"/>
      <c r="N68" s="230"/>
      <c r="O68" s="230"/>
      <c r="P68" s="230"/>
      <c r="Q68" s="230"/>
      <c r="R68" s="230"/>
      <c r="S68" s="230"/>
      <c r="T68" s="230"/>
      <c r="U68" s="230"/>
      <c r="V68" s="296">
        <f t="shared" si="19"/>
        <v>0</v>
      </c>
      <c r="W68" s="304">
        <v>1581</v>
      </c>
      <c r="X68" s="233"/>
      <c r="Y68" s="233"/>
      <c r="Z68" s="247">
        <f t="shared" si="2"/>
        <v>3212</v>
      </c>
      <c r="AA68" s="215">
        <f t="shared" si="20"/>
        <v>0</v>
      </c>
    </row>
    <row r="69" spans="1:40" ht="15" customHeight="1" x14ac:dyDescent="0.25">
      <c r="A69" s="136" t="s">
        <v>188</v>
      </c>
      <c r="B69" s="137" t="s">
        <v>311</v>
      </c>
      <c r="C69" s="230"/>
      <c r="D69" s="230"/>
      <c r="E69" s="230"/>
      <c r="F69" s="230"/>
      <c r="G69" s="230"/>
      <c r="H69" s="230"/>
      <c r="I69" s="230"/>
      <c r="J69" s="230"/>
      <c r="K69" s="230"/>
      <c r="L69" s="286">
        <f t="shared" si="17"/>
        <v>0</v>
      </c>
      <c r="M69" s="340"/>
      <c r="N69" s="230"/>
      <c r="O69" s="230"/>
      <c r="P69" s="230"/>
      <c r="Q69" s="230"/>
      <c r="R69" s="230"/>
      <c r="S69" s="230"/>
      <c r="T69" s="230"/>
      <c r="U69" s="230"/>
      <c r="V69" s="296">
        <f t="shared" si="19"/>
        <v>0</v>
      </c>
      <c r="W69" s="247">
        <v>0</v>
      </c>
      <c r="X69" s="235"/>
      <c r="Y69" s="235"/>
      <c r="Z69" s="247">
        <f t="shared" si="2"/>
        <v>0</v>
      </c>
      <c r="AA69" s="215">
        <f t="shared" si="20"/>
        <v>0</v>
      </c>
    </row>
    <row r="70" spans="1:40" ht="15" customHeight="1" x14ac:dyDescent="0.25">
      <c r="A70" s="136" t="s">
        <v>192</v>
      </c>
      <c r="B70" s="137" t="s">
        <v>312</v>
      </c>
      <c r="C70" s="230"/>
      <c r="D70" s="230"/>
      <c r="E70" s="230"/>
      <c r="F70" s="230"/>
      <c r="G70" s="230"/>
      <c r="H70" s="230"/>
      <c r="I70" s="230"/>
      <c r="J70" s="230"/>
      <c r="K70" s="230"/>
      <c r="L70" s="286">
        <f t="shared" si="17"/>
        <v>0</v>
      </c>
      <c r="M70" s="340"/>
      <c r="N70" s="230"/>
      <c r="O70" s="230"/>
      <c r="P70" s="230"/>
      <c r="Q70" s="230"/>
      <c r="R70" s="230"/>
      <c r="S70" s="230"/>
      <c r="T70" s="230"/>
      <c r="U70" s="230"/>
      <c r="V70" s="296">
        <f t="shared" si="19"/>
        <v>0</v>
      </c>
      <c r="W70" s="304">
        <v>161</v>
      </c>
      <c r="X70" s="235"/>
      <c r="Y70" s="235"/>
      <c r="Z70" s="247">
        <f t="shared" si="2"/>
        <v>161</v>
      </c>
      <c r="AA70" s="217">
        <f t="shared" si="20"/>
        <v>0</v>
      </c>
    </row>
    <row r="71" spans="1:40" ht="15" customHeight="1" thickBot="1" x14ac:dyDescent="0.3">
      <c r="A71" s="136" t="s">
        <v>193</v>
      </c>
      <c r="B71" s="143" t="s">
        <v>325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95</v>
      </c>
      <c r="J71">
        <v>34</v>
      </c>
      <c r="K71">
        <v>0</v>
      </c>
      <c r="L71" s="268">
        <f t="shared" si="17"/>
        <v>129</v>
      </c>
      <c r="M71" s="375"/>
      <c r="N71" s="265"/>
      <c r="O71" s="265"/>
      <c r="P71" s="265"/>
      <c r="Q71" s="265"/>
      <c r="R71" s="265"/>
      <c r="S71" s="265"/>
      <c r="T71" s="265"/>
      <c r="U71" s="265"/>
      <c r="V71" s="296">
        <f t="shared" si="19"/>
        <v>0</v>
      </c>
      <c r="W71" s="311">
        <v>4142</v>
      </c>
      <c r="X71" s="235"/>
      <c r="Y71" s="235"/>
      <c r="Z71" s="278">
        <f t="shared" ref="Z71" si="21">L71+V71+W71+X71+Y71</f>
        <v>4271</v>
      </c>
      <c r="AA71" s="217">
        <f t="shared" si="20"/>
        <v>0</v>
      </c>
      <c r="AB71" s="142">
        <f>L71+V71</f>
        <v>129</v>
      </c>
    </row>
    <row r="72" spans="1:40" s="109" customFormat="1" ht="14.4" thickBot="1" x14ac:dyDescent="0.3">
      <c r="A72" s="134"/>
      <c r="B72" s="159" t="s">
        <v>460</v>
      </c>
      <c r="C72" s="258">
        <f t="shared" ref="C72:AA72" si="22">SUM(C56:C71)</f>
        <v>5673</v>
      </c>
      <c r="D72" s="157">
        <f t="shared" si="22"/>
        <v>2318</v>
      </c>
      <c r="E72" s="157">
        <f t="shared" si="22"/>
        <v>1702</v>
      </c>
      <c r="F72" s="157">
        <f t="shared" si="22"/>
        <v>125</v>
      </c>
      <c r="G72" s="157">
        <f t="shared" si="22"/>
        <v>138</v>
      </c>
      <c r="H72" s="259">
        <f t="shared" si="22"/>
        <v>1</v>
      </c>
      <c r="I72" s="362">
        <f t="shared" si="22"/>
        <v>167</v>
      </c>
      <c r="J72" s="157">
        <f t="shared" si="22"/>
        <v>3560</v>
      </c>
      <c r="K72" s="259">
        <f t="shared" si="22"/>
        <v>264</v>
      </c>
      <c r="L72" s="263">
        <f t="shared" si="22"/>
        <v>13948</v>
      </c>
      <c r="M72" s="262">
        <f t="shared" si="22"/>
        <v>2898</v>
      </c>
      <c r="N72" s="158">
        <f t="shared" si="22"/>
        <v>2405</v>
      </c>
      <c r="O72" s="158">
        <f t="shared" si="22"/>
        <v>2037</v>
      </c>
      <c r="P72" s="158">
        <f t="shared" si="22"/>
        <v>91</v>
      </c>
      <c r="Q72" s="158">
        <f t="shared" si="22"/>
        <v>100</v>
      </c>
      <c r="R72" s="158">
        <f t="shared" si="22"/>
        <v>208</v>
      </c>
      <c r="S72" s="158">
        <f t="shared" si="22"/>
        <v>0</v>
      </c>
      <c r="T72" s="158">
        <f t="shared" si="22"/>
        <v>564</v>
      </c>
      <c r="U72" s="264">
        <f t="shared" si="22"/>
        <v>0</v>
      </c>
      <c r="V72" s="263">
        <f t="shared" si="22"/>
        <v>8303</v>
      </c>
      <c r="W72" s="458">
        <f t="shared" si="22"/>
        <v>12532</v>
      </c>
      <c r="X72" s="261">
        <f t="shared" si="22"/>
        <v>0</v>
      </c>
      <c r="Y72" s="210">
        <f>SUM(Y56:Y71)</f>
        <v>0</v>
      </c>
      <c r="Z72" s="210">
        <f t="shared" si="22"/>
        <v>34783</v>
      </c>
      <c r="AA72" s="276">
        <f t="shared" si="22"/>
        <v>13774</v>
      </c>
      <c r="AC72"/>
      <c r="AD72"/>
      <c r="AE72"/>
      <c r="AF72"/>
      <c r="AG72"/>
      <c r="AH72"/>
      <c r="AI72"/>
      <c r="AJ72"/>
      <c r="AK72"/>
      <c r="AL72"/>
      <c r="AM72"/>
      <c r="AN72"/>
    </row>
    <row r="73" spans="1:40" ht="15" customHeight="1" x14ac:dyDescent="0.25">
      <c r="A73" s="136" t="s">
        <v>65</v>
      </c>
      <c r="B73" s="279" t="s">
        <v>326</v>
      </c>
      <c r="C73" s="280">
        <v>586</v>
      </c>
      <c r="D73" s="280">
        <v>407</v>
      </c>
      <c r="E73" s="280">
        <v>262</v>
      </c>
      <c r="F73" s="280">
        <v>7</v>
      </c>
      <c r="G73" s="280">
        <v>32</v>
      </c>
      <c r="H73" s="280">
        <v>0</v>
      </c>
      <c r="I73" s="280">
        <v>0</v>
      </c>
      <c r="J73" s="280">
        <v>119</v>
      </c>
      <c r="K73" s="280">
        <v>78</v>
      </c>
      <c r="L73" s="234">
        <f>SUM(C73:K73)</f>
        <v>1491</v>
      </c>
      <c r="M73" s="280">
        <v>557</v>
      </c>
      <c r="N73" s="280">
        <v>874</v>
      </c>
      <c r="O73" s="280">
        <v>307</v>
      </c>
      <c r="P73" s="280">
        <v>63</v>
      </c>
      <c r="Q73" s="280">
        <v>63</v>
      </c>
      <c r="R73" s="280">
        <v>0</v>
      </c>
      <c r="S73" s="280">
        <v>0</v>
      </c>
      <c r="T73" s="280">
        <v>18</v>
      </c>
      <c r="U73" s="280">
        <v>0</v>
      </c>
      <c r="V73" s="489">
        <f>SUM(M73:U73)</f>
        <v>1882</v>
      </c>
      <c r="W73" s="306">
        <v>584</v>
      </c>
      <c r="X73" s="280"/>
      <c r="Y73" s="237"/>
      <c r="Z73" s="281">
        <f t="shared" ref="Z73:Z105" si="23">L73+V73+W73+X73+Y73</f>
        <v>3957</v>
      </c>
      <c r="AA73" s="218">
        <f>C73+D73+F73+K73+M73+N73+P73+U73</f>
        <v>2572</v>
      </c>
    </row>
    <row r="74" spans="1:40" ht="15" customHeight="1" x14ac:dyDescent="0.25">
      <c r="A74" s="136" t="s">
        <v>81</v>
      </c>
      <c r="B74" s="137" t="s">
        <v>327</v>
      </c>
      <c r="C74" s="230">
        <v>1291</v>
      </c>
      <c r="D74" s="230">
        <v>390</v>
      </c>
      <c r="E74" s="230">
        <v>319</v>
      </c>
      <c r="F74" s="230">
        <v>82</v>
      </c>
      <c r="G74" s="230">
        <v>43</v>
      </c>
      <c r="H74" s="230">
        <v>0</v>
      </c>
      <c r="I74" s="230">
        <v>20</v>
      </c>
      <c r="J74" s="230">
        <v>84</v>
      </c>
      <c r="K74" s="230">
        <v>25</v>
      </c>
      <c r="L74" s="232">
        <f>SUM(C74:K74)</f>
        <v>2254</v>
      </c>
      <c r="M74" s="230">
        <v>1136</v>
      </c>
      <c r="N74" s="230">
        <v>868</v>
      </c>
      <c r="O74" s="230">
        <v>324</v>
      </c>
      <c r="P74" s="230">
        <v>54</v>
      </c>
      <c r="Q74" s="230">
        <v>58</v>
      </c>
      <c r="R74" s="230">
        <v>0</v>
      </c>
      <c r="S74" s="230">
        <v>0</v>
      </c>
      <c r="T74" s="230">
        <v>11</v>
      </c>
      <c r="U74" s="230">
        <v>0</v>
      </c>
      <c r="V74" s="490">
        <f t="shared" ref="V74:V88" si="24">SUM(M74:U74)</f>
        <v>2451</v>
      </c>
      <c r="W74" s="304">
        <v>3333</v>
      </c>
      <c r="X74" s="230"/>
      <c r="Y74" s="233"/>
      <c r="Z74" s="247">
        <f t="shared" si="23"/>
        <v>8038</v>
      </c>
      <c r="AA74" s="215">
        <f>C74+D74+F74+K74+M74+N74+P74+U74</f>
        <v>3846</v>
      </c>
    </row>
    <row r="75" spans="1:40" ht="15" customHeight="1" x14ac:dyDescent="0.25">
      <c r="A75" s="136" t="s">
        <v>87</v>
      </c>
      <c r="B75" s="137" t="s">
        <v>292</v>
      </c>
      <c r="C75" s="230">
        <v>1544</v>
      </c>
      <c r="D75" s="230">
        <v>1221</v>
      </c>
      <c r="E75" s="230">
        <v>759</v>
      </c>
      <c r="F75" s="230">
        <v>48</v>
      </c>
      <c r="G75" s="230">
        <v>50</v>
      </c>
      <c r="H75" s="230">
        <v>4</v>
      </c>
      <c r="I75" s="230">
        <v>0</v>
      </c>
      <c r="J75" s="230">
        <v>126</v>
      </c>
      <c r="K75" s="230">
        <v>1</v>
      </c>
      <c r="L75" s="232">
        <f t="shared" ref="L75:L88" si="25">SUM(C75:K75)</f>
        <v>3753</v>
      </c>
      <c r="M75" s="230">
        <v>651</v>
      </c>
      <c r="N75" s="230">
        <v>806</v>
      </c>
      <c r="O75" s="230">
        <v>783</v>
      </c>
      <c r="P75" s="230">
        <v>47</v>
      </c>
      <c r="Q75" s="230">
        <v>18</v>
      </c>
      <c r="R75" s="230">
        <v>116</v>
      </c>
      <c r="S75" s="230">
        <v>0</v>
      </c>
      <c r="T75" s="230">
        <v>329</v>
      </c>
      <c r="U75" s="230">
        <v>2</v>
      </c>
      <c r="V75" s="490">
        <f t="shared" si="24"/>
        <v>2752</v>
      </c>
      <c r="W75" s="304">
        <v>339</v>
      </c>
      <c r="X75" s="230"/>
      <c r="Y75" s="233"/>
      <c r="Z75" s="247">
        <f t="shared" si="23"/>
        <v>6844</v>
      </c>
      <c r="AA75" s="215">
        <f t="shared" ref="AA75:AA88" si="26">C75+D75+F75+K75+M75+N75+P75+U75</f>
        <v>4320</v>
      </c>
    </row>
    <row r="76" spans="1:40" ht="15" customHeight="1" x14ac:dyDescent="0.25">
      <c r="A76" s="136" t="s">
        <v>92</v>
      </c>
      <c r="B76" s="137" t="s">
        <v>328</v>
      </c>
      <c r="C76" s="230">
        <v>355</v>
      </c>
      <c r="D76" s="230">
        <v>61</v>
      </c>
      <c r="E76" s="230">
        <v>94</v>
      </c>
      <c r="F76" s="230">
        <v>26</v>
      </c>
      <c r="G76" s="230">
        <v>9</v>
      </c>
      <c r="H76" s="230">
        <v>0</v>
      </c>
      <c r="I76" s="230">
        <v>267</v>
      </c>
      <c r="J76" s="230">
        <v>32</v>
      </c>
      <c r="K76" s="230">
        <v>0</v>
      </c>
      <c r="L76" s="232">
        <f t="shared" si="25"/>
        <v>844</v>
      </c>
      <c r="M76" s="230">
        <v>301</v>
      </c>
      <c r="N76" s="230">
        <v>443</v>
      </c>
      <c r="O76" s="230">
        <v>218</v>
      </c>
      <c r="P76" s="230">
        <v>38</v>
      </c>
      <c r="Q76" s="230">
        <v>14</v>
      </c>
      <c r="R76" s="230">
        <v>0</v>
      </c>
      <c r="S76" s="230">
        <v>0</v>
      </c>
      <c r="T76" s="230">
        <v>6</v>
      </c>
      <c r="U76" s="230">
        <v>0</v>
      </c>
      <c r="V76" s="490">
        <f t="shared" si="24"/>
        <v>1020</v>
      </c>
      <c r="W76" s="304">
        <v>283</v>
      </c>
      <c r="X76" s="230"/>
      <c r="Y76" s="233"/>
      <c r="Z76" s="247">
        <f t="shared" si="23"/>
        <v>2147</v>
      </c>
      <c r="AA76" s="215">
        <f t="shared" si="26"/>
        <v>1224</v>
      </c>
    </row>
    <row r="77" spans="1:40" ht="15" customHeight="1" x14ac:dyDescent="0.25">
      <c r="A77" s="136" t="s">
        <v>96</v>
      </c>
      <c r="B77" s="137" t="s">
        <v>293</v>
      </c>
      <c r="C77" s="230">
        <v>6162</v>
      </c>
      <c r="D77" s="230">
        <v>1622</v>
      </c>
      <c r="E77" s="230">
        <v>3438</v>
      </c>
      <c r="F77" s="230">
        <v>145</v>
      </c>
      <c r="G77" s="230">
        <v>114</v>
      </c>
      <c r="H77" s="230">
        <v>0</v>
      </c>
      <c r="I77" s="230">
        <v>970</v>
      </c>
      <c r="J77" s="230">
        <v>1990</v>
      </c>
      <c r="K77" s="230">
        <v>0</v>
      </c>
      <c r="L77" s="232">
        <f t="shared" si="25"/>
        <v>14441</v>
      </c>
      <c r="M77" s="230">
        <v>654</v>
      </c>
      <c r="N77" s="230">
        <v>635</v>
      </c>
      <c r="O77" s="230">
        <v>815</v>
      </c>
      <c r="P77" s="230">
        <v>15</v>
      </c>
      <c r="Q77" s="230">
        <v>26</v>
      </c>
      <c r="R77" s="230">
        <v>127</v>
      </c>
      <c r="S77" s="230">
        <v>0</v>
      </c>
      <c r="T77" s="230">
        <v>143</v>
      </c>
      <c r="U77" s="230">
        <v>0</v>
      </c>
      <c r="V77" s="490">
        <f t="shared" si="24"/>
        <v>2415</v>
      </c>
      <c r="W77" s="304">
        <v>286</v>
      </c>
      <c r="X77" s="230"/>
      <c r="Y77" s="233"/>
      <c r="Z77" s="247">
        <f t="shared" si="23"/>
        <v>17142</v>
      </c>
      <c r="AA77" s="215">
        <f t="shared" si="26"/>
        <v>9233</v>
      </c>
    </row>
    <row r="78" spans="1:40" ht="15" customHeight="1" x14ac:dyDescent="0.25">
      <c r="A78" s="136" t="s">
        <v>100</v>
      </c>
      <c r="B78" s="137" t="s">
        <v>295</v>
      </c>
      <c r="C78" s="230">
        <v>1814</v>
      </c>
      <c r="D78" s="230">
        <v>255</v>
      </c>
      <c r="E78" s="230">
        <v>340</v>
      </c>
      <c r="F78" s="230">
        <v>47</v>
      </c>
      <c r="G78" s="230">
        <v>15</v>
      </c>
      <c r="H78" s="230">
        <v>0</v>
      </c>
      <c r="I78" s="230">
        <v>0</v>
      </c>
      <c r="J78" s="230">
        <v>58</v>
      </c>
      <c r="K78" s="230">
        <v>0</v>
      </c>
      <c r="L78" s="232">
        <f t="shared" si="25"/>
        <v>2529</v>
      </c>
      <c r="M78" s="230">
        <v>451</v>
      </c>
      <c r="N78" s="230">
        <v>798</v>
      </c>
      <c r="O78" s="230">
        <v>401</v>
      </c>
      <c r="P78" s="230">
        <v>31</v>
      </c>
      <c r="Q78" s="230">
        <v>45</v>
      </c>
      <c r="R78" s="230">
        <v>16</v>
      </c>
      <c r="S78" s="230">
        <v>0</v>
      </c>
      <c r="T78" s="230">
        <v>223</v>
      </c>
      <c r="U78" s="230">
        <v>0</v>
      </c>
      <c r="V78" s="490">
        <f t="shared" si="24"/>
        <v>1965</v>
      </c>
      <c r="W78" s="247">
        <v>0</v>
      </c>
      <c r="X78" s="230"/>
      <c r="Y78" s="233"/>
      <c r="Z78" s="247">
        <f t="shared" si="23"/>
        <v>4494</v>
      </c>
      <c r="AA78" s="215">
        <f t="shared" si="26"/>
        <v>3396</v>
      </c>
    </row>
    <row r="79" spans="1:40" ht="15" customHeight="1" x14ac:dyDescent="0.25">
      <c r="A79" s="136" t="s">
        <v>108</v>
      </c>
      <c r="B79" s="137" t="s">
        <v>296</v>
      </c>
      <c r="C79" s="230">
        <v>653</v>
      </c>
      <c r="D79" s="230">
        <v>309</v>
      </c>
      <c r="E79" s="230">
        <v>276</v>
      </c>
      <c r="F79" s="230">
        <v>57</v>
      </c>
      <c r="G79" s="230">
        <v>21</v>
      </c>
      <c r="H79" s="230">
        <v>0</v>
      </c>
      <c r="I79" s="230">
        <v>90</v>
      </c>
      <c r="J79" s="230">
        <v>144</v>
      </c>
      <c r="K79" s="230">
        <v>0</v>
      </c>
      <c r="L79" s="232">
        <f t="shared" si="25"/>
        <v>1550</v>
      </c>
      <c r="M79" s="230">
        <v>240</v>
      </c>
      <c r="N79" s="230">
        <v>429</v>
      </c>
      <c r="O79" s="230">
        <v>178</v>
      </c>
      <c r="P79" s="230">
        <v>17</v>
      </c>
      <c r="Q79" s="230">
        <v>21</v>
      </c>
      <c r="R79" s="230">
        <v>20</v>
      </c>
      <c r="S79" s="230">
        <v>0</v>
      </c>
      <c r="T79" s="230">
        <v>87</v>
      </c>
      <c r="U79" s="230">
        <v>0</v>
      </c>
      <c r="V79" s="490">
        <f t="shared" si="24"/>
        <v>992</v>
      </c>
      <c r="W79" s="304">
        <v>340</v>
      </c>
      <c r="X79" s="230"/>
      <c r="Y79" s="233"/>
      <c r="Z79" s="247">
        <f t="shared" si="23"/>
        <v>2882</v>
      </c>
      <c r="AA79" s="215">
        <f t="shared" si="26"/>
        <v>1705</v>
      </c>
    </row>
    <row r="80" spans="1:40" ht="15" customHeight="1" x14ac:dyDescent="0.25">
      <c r="A80" s="136" t="s">
        <v>109</v>
      </c>
      <c r="B80" s="137" t="s">
        <v>329</v>
      </c>
      <c r="C80" s="230">
        <v>546</v>
      </c>
      <c r="D80" s="230">
        <v>555</v>
      </c>
      <c r="E80" s="230">
        <v>366</v>
      </c>
      <c r="F80" s="230">
        <v>34</v>
      </c>
      <c r="G80" s="230">
        <v>9</v>
      </c>
      <c r="H80" s="230">
        <v>0</v>
      </c>
      <c r="I80" s="230">
        <v>437</v>
      </c>
      <c r="J80" s="230">
        <v>502</v>
      </c>
      <c r="K80" s="230">
        <v>0</v>
      </c>
      <c r="L80" s="232">
        <f t="shared" si="25"/>
        <v>2449</v>
      </c>
      <c r="M80" s="230">
        <v>476</v>
      </c>
      <c r="N80" s="230">
        <v>856</v>
      </c>
      <c r="O80" s="230">
        <v>390</v>
      </c>
      <c r="P80" s="230">
        <v>54</v>
      </c>
      <c r="Q80" s="230">
        <v>14</v>
      </c>
      <c r="R80" s="230">
        <v>2</v>
      </c>
      <c r="S80" s="230">
        <v>0</v>
      </c>
      <c r="T80" s="230">
        <v>35</v>
      </c>
      <c r="U80" s="230">
        <v>0</v>
      </c>
      <c r="V80" s="490">
        <f t="shared" si="24"/>
        <v>1827</v>
      </c>
      <c r="W80" s="310">
        <v>362</v>
      </c>
      <c r="X80" s="230"/>
      <c r="Y80" s="233"/>
      <c r="Z80" s="247">
        <f t="shared" si="23"/>
        <v>4638</v>
      </c>
      <c r="AA80" s="215">
        <f t="shared" si="26"/>
        <v>2521</v>
      </c>
    </row>
    <row r="81" spans="1:40" ht="15" customHeight="1" x14ac:dyDescent="0.25">
      <c r="A81" s="136" t="s">
        <v>124</v>
      </c>
      <c r="B81" s="137" t="s">
        <v>330</v>
      </c>
      <c r="C81" s="230">
        <v>2560</v>
      </c>
      <c r="D81" s="230">
        <v>948</v>
      </c>
      <c r="E81" s="230">
        <v>702</v>
      </c>
      <c r="F81" s="230">
        <v>75</v>
      </c>
      <c r="G81" s="230">
        <v>135</v>
      </c>
      <c r="H81" s="230">
        <v>0</v>
      </c>
      <c r="I81" s="230">
        <v>0</v>
      </c>
      <c r="J81" s="230">
        <v>565</v>
      </c>
      <c r="K81" s="230">
        <v>64</v>
      </c>
      <c r="L81" s="232">
        <f t="shared" si="25"/>
        <v>5049</v>
      </c>
      <c r="M81" s="230">
        <v>425</v>
      </c>
      <c r="N81" s="230">
        <v>740</v>
      </c>
      <c r="O81" s="230">
        <v>204</v>
      </c>
      <c r="P81" s="230">
        <v>66</v>
      </c>
      <c r="Q81" s="230">
        <v>39</v>
      </c>
      <c r="R81" s="230">
        <v>0</v>
      </c>
      <c r="S81" s="230">
        <v>0</v>
      </c>
      <c r="T81" s="230">
        <v>24</v>
      </c>
      <c r="U81" s="230">
        <v>57</v>
      </c>
      <c r="V81" s="490">
        <f t="shared" si="24"/>
        <v>1555</v>
      </c>
      <c r="W81" s="304">
        <v>1527</v>
      </c>
      <c r="X81" s="238"/>
      <c r="Y81" s="233"/>
      <c r="Z81" s="247">
        <f t="shared" si="23"/>
        <v>8131</v>
      </c>
      <c r="AA81" s="215">
        <f t="shared" si="26"/>
        <v>4935</v>
      </c>
    </row>
    <row r="82" spans="1:40" ht="15" customHeight="1" x14ac:dyDescent="0.25">
      <c r="A82" s="136" t="s">
        <v>126</v>
      </c>
      <c r="B82" s="137" t="s">
        <v>331</v>
      </c>
      <c r="C82" s="230">
        <v>1040</v>
      </c>
      <c r="D82" s="230">
        <v>463</v>
      </c>
      <c r="E82" s="230">
        <v>359</v>
      </c>
      <c r="F82" s="230">
        <v>51</v>
      </c>
      <c r="G82" s="230">
        <v>33</v>
      </c>
      <c r="H82" s="230">
        <v>0</v>
      </c>
      <c r="I82" s="230">
        <v>0</v>
      </c>
      <c r="J82" s="230">
        <v>172</v>
      </c>
      <c r="K82" s="230">
        <v>0</v>
      </c>
      <c r="L82" s="232">
        <f t="shared" si="25"/>
        <v>2118</v>
      </c>
      <c r="M82" s="230">
        <v>1186</v>
      </c>
      <c r="N82" s="230">
        <v>944</v>
      </c>
      <c r="O82" s="230">
        <v>393</v>
      </c>
      <c r="P82" s="230">
        <v>115</v>
      </c>
      <c r="Q82" s="230">
        <v>83</v>
      </c>
      <c r="R82" s="230">
        <v>0</v>
      </c>
      <c r="S82" s="230">
        <v>0</v>
      </c>
      <c r="T82" s="230">
        <v>307</v>
      </c>
      <c r="U82" s="230">
        <v>0</v>
      </c>
      <c r="V82" s="490">
        <f t="shared" si="24"/>
        <v>3028</v>
      </c>
      <c r="W82" s="304">
        <v>1760</v>
      </c>
      <c r="X82" s="230"/>
      <c r="Y82" s="233"/>
      <c r="Z82" s="247">
        <f t="shared" si="23"/>
        <v>6906</v>
      </c>
      <c r="AA82" s="215">
        <f t="shared" si="26"/>
        <v>3799</v>
      </c>
    </row>
    <row r="83" spans="1:40" ht="15" customHeight="1" x14ac:dyDescent="0.25">
      <c r="A83" s="136" t="s">
        <v>132</v>
      </c>
      <c r="B83" s="137" t="s">
        <v>298</v>
      </c>
      <c r="C83" s="230">
        <v>2125</v>
      </c>
      <c r="D83" s="230">
        <v>2376</v>
      </c>
      <c r="E83" s="230">
        <v>878</v>
      </c>
      <c r="F83" s="230">
        <v>127</v>
      </c>
      <c r="G83" s="230">
        <v>106</v>
      </c>
      <c r="H83" s="230">
        <v>14</v>
      </c>
      <c r="I83" s="230">
        <v>9</v>
      </c>
      <c r="J83" s="230">
        <v>338</v>
      </c>
      <c r="K83" s="230">
        <v>0</v>
      </c>
      <c r="L83" s="232">
        <f t="shared" si="25"/>
        <v>5973</v>
      </c>
      <c r="M83" s="230">
        <v>1071</v>
      </c>
      <c r="N83" s="230">
        <v>1871</v>
      </c>
      <c r="O83" s="230">
        <v>910</v>
      </c>
      <c r="P83" s="230">
        <v>54</v>
      </c>
      <c r="Q83" s="230">
        <v>49</v>
      </c>
      <c r="R83" s="230">
        <v>340</v>
      </c>
      <c r="S83" s="230">
        <v>51</v>
      </c>
      <c r="T83" s="230">
        <v>26</v>
      </c>
      <c r="U83" s="230">
        <v>0</v>
      </c>
      <c r="V83" s="490">
        <f t="shared" si="24"/>
        <v>4372</v>
      </c>
      <c r="W83" s="304">
        <v>1229</v>
      </c>
      <c r="X83" s="230"/>
      <c r="Y83" s="233"/>
      <c r="Z83" s="247">
        <f t="shared" si="23"/>
        <v>11574</v>
      </c>
      <c r="AA83" s="215">
        <f t="shared" si="26"/>
        <v>7624</v>
      </c>
    </row>
    <row r="84" spans="1:40" ht="15" customHeight="1" x14ac:dyDescent="0.25">
      <c r="A84" s="136" t="s">
        <v>137</v>
      </c>
      <c r="B84" s="137" t="s">
        <v>299</v>
      </c>
      <c r="C84" s="230">
        <v>860</v>
      </c>
      <c r="D84" s="230">
        <v>571</v>
      </c>
      <c r="E84" s="230">
        <v>336</v>
      </c>
      <c r="F84" s="230">
        <v>45</v>
      </c>
      <c r="G84" s="230">
        <v>38</v>
      </c>
      <c r="H84" s="230">
        <v>0</v>
      </c>
      <c r="I84" s="230">
        <v>0</v>
      </c>
      <c r="J84" s="230">
        <v>186</v>
      </c>
      <c r="K84" s="230">
        <v>0</v>
      </c>
      <c r="L84" s="232">
        <f t="shared" si="25"/>
        <v>2036</v>
      </c>
      <c r="M84" s="230">
        <v>1138</v>
      </c>
      <c r="N84" s="230">
        <v>1371</v>
      </c>
      <c r="O84" s="230">
        <v>595</v>
      </c>
      <c r="P84" s="230">
        <v>64</v>
      </c>
      <c r="Q84" s="230">
        <v>55</v>
      </c>
      <c r="R84" s="230">
        <v>0</v>
      </c>
      <c r="S84" s="230">
        <v>0</v>
      </c>
      <c r="T84" s="230">
        <v>188</v>
      </c>
      <c r="U84" s="230">
        <v>0</v>
      </c>
      <c r="V84" s="490">
        <f t="shared" si="24"/>
        <v>3411</v>
      </c>
      <c r="W84" s="247">
        <v>688</v>
      </c>
      <c r="X84" s="230"/>
      <c r="Y84" s="233"/>
      <c r="Z84" s="247">
        <f t="shared" si="23"/>
        <v>6135</v>
      </c>
      <c r="AA84" s="215">
        <f t="shared" si="26"/>
        <v>4049</v>
      </c>
    </row>
    <row r="85" spans="1:40" ht="15" customHeight="1" x14ac:dyDescent="0.25">
      <c r="A85" s="136" t="s">
        <v>148</v>
      </c>
      <c r="B85" s="137" t="s">
        <v>300</v>
      </c>
      <c r="C85" s="230">
        <v>409</v>
      </c>
      <c r="D85" s="230">
        <v>464</v>
      </c>
      <c r="E85" s="230">
        <v>218</v>
      </c>
      <c r="F85" s="230">
        <v>22</v>
      </c>
      <c r="G85" s="230">
        <v>26</v>
      </c>
      <c r="H85" s="230">
        <v>3</v>
      </c>
      <c r="I85" s="230">
        <v>0</v>
      </c>
      <c r="J85" s="230">
        <v>83</v>
      </c>
      <c r="K85" s="230">
        <v>0</v>
      </c>
      <c r="L85" s="232">
        <f t="shared" si="25"/>
        <v>1225</v>
      </c>
      <c r="M85" s="230">
        <v>513</v>
      </c>
      <c r="N85" s="230">
        <v>596</v>
      </c>
      <c r="O85" s="230">
        <v>320</v>
      </c>
      <c r="P85" s="230">
        <v>16</v>
      </c>
      <c r="Q85" s="230">
        <v>29</v>
      </c>
      <c r="R85" s="230">
        <v>23</v>
      </c>
      <c r="S85" s="230">
        <v>0</v>
      </c>
      <c r="T85" s="230">
        <v>71</v>
      </c>
      <c r="U85" s="230">
        <v>0</v>
      </c>
      <c r="V85" s="490">
        <f t="shared" si="24"/>
        <v>1568</v>
      </c>
      <c r="W85" s="310">
        <v>338</v>
      </c>
      <c r="X85" s="230"/>
      <c r="Y85" s="233"/>
      <c r="Z85" s="247">
        <f t="shared" si="23"/>
        <v>3131</v>
      </c>
      <c r="AA85" s="215">
        <f t="shared" si="26"/>
        <v>2020</v>
      </c>
    </row>
    <row r="86" spans="1:40" ht="15" customHeight="1" x14ac:dyDescent="0.25">
      <c r="A86" s="136" t="s">
        <v>169</v>
      </c>
      <c r="B86" s="137" t="s">
        <v>301</v>
      </c>
      <c r="C86" s="230">
        <v>459</v>
      </c>
      <c r="D86" s="230">
        <v>192</v>
      </c>
      <c r="E86" s="230">
        <v>265</v>
      </c>
      <c r="F86" s="230">
        <v>11</v>
      </c>
      <c r="G86" s="230">
        <v>38</v>
      </c>
      <c r="H86" s="230">
        <v>0</v>
      </c>
      <c r="I86" s="230">
        <v>0</v>
      </c>
      <c r="J86" s="230">
        <v>77</v>
      </c>
      <c r="K86" s="230">
        <v>0</v>
      </c>
      <c r="L86" s="232">
        <f t="shared" si="25"/>
        <v>1042</v>
      </c>
      <c r="M86" s="230">
        <v>82</v>
      </c>
      <c r="N86" s="230">
        <v>214</v>
      </c>
      <c r="O86" s="230">
        <v>64</v>
      </c>
      <c r="P86" s="230">
        <v>9</v>
      </c>
      <c r="Q86" s="230">
        <v>10</v>
      </c>
      <c r="R86" s="230">
        <v>0</v>
      </c>
      <c r="S86" s="230">
        <v>0</v>
      </c>
      <c r="T86" s="230">
        <v>269</v>
      </c>
      <c r="U86" s="230">
        <v>0</v>
      </c>
      <c r="V86" s="490">
        <f t="shared" si="24"/>
        <v>648</v>
      </c>
      <c r="W86" s="310"/>
      <c r="X86" s="230"/>
      <c r="Y86" s="233"/>
      <c r="Z86" s="247">
        <f t="shared" si="23"/>
        <v>1690</v>
      </c>
      <c r="AA86" s="215">
        <f t="shared" si="26"/>
        <v>967</v>
      </c>
    </row>
    <row r="87" spans="1:40" ht="15" customHeight="1" x14ac:dyDescent="0.25">
      <c r="A87" s="136" t="s">
        <v>172</v>
      </c>
      <c r="B87" s="137" t="s">
        <v>333</v>
      </c>
      <c r="C87" s="230">
        <v>14978</v>
      </c>
      <c r="D87" s="230">
        <v>2930</v>
      </c>
      <c r="E87" s="230">
        <v>1957</v>
      </c>
      <c r="F87" s="230">
        <v>443</v>
      </c>
      <c r="G87" s="230">
        <v>178</v>
      </c>
      <c r="H87" s="230">
        <v>0</v>
      </c>
      <c r="I87" s="230">
        <v>87</v>
      </c>
      <c r="J87" s="230">
        <v>380</v>
      </c>
      <c r="K87" s="230">
        <v>2</v>
      </c>
      <c r="L87" s="232">
        <f t="shared" si="25"/>
        <v>20955</v>
      </c>
      <c r="M87" s="230">
        <v>2733</v>
      </c>
      <c r="N87" s="230">
        <v>1876</v>
      </c>
      <c r="O87" s="230">
        <v>547</v>
      </c>
      <c r="P87" s="230">
        <v>190</v>
      </c>
      <c r="Q87" s="230">
        <v>84</v>
      </c>
      <c r="R87" s="230">
        <v>0</v>
      </c>
      <c r="S87" s="230">
        <v>0</v>
      </c>
      <c r="T87" s="230">
        <v>126</v>
      </c>
      <c r="U87" s="230">
        <v>0</v>
      </c>
      <c r="V87" s="490">
        <f t="shared" si="24"/>
        <v>5556</v>
      </c>
      <c r="W87" s="310"/>
      <c r="X87" s="230"/>
      <c r="Y87" s="233"/>
      <c r="Z87" s="247">
        <f t="shared" si="23"/>
        <v>26511</v>
      </c>
      <c r="AA87" s="215">
        <f t="shared" si="26"/>
        <v>23152</v>
      </c>
    </row>
    <row r="88" spans="1:40" ht="15" customHeight="1" thickBot="1" x14ac:dyDescent="0.3">
      <c r="A88" s="136" t="s">
        <v>175</v>
      </c>
      <c r="B88" s="143" t="s">
        <v>334</v>
      </c>
      <c r="C88" s="265">
        <v>454</v>
      </c>
      <c r="D88" s="265">
        <v>159</v>
      </c>
      <c r="E88" s="265">
        <v>126</v>
      </c>
      <c r="F88" s="265">
        <v>11</v>
      </c>
      <c r="G88" s="265">
        <v>22</v>
      </c>
      <c r="H88" s="265">
        <v>0</v>
      </c>
      <c r="I88" s="265">
        <v>0</v>
      </c>
      <c r="J88" s="265">
        <v>45</v>
      </c>
      <c r="K88" s="265">
        <v>0</v>
      </c>
      <c r="L88" s="239">
        <f t="shared" si="25"/>
        <v>817</v>
      </c>
      <c r="M88" s="265">
        <v>1519</v>
      </c>
      <c r="N88" s="265">
        <v>727</v>
      </c>
      <c r="O88" s="265">
        <v>524</v>
      </c>
      <c r="P88" s="265">
        <v>44</v>
      </c>
      <c r="Q88" s="265">
        <v>53</v>
      </c>
      <c r="R88" s="265">
        <v>36</v>
      </c>
      <c r="S88" s="265">
        <v>0</v>
      </c>
      <c r="T88" s="265">
        <v>25</v>
      </c>
      <c r="U88" s="265">
        <v>0</v>
      </c>
      <c r="V88" s="488">
        <f t="shared" si="24"/>
        <v>2928</v>
      </c>
      <c r="W88" s="312">
        <v>740</v>
      </c>
      <c r="X88" s="265"/>
      <c r="Y88" s="235"/>
      <c r="Z88" s="278">
        <f t="shared" si="23"/>
        <v>4485</v>
      </c>
      <c r="AA88" s="217">
        <f t="shared" si="26"/>
        <v>2914</v>
      </c>
    </row>
    <row r="89" spans="1:40" s="109" customFormat="1" ht="14.4" thickBot="1" x14ac:dyDescent="0.3">
      <c r="A89" s="134"/>
      <c r="B89" s="159" t="s">
        <v>461</v>
      </c>
      <c r="C89" s="258">
        <f t="shared" ref="C89:AA89" si="27">SUM(C73:C88)</f>
        <v>35836</v>
      </c>
      <c r="D89" s="157">
        <f t="shared" si="27"/>
        <v>12923</v>
      </c>
      <c r="E89" s="157">
        <f t="shared" si="27"/>
        <v>10695</v>
      </c>
      <c r="F89" s="157">
        <f t="shared" si="27"/>
        <v>1231</v>
      </c>
      <c r="G89" s="157">
        <f t="shared" si="27"/>
        <v>869</v>
      </c>
      <c r="H89" s="259">
        <f t="shared" si="27"/>
        <v>21</v>
      </c>
      <c r="I89" s="362">
        <f t="shared" si="27"/>
        <v>1880</v>
      </c>
      <c r="J89" s="157">
        <f t="shared" si="27"/>
        <v>4901</v>
      </c>
      <c r="K89" s="259">
        <f t="shared" si="27"/>
        <v>170</v>
      </c>
      <c r="L89" s="260">
        <f t="shared" si="27"/>
        <v>68526</v>
      </c>
      <c r="M89" s="262">
        <f t="shared" si="27"/>
        <v>13133</v>
      </c>
      <c r="N89" s="158">
        <f t="shared" si="27"/>
        <v>14048</v>
      </c>
      <c r="O89" s="158">
        <f t="shared" si="27"/>
        <v>6973</v>
      </c>
      <c r="P89" s="158">
        <f t="shared" si="27"/>
        <v>877</v>
      </c>
      <c r="Q89" s="158">
        <f t="shared" si="27"/>
        <v>661</v>
      </c>
      <c r="R89" s="158">
        <f t="shared" si="27"/>
        <v>680</v>
      </c>
      <c r="S89" s="158">
        <f t="shared" si="27"/>
        <v>51</v>
      </c>
      <c r="T89" s="158">
        <f t="shared" si="27"/>
        <v>1888</v>
      </c>
      <c r="U89" s="264">
        <f t="shared" si="27"/>
        <v>59</v>
      </c>
      <c r="V89" s="401">
        <f t="shared" si="27"/>
        <v>38370</v>
      </c>
      <c r="W89" s="295">
        <f t="shared" si="27"/>
        <v>11809</v>
      </c>
      <c r="X89" s="210">
        <f t="shared" si="27"/>
        <v>0</v>
      </c>
      <c r="Y89" s="210">
        <f>SUM(Y73:Y88)</f>
        <v>0</v>
      </c>
      <c r="Z89" s="210">
        <f t="shared" si="27"/>
        <v>118705</v>
      </c>
      <c r="AA89" s="276">
        <f t="shared" si="27"/>
        <v>78277</v>
      </c>
      <c r="AC89"/>
      <c r="AD89"/>
      <c r="AE89"/>
      <c r="AF89"/>
      <c r="AG89"/>
      <c r="AH89"/>
      <c r="AI89"/>
      <c r="AJ89"/>
      <c r="AK89"/>
      <c r="AL89"/>
      <c r="AM89"/>
      <c r="AN89"/>
    </row>
    <row r="90" spans="1:40" ht="15" customHeight="1" x14ac:dyDescent="0.25">
      <c r="A90" s="136" t="s">
        <v>67</v>
      </c>
      <c r="B90" s="279" t="s">
        <v>346</v>
      </c>
      <c r="C90" s="280">
        <v>482</v>
      </c>
      <c r="D90" s="280">
        <v>251</v>
      </c>
      <c r="E90" s="280">
        <v>118</v>
      </c>
      <c r="F90" s="280">
        <v>78</v>
      </c>
      <c r="G90" s="280">
        <v>8</v>
      </c>
      <c r="H90" s="280">
        <v>0</v>
      </c>
      <c r="I90" s="280">
        <v>0</v>
      </c>
      <c r="J90" s="280">
        <v>91</v>
      </c>
      <c r="K90" s="280">
        <v>0</v>
      </c>
      <c r="L90" s="286">
        <f t="shared" ref="L90:L105" si="28">SUM(C90:K90)</f>
        <v>1028</v>
      </c>
      <c r="M90" s="280">
        <v>341</v>
      </c>
      <c r="N90" s="280">
        <v>534</v>
      </c>
      <c r="O90" s="280">
        <v>204</v>
      </c>
      <c r="P90" s="280">
        <v>29</v>
      </c>
      <c r="Q90" s="280">
        <v>45</v>
      </c>
      <c r="R90" s="280">
        <v>0</v>
      </c>
      <c r="S90" s="280">
        <v>0</v>
      </c>
      <c r="T90" s="280">
        <v>29</v>
      </c>
      <c r="U90" s="280"/>
      <c r="V90" s="280">
        <f>SUM(M90:U90)</f>
        <v>1182</v>
      </c>
      <c r="W90" s="306">
        <v>28</v>
      </c>
      <c r="X90" s="237"/>
      <c r="Y90" s="237"/>
      <c r="Z90" s="281">
        <f t="shared" si="23"/>
        <v>2238</v>
      </c>
      <c r="AA90" s="218">
        <f t="shared" ref="AA90:AA105" si="29">C90+D90+F90+K90+M90+N90+P90+U90</f>
        <v>1715</v>
      </c>
    </row>
    <row r="91" spans="1:40" ht="15" customHeight="1" x14ac:dyDescent="0.25">
      <c r="A91" s="136" t="s">
        <v>76</v>
      </c>
      <c r="B91" s="137" t="s">
        <v>290</v>
      </c>
      <c r="C91" s="230">
        <v>657</v>
      </c>
      <c r="D91" s="230">
        <v>275</v>
      </c>
      <c r="E91" s="230">
        <v>403</v>
      </c>
      <c r="F91" s="230">
        <v>19</v>
      </c>
      <c r="G91" s="230">
        <v>20</v>
      </c>
      <c r="H91" s="230">
        <v>0</v>
      </c>
      <c r="I91" s="230">
        <v>0</v>
      </c>
      <c r="J91" s="230">
        <v>131</v>
      </c>
      <c r="K91" s="230">
        <v>0</v>
      </c>
      <c r="L91" s="241">
        <f t="shared" si="28"/>
        <v>1505</v>
      </c>
      <c r="M91" s="230">
        <v>313</v>
      </c>
      <c r="N91" s="230">
        <v>388</v>
      </c>
      <c r="O91" s="230">
        <v>371</v>
      </c>
      <c r="P91" s="230">
        <v>19</v>
      </c>
      <c r="Q91" s="230">
        <v>0</v>
      </c>
      <c r="R91" s="230">
        <v>18</v>
      </c>
      <c r="S91" s="230">
        <v>0</v>
      </c>
      <c r="T91" s="230">
        <v>340</v>
      </c>
      <c r="U91" s="230"/>
      <c r="V91" s="230">
        <f t="shared" ref="V91:V105" si="30">SUM(M91:U91)</f>
        <v>1449</v>
      </c>
      <c r="W91" s="304">
        <v>2381</v>
      </c>
      <c r="X91" s="233"/>
      <c r="Y91" s="233"/>
      <c r="Z91" s="247">
        <f t="shared" si="23"/>
        <v>5335</v>
      </c>
      <c r="AA91" s="215">
        <f t="shared" si="29"/>
        <v>1671</v>
      </c>
      <c r="AB91" s="142">
        <f>L91+V91</f>
        <v>2954</v>
      </c>
    </row>
    <row r="92" spans="1:40" ht="15" customHeight="1" x14ac:dyDescent="0.25">
      <c r="A92" s="136" t="s">
        <v>79</v>
      </c>
      <c r="B92" s="137" t="s">
        <v>347</v>
      </c>
      <c r="C92" s="230">
        <v>846</v>
      </c>
      <c r="D92" s="230">
        <v>271</v>
      </c>
      <c r="E92" s="230">
        <v>147</v>
      </c>
      <c r="F92" s="230">
        <v>36</v>
      </c>
      <c r="G92" s="230">
        <v>24</v>
      </c>
      <c r="H92" s="230">
        <v>0</v>
      </c>
      <c r="I92" s="230">
        <v>0</v>
      </c>
      <c r="J92" s="230">
        <v>434</v>
      </c>
      <c r="K92" s="230">
        <v>0</v>
      </c>
      <c r="L92" s="241">
        <f t="shared" si="28"/>
        <v>1758</v>
      </c>
      <c r="M92" s="230">
        <v>478</v>
      </c>
      <c r="N92" s="230">
        <v>320</v>
      </c>
      <c r="O92" s="230">
        <v>151</v>
      </c>
      <c r="P92" s="230">
        <v>24</v>
      </c>
      <c r="Q92" s="230">
        <v>18</v>
      </c>
      <c r="R92" s="230">
        <v>8</v>
      </c>
      <c r="S92" s="230">
        <v>0</v>
      </c>
      <c r="T92" s="230">
        <v>298</v>
      </c>
      <c r="U92" s="230"/>
      <c r="V92" s="230">
        <f t="shared" si="30"/>
        <v>1297</v>
      </c>
      <c r="W92" s="304">
        <v>580</v>
      </c>
      <c r="X92" s="233"/>
      <c r="Y92" s="233"/>
      <c r="Z92" s="247">
        <f t="shared" si="23"/>
        <v>3635</v>
      </c>
      <c r="AA92" s="215">
        <f t="shared" si="29"/>
        <v>1975</v>
      </c>
    </row>
    <row r="93" spans="1:40" ht="15" customHeight="1" x14ac:dyDescent="0.25">
      <c r="A93" s="137" t="s">
        <v>83</v>
      </c>
      <c r="B93" s="418" t="s">
        <v>291</v>
      </c>
      <c r="C93" s="230">
        <v>4762</v>
      </c>
      <c r="D93" s="230">
        <v>5238</v>
      </c>
      <c r="E93" s="230">
        <v>1636</v>
      </c>
      <c r="F93" s="230">
        <v>88</v>
      </c>
      <c r="G93" s="230">
        <v>224</v>
      </c>
      <c r="H93" s="230">
        <v>1</v>
      </c>
      <c r="I93" s="230">
        <v>128</v>
      </c>
      <c r="J93" s="230">
        <v>374</v>
      </c>
      <c r="K93" s="230">
        <v>0</v>
      </c>
      <c r="L93" s="241">
        <f t="shared" si="28"/>
        <v>12451</v>
      </c>
      <c r="M93" s="230">
        <v>1470</v>
      </c>
      <c r="N93" s="230">
        <v>2066</v>
      </c>
      <c r="O93" s="230">
        <v>843</v>
      </c>
      <c r="P93" s="230">
        <v>29</v>
      </c>
      <c r="Q93" s="230">
        <v>100</v>
      </c>
      <c r="R93" s="230">
        <v>24</v>
      </c>
      <c r="S93" s="230">
        <v>0</v>
      </c>
      <c r="T93" s="230">
        <v>112</v>
      </c>
      <c r="U93" s="230"/>
      <c r="V93" s="230">
        <f t="shared" si="30"/>
        <v>4644</v>
      </c>
      <c r="W93" s="310"/>
      <c r="X93" s="233"/>
      <c r="Y93" s="233"/>
      <c r="Z93" s="247">
        <f t="shared" si="23"/>
        <v>17095</v>
      </c>
      <c r="AA93" s="215">
        <f t="shared" si="29"/>
        <v>13653</v>
      </c>
    </row>
    <row r="94" spans="1:40" ht="15" customHeight="1" x14ac:dyDescent="0.25">
      <c r="A94" s="136" t="s">
        <v>89</v>
      </c>
      <c r="B94" s="137" t="s">
        <v>348</v>
      </c>
      <c r="C94" s="230">
        <v>358</v>
      </c>
      <c r="D94" s="230">
        <v>383</v>
      </c>
      <c r="E94" s="230">
        <v>183</v>
      </c>
      <c r="F94" s="230">
        <v>6</v>
      </c>
      <c r="G94" s="230">
        <v>9</v>
      </c>
      <c r="H94" s="230">
        <v>0</v>
      </c>
      <c r="I94" s="230">
        <v>0</v>
      </c>
      <c r="J94" s="230">
        <v>77</v>
      </c>
      <c r="K94" s="230">
        <v>0</v>
      </c>
      <c r="L94" s="241">
        <f t="shared" si="28"/>
        <v>1016</v>
      </c>
      <c r="M94" s="230">
        <v>241</v>
      </c>
      <c r="N94" s="230">
        <v>354</v>
      </c>
      <c r="O94" s="230">
        <v>157</v>
      </c>
      <c r="P94" s="230">
        <v>8</v>
      </c>
      <c r="Q94" s="230">
        <v>2</v>
      </c>
      <c r="R94" s="230">
        <v>64</v>
      </c>
      <c r="S94" s="230">
        <v>0</v>
      </c>
      <c r="T94" s="230">
        <v>3</v>
      </c>
      <c r="U94" s="230"/>
      <c r="V94" s="230">
        <f t="shared" si="30"/>
        <v>829</v>
      </c>
      <c r="W94" s="304">
        <v>635</v>
      </c>
      <c r="X94" s="233"/>
      <c r="Y94" s="233"/>
      <c r="Z94" s="247">
        <f t="shared" si="23"/>
        <v>2480</v>
      </c>
      <c r="AA94" s="215">
        <f t="shared" si="29"/>
        <v>1350</v>
      </c>
    </row>
    <row r="95" spans="1:40" ht="15" customHeight="1" x14ac:dyDescent="0.25">
      <c r="A95" s="136" t="s">
        <v>90</v>
      </c>
      <c r="B95" s="137" t="s">
        <v>349</v>
      </c>
      <c r="C95" s="230">
        <v>804</v>
      </c>
      <c r="D95" s="230">
        <v>469</v>
      </c>
      <c r="E95" s="230">
        <v>291</v>
      </c>
      <c r="F95" s="230">
        <v>39</v>
      </c>
      <c r="G95" s="230">
        <v>24</v>
      </c>
      <c r="H95" s="230">
        <v>0</v>
      </c>
      <c r="I95" s="230">
        <v>0</v>
      </c>
      <c r="J95" s="230">
        <v>186</v>
      </c>
      <c r="K95" s="230">
        <v>0</v>
      </c>
      <c r="L95" s="241">
        <f t="shared" si="28"/>
        <v>1813</v>
      </c>
      <c r="M95" s="230">
        <v>881</v>
      </c>
      <c r="N95" s="230">
        <v>1214</v>
      </c>
      <c r="O95" s="230">
        <v>557</v>
      </c>
      <c r="P95" s="230">
        <v>58</v>
      </c>
      <c r="Q95" s="230">
        <v>40</v>
      </c>
      <c r="R95" s="230">
        <v>0</v>
      </c>
      <c r="S95" s="230">
        <v>0</v>
      </c>
      <c r="T95" s="230">
        <v>71</v>
      </c>
      <c r="U95" s="230"/>
      <c r="V95" s="230">
        <f t="shared" si="30"/>
        <v>2821</v>
      </c>
      <c r="W95" s="304">
        <v>632</v>
      </c>
      <c r="X95" s="233"/>
      <c r="Y95" s="233"/>
      <c r="Z95" s="247">
        <f t="shared" si="23"/>
        <v>5266</v>
      </c>
      <c r="AA95" s="215">
        <f t="shared" si="29"/>
        <v>3465</v>
      </c>
    </row>
    <row r="96" spans="1:40" ht="15" customHeight="1" x14ac:dyDescent="0.25">
      <c r="A96" s="136" t="s">
        <v>93</v>
      </c>
      <c r="B96" s="137" t="s">
        <v>359</v>
      </c>
      <c r="C96" s="230">
        <v>1461</v>
      </c>
      <c r="D96" s="230">
        <v>893</v>
      </c>
      <c r="E96" s="230">
        <v>771</v>
      </c>
      <c r="F96" s="230">
        <v>113</v>
      </c>
      <c r="G96" s="230">
        <v>37</v>
      </c>
      <c r="H96" s="230">
        <v>0</v>
      </c>
      <c r="I96" s="230">
        <v>35</v>
      </c>
      <c r="J96" s="230">
        <v>302</v>
      </c>
      <c r="K96" s="230">
        <v>0</v>
      </c>
      <c r="L96" s="241">
        <f t="shared" si="28"/>
        <v>3612</v>
      </c>
      <c r="M96" s="230">
        <v>598</v>
      </c>
      <c r="N96" s="230">
        <v>756</v>
      </c>
      <c r="O96" s="230">
        <v>315</v>
      </c>
      <c r="P96" s="230">
        <v>48</v>
      </c>
      <c r="Q96" s="230">
        <v>32</v>
      </c>
      <c r="R96" s="230">
        <v>0</v>
      </c>
      <c r="S96" s="230">
        <v>0</v>
      </c>
      <c r="T96" s="230">
        <v>81</v>
      </c>
      <c r="U96" s="230"/>
      <c r="V96" s="230">
        <f t="shared" si="30"/>
        <v>1830</v>
      </c>
      <c r="W96" s="304">
        <v>198</v>
      </c>
      <c r="X96" s="233"/>
      <c r="Y96" s="233"/>
      <c r="Z96" s="247">
        <f t="shared" si="23"/>
        <v>5640</v>
      </c>
      <c r="AA96" s="215">
        <f t="shared" si="29"/>
        <v>3869</v>
      </c>
    </row>
    <row r="97" spans="1:27" ht="15" customHeight="1" x14ac:dyDescent="0.25">
      <c r="A97" s="136" t="s">
        <v>97</v>
      </c>
      <c r="B97" s="137" t="s">
        <v>294</v>
      </c>
      <c r="C97" s="230">
        <v>2583</v>
      </c>
      <c r="D97" s="230">
        <v>1162</v>
      </c>
      <c r="E97" s="230">
        <v>861</v>
      </c>
      <c r="F97" s="230">
        <v>35</v>
      </c>
      <c r="G97" s="230">
        <v>30</v>
      </c>
      <c r="H97" s="230">
        <v>107</v>
      </c>
      <c r="I97" s="230">
        <v>0</v>
      </c>
      <c r="J97" s="230">
        <v>241</v>
      </c>
      <c r="K97" s="230">
        <v>1</v>
      </c>
      <c r="L97" s="241">
        <f t="shared" si="28"/>
        <v>5020</v>
      </c>
      <c r="M97" s="230">
        <v>1995</v>
      </c>
      <c r="N97" s="230">
        <v>1872</v>
      </c>
      <c r="O97" s="230">
        <v>1133</v>
      </c>
      <c r="P97" s="230">
        <v>42</v>
      </c>
      <c r="Q97" s="230">
        <v>108</v>
      </c>
      <c r="R97" s="230">
        <v>10</v>
      </c>
      <c r="S97" s="230">
        <v>0</v>
      </c>
      <c r="T97" s="230">
        <v>180</v>
      </c>
      <c r="U97" s="230"/>
      <c r="V97" s="230">
        <f t="shared" si="30"/>
        <v>5340</v>
      </c>
      <c r="W97" s="304">
        <v>1385</v>
      </c>
      <c r="X97" s="245">
        <v>1399</v>
      </c>
      <c r="Y97" s="233"/>
      <c r="Z97" s="247">
        <f t="shared" si="23"/>
        <v>13144</v>
      </c>
      <c r="AA97" s="215">
        <f t="shared" si="29"/>
        <v>7690</v>
      </c>
    </row>
    <row r="98" spans="1:27" ht="15" customHeight="1" x14ac:dyDescent="0.25">
      <c r="A98" s="136" t="s">
        <v>125</v>
      </c>
      <c r="B98" s="137" t="s">
        <v>350</v>
      </c>
      <c r="C98" s="230">
        <v>1051</v>
      </c>
      <c r="D98" s="230">
        <v>476</v>
      </c>
      <c r="E98" s="230">
        <v>345</v>
      </c>
      <c r="F98" s="230">
        <v>76</v>
      </c>
      <c r="G98" s="230">
        <v>44</v>
      </c>
      <c r="H98" s="230">
        <v>0</v>
      </c>
      <c r="I98" s="230">
        <v>0</v>
      </c>
      <c r="J98" s="230">
        <v>183</v>
      </c>
      <c r="K98" s="230">
        <v>0</v>
      </c>
      <c r="L98" s="241">
        <f t="shared" si="28"/>
        <v>2175</v>
      </c>
      <c r="M98" s="230">
        <v>803</v>
      </c>
      <c r="N98" s="230">
        <v>1124</v>
      </c>
      <c r="O98" s="230">
        <v>533</v>
      </c>
      <c r="P98" s="230">
        <v>53</v>
      </c>
      <c r="Q98" s="230">
        <v>9</v>
      </c>
      <c r="R98" s="230">
        <v>30</v>
      </c>
      <c r="S98" s="230">
        <v>0</v>
      </c>
      <c r="T98" s="230">
        <v>77</v>
      </c>
      <c r="U98" s="230"/>
      <c r="V98" s="230">
        <f t="shared" si="30"/>
        <v>2629</v>
      </c>
      <c r="W98" s="304">
        <v>776</v>
      </c>
      <c r="X98" s="233"/>
      <c r="Y98" s="233"/>
      <c r="Z98" s="247">
        <f t="shared" si="23"/>
        <v>5580</v>
      </c>
      <c r="AA98" s="215">
        <f t="shared" si="29"/>
        <v>3583</v>
      </c>
    </row>
    <row r="99" spans="1:27" ht="15" customHeight="1" x14ac:dyDescent="0.25">
      <c r="A99" s="136" t="s">
        <v>135</v>
      </c>
      <c r="B99" s="137" t="s">
        <v>351</v>
      </c>
      <c r="C99" s="230">
        <v>1306</v>
      </c>
      <c r="D99" s="230">
        <v>1168</v>
      </c>
      <c r="E99" s="230">
        <v>670</v>
      </c>
      <c r="F99" s="230">
        <v>77</v>
      </c>
      <c r="G99" s="230">
        <v>57</v>
      </c>
      <c r="H99" s="230">
        <v>0</v>
      </c>
      <c r="I99" s="230">
        <v>0</v>
      </c>
      <c r="J99" s="230">
        <v>126</v>
      </c>
      <c r="K99" s="230">
        <v>0</v>
      </c>
      <c r="L99" s="241">
        <f t="shared" si="28"/>
        <v>3404</v>
      </c>
      <c r="M99" s="230">
        <v>615</v>
      </c>
      <c r="N99" s="230">
        <v>1567</v>
      </c>
      <c r="O99" s="230">
        <v>478</v>
      </c>
      <c r="P99" s="230">
        <v>53</v>
      </c>
      <c r="Q99" s="230">
        <v>46</v>
      </c>
      <c r="R99" s="230">
        <v>0</v>
      </c>
      <c r="S99" s="230">
        <v>0</v>
      </c>
      <c r="T99" s="230">
        <v>50</v>
      </c>
      <c r="U99" s="230"/>
      <c r="V99" s="230">
        <f t="shared" si="30"/>
        <v>2809</v>
      </c>
      <c r="W99" s="304">
        <v>555</v>
      </c>
      <c r="X99" s="233"/>
      <c r="Y99" s="233"/>
      <c r="Z99" s="247">
        <f t="shared" si="23"/>
        <v>6768</v>
      </c>
      <c r="AA99" s="215">
        <f t="shared" si="29"/>
        <v>4786</v>
      </c>
    </row>
    <row r="100" spans="1:27" ht="15" customHeight="1" x14ac:dyDescent="0.25">
      <c r="A100" s="136" t="s">
        <v>144</v>
      </c>
      <c r="B100" s="137" t="s">
        <v>352</v>
      </c>
      <c r="C100" s="230">
        <v>1629</v>
      </c>
      <c r="D100" s="230">
        <v>438</v>
      </c>
      <c r="E100" s="230">
        <v>539</v>
      </c>
      <c r="F100" s="230">
        <v>96</v>
      </c>
      <c r="G100" s="230">
        <v>39</v>
      </c>
      <c r="H100" s="230">
        <v>0</v>
      </c>
      <c r="I100" s="230">
        <v>0</v>
      </c>
      <c r="J100" s="230">
        <v>179</v>
      </c>
      <c r="K100" s="230">
        <v>0</v>
      </c>
      <c r="L100" s="241">
        <f t="shared" si="28"/>
        <v>2920</v>
      </c>
      <c r="M100" s="230">
        <v>407</v>
      </c>
      <c r="N100" s="230">
        <v>279</v>
      </c>
      <c r="O100" s="230">
        <v>254</v>
      </c>
      <c r="P100" s="230">
        <v>45</v>
      </c>
      <c r="Q100" s="230">
        <v>14</v>
      </c>
      <c r="R100" s="230">
        <v>14</v>
      </c>
      <c r="S100" s="230">
        <v>0</v>
      </c>
      <c r="T100" s="230">
        <v>274</v>
      </c>
      <c r="U100" s="230"/>
      <c r="V100" s="230">
        <f t="shared" si="30"/>
        <v>1287</v>
      </c>
      <c r="W100" s="304">
        <v>519</v>
      </c>
      <c r="X100" s="233"/>
      <c r="Y100" s="233"/>
      <c r="Z100" s="247">
        <f t="shared" si="23"/>
        <v>4726</v>
      </c>
      <c r="AA100" s="215">
        <f t="shared" si="29"/>
        <v>2894</v>
      </c>
    </row>
    <row r="101" spans="1:27" ht="15" customHeight="1" x14ac:dyDescent="0.25">
      <c r="A101" s="136" t="s">
        <v>176</v>
      </c>
      <c r="B101" s="137" t="s">
        <v>354</v>
      </c>
      <c r="C101" s="230">
        <v>1077</v>
      </c>
      <c r="D101" s="230">
        <v>778</v>
      </c>
      <c r="E101" s="230">
        <v>328</v>
      </c>
      <c r="F101" s="230">
        <v>56</v>
      </c>
      <c r="G101" s="230">
        <v>44</v>
      </c>
      <c r="H101" s="230">
        <v>0</v>
      </c>
      <c r="I101" s="230">
        <v>0</v>
      </c>
      <c r="J101" s="230">
        <v>273</v>
      </c>
      <c r="K101" s="230">
        <v>0</v>
      </c>
      <c r="L101" s="241">
        <f t="shared" si="28"/>
        <v>2556</v>
      </c>
      <c r="M101" s="230">
        <v>632</v>
      </c>
      <c r="N101" s="230">
        <v>1047</v>
      </c>
      <c r="O101" s="230">
        <v>346</v>
      </c>
      <c r="P101" s="230">
        <v>30</v>
      </c>
      <c r="Q101" s="230">
        <v>27</v>
      </c>
      <c r="R101" s="230">
        <v>8</v>
      </c>
      <c r="S101" s="230">
        <v>0</v>
      </c>
      <c r="T101" s="230">
        <v>51</v>
      </c>
      <c r="U101" s="230"/>
      <c r="V101" s="230">
        <f t="shared" si="30"/>
        <v>2141</v>
      </c>
      <c r="W101" s="247">
        <v>766</v>
      </c>
      <c r="X101" s="233"/>
      <c r="Y101" s="233"/>
      <c r="Z101" s="247">
        <f t="shared" si="23"/>
        <v>5463</v>
      </c>
      <c r="AA101" s="215">
        <f t="shared" si="29"/>
        <v>3620</v>
      </c>
    </row>
    <row r="102" spans="1:27" ht="15" customHeight="1" x14ac:dyDescent="0.25">
      <c r="A102" s="137" t="s">
        <v>363</v>
      </c>
      <c r="B102" s="418" t="s">
        <v>303</v>
      </c>
      <c r="C102" s="230"/>
      <c r="D102" s="230"/>
      <c r="E102" s="230"/>
      <c r="F102" s="230"/>
      <c r="G102" s="230"/>
      <c r="H102" s="230"/>
      <c r="I102" s="230"/>
      <c r="J102" s="230"/>
      <c r="K102" s="230"/>
      <c r="L102" s="241">
        <f t="shared" si="28"/>
        <v>0</v>
      </c>
      <c r="M102" s="230"/>
      <c r="N102" s="230"/>
      <c r="O102" s="230"/>
      <c r="P102" s="230"/>
      <c r="Q102" s="230"/>
      <c r="R102" s="230"/>
      <c r="S102" s="230"/>
      <c r="T102" s="230"/>
      <c r="U102" s="230"/>
      <c r="V102" s="230">
        <f t="shared" si="30"/>
        <v>0</v>
      </c>
      <c r="W102" s="310">
        <f>0+996+3081+2555+2993+3812+11473+2483+2546+10658+2014+4944</f>
        <v>47555</v>
      </c>
      <c r="X102" s="233"/>
      <c r="Y102" s="233"/>
      <c r="Z102" s="247">
        <f t="shared" si="23"/>
        <v>47555</v>
      </c>
      <c r="AA102" s="215">
        <f t="shared" si="29"/>
        <v>0</v>
      </c>
    </row>
    <row r="103" spans="1:27" ht="15" customHeight="1" x14ac:dyDescent="0.25">
      <c r="A103" s="136" t="s">
        <v>177</v>
      </c>
      <c r="B103" s="137" t="s">
        <v>302</v>
      </c>
      <c r="C103" s="230">
        <v>7737</v>
      </c>
      <c r="D103" s="230">
        <v>5904</v>
      </c>
      <c r="E103" s="230">
        <v>4161</v>
      </c>
      <c r="F103" s="230">
        <v>83</v>
      </c>
      <c r="G103" s="230">
        <v>117</v>
      </c>
      <c r="H103" s="230">
        <v>3</v>
      </c>
      <c r="I103" s="230">
        <v>86</v>
      </c>
      <c r="J103" s="230">
        <v>339</v>
      </c>
      <c r="K103" s="230">
        <v>0</v>
      </c>
      <c r="L103" s="241">
        <f t="shared" si="28"/>
        <v>18430</v>
      </c>
      <c r="M103" s="230">
        <v>1830</v>
      </c>
      <c r="N103" s="230">
        <v>2507</v>
      </c>
      <c r="O103" s="230">
        <v>1799</v>
      </c>
      <c r="P103" s="230">
        <v>31</v>
      </c>
      <c r="Q103" s="230">
        <v>61</v>
      </c>
      <c r="R103" s="230">
        <v>119</v>
      </c>
      <c r="S103" s="230">
        <v>0</v>
      </c>
      <c r="T103" s="230">
        <v>158</v>
      </c>
      <c r="U103" s="230"/>
      <c r="V103" s="230">
        <f t="shared" si="30"/>
        <v>6505</v>
      </c>
      <c r="W103" s="304">
        <v>1329</v>
      </c>
      <c r="X103" s="233"/>
      <c r="Y103" s="233"/>
      <c r="Z103" s="247">
        <f t="shared" si="23"/>
        <v>26264</v>
      </c>
      <c r="AA103" s="215">
        <f t="shared" si="29"/>
        <v>18092</v>
      </c>
    </row>
    <row r="104" spans="1:27" ht="15" customHeight="1" x14ac:dyDescent="0.25">
      <c r="A104" s="136" t="s">
        <v>178</v>
      </c>
      <c r="B104" s="137" t="s">
        <v>304</v>
      </c>
      <c r="C104" s="230">
        <v>3581</v>
      </c>
      <c r="D104" s="230">
        <v>1593</v>
      </c>
      <c r="E104" s="230">
        <v>1212</v>
      </c>
      <c r="F104" s="230">
        <v>136</v>
      </c>
      <c r="G104" s="230">
        <v>19</v>
      </c>
      <c r="H104" s="230">
        <v>89</v>
      </c>
      <c r="I104" s="230">
        <v>65</v>
      </c>
      <c r="J104" s="230">
        <v>154</v>
      </c>
      <c r="K104" s="230">
        <v>0</v>
      </c>
      <c r="L104" s="241">
        <f t="shared" si="28"/>
        <v>6849</v>
      </c>
      <c r="M104" s="230">
        <v>1163</v>
      </c>
      <c r="N104" s="230">
        <v>2233</v>
      </c>
      <c r="O104" s="230">
        <v>1178</v>
      </c>
      <c r="P104" s="230">
        <v>28</v>
      </c>
      <c r="Q104" s="230">
        <v>17</v>
      </c>
      <c r="R104" s="230">
        <v>11</v>
      </c>
      <c r="S104" s="230">
        <v>0</v>
      </c>
      <c r="T104" s="230">
        <v>10</v>
      </c>
      <c r="U104" s="230"/>
      <c r="V104" s="230">
        <f t="shared" si="30"/>
        <v>4640</v>
      </c>
      <c r="W104" s="304">
        <v>850</v>
      </c>
      <c r="X104" s="235"/>
      <c r="Y104" s="235"/>
      <c r="Z104" s="247">
        <f t="shared" si="23"/>
        <v>12339</v>
      </c>
      <c r="AA104" s="215">
        <f t="shared" si="29"/>
        <v>8734</v>
      </c>
    </row>
    <row r="105" spans="1:27" ht="15" customHeight="1" thickBot="1" x14ac:dyDescent="0.3">
      <c r="A105" s="136" t="s">
        <v>190</v>
      </c>
      <c r="B105" s="143" t="s">
        <v>364</v>
      </c>
      <c r="C105">
        <v>3547</v>
      </c>
      <c r="D105">
        <v>2086</v>
      </c>
      <c r="E105">
        <v>1403</v>
      </c>
      <c r="F105">
        <v>73</v>
      </c>
      <c r="G105">
        <v>75</v>
      </c>
      <c r="H105">
        <v>97</v>
      </c>
      <c r="I105">
        <v>45</v>
      </c>
      <c r="J105">
        <v>516</v>
      </c>
      <c r="K105">
        <v>0</v>
      </c>
      <c r="L105" s="268">
        <f t="shared" si="28"/>
        <v>7842</v>
      </c>
      <c r="M105" s="265">
        <v>1178</v>
      </c>
      <c r="N105" s="265">
        <v>1702</v>
      </c>
      <c r="O105" s="265">
        <v>885</v>
      </c>
      <c r="P105" s="265">
        <v>87</v>
      </c>
      <c r="Q105" s="265">
        <v>41</v>
      </c>
      <c r="R105" s="265">
        <v>0</v>
      </c>
      <c r="S105" s="265">
        <v>0</v>
      </c>
      <c r="T105" s="265">
        <v>181</v>
      </c>
      <c r="U105" s="265"/>
      <c r="V105" s="265">
        <f t="shared" si="30"/>
        <v>4074</v>
      </c>
      <c r="W105" s="313">
        <v>998</v>
      </c>
      <c r="X105" s="209"/>
      <c r="Y105" s="209"/>
      <c r="Z105" s="278">
        <f t="shared" si="23"/>
        <v>12914</v>
      </c>
      <c r="AA105" s="217">
        <f t="shared" si="29"/>
        <v>8673</v>
      </c>
    </row>
    <row r="106" spans="1:27" s="109" customFormat="1" ht="14.4" thickBot="1" x14ac:dyDescent="0.3">
      <c r="A106" s="134"/>
      <c r="B106" s="159" t="s">
        <v>462</v>
      </c>
      <c r="C106" s="258">
        <f t="shared" ref="C106:K106" si="31">SUM(C90:C105)</f>
        <v>31881</v>
      </c>
      <c r="D106" s="157">
        <f t="shared" si="31"/>
        <v>21385</v>
      </c>
      <c r="E106" s="157">
        <f t="shared" si="31"/>
        <v>13068</v>
      </c>
      <c r="F106" s="157">
        <f t="shared" si="31"/>
        <v>1011</v>
      </c>
      <c r="G106" s="157">
        <f t="shared" si="31"/>
        <v>771</v>
      </c>
      <c r="H106" s="157">
        <f t="shared" si="31"/>
        <v>297</v>
      </c>
      <c r="I106" s="157">
        <f t="shared" si="31"/>
        <v>359</v>
      </c>
      <c r="J106" s="157">
        <f t="shared" si="31"/>
        <v>3606</v>
      </c>
      <c r="K106" s="259">
        <f t="shared" si="31"/>
        <v>1</v>
      </c>
      <c r="L106" s="401">
        <f t="shared" ref="L106" si="32">SUM(L90:L105)</f>
        <v>72379</v>
      </c>
      <c r="M106" s="262">
        <f t="shared" ref="M106:U106" si="33">SUM(M90:M105)</f>
        <v>12945</v>
      </c>
      <c r="N106" s="158">
        <f t="shared" si="33"/>
        <v>17963</v>
      </c>
      <c r="O106" s="158">
        <f t="shared" si="33"/>
        <v>9204</v>
      </c>
      <c r="P106" s="158">
        <f t="shared" si="33"/>
        <v>584</v>
      </c>
      <c r="Q106" s="158">
        <f t="shared" si="33"/>
        <v>560</v>
      </c>
      <c r="R106" s="158">
        <f t="shared" si="33"/>
        <v>306</v>
      </c>
      <c r="S106" s="158">
        <f t="shared" si="33"/>
        <v>0</v>
      </c>
      <c r="T106" s="264">
        <f t="shared" si="33"/>
        <v>1915</v>
      </c>
      <c r="U106" s="401">
        <f t="shared" si="33"/>
        <v>0</v>
      </c>
      <c r="V106" s="401">
        <f t="shared" ref="V106:AA106" si="34">SUM(V90:V105)</f>
        <v>43477</v>
      </c>
      <c r="W106" s="295">
        <f t="shared" si="34"/>
        <v>59187</v>
      </c>
      <c r="X106" s="210">
        <f>SUM(X90:X105)</f>
        <v>1399</v>
      </c>
      <c r="Y106" s="210">
        <f>SUM(Y90:Y105)</f>
        <v>0</v>
      </c>
      <c r="Z106" s="210">
        <f t="shared" si="34"/>
        <v>176442</v>
      </c>
      <c r="AA106" s="276">
        <f t="shared" si="34"/>
        <v>85770</v>
      </c>
    </row>
    <row r="107" spans="1:27" ht="18" thickBot="1" x14ac:dyDescent="0.35">
      <c r="A107" s="135"/>
      <c r="B107" s="169" t="s">
        <v>463</v>
      </c>
      <c r="C107" s="454">
        <f t="shared" ref="C107:AA107" si="35">C106+C89+C72+C55+C37+C23</f>
        <v>134999</v>
      </c>
      <c r="D107" s="455">
        <f t="shared" si="35"/>
        <v>66314</v>
      </c>
      <c r="E107" s="455">
        <f t="shared" si="35"/>
        <v>46221</v>
      </c>
      <c r="F107" s="455">
        <f t="shared" si="35"/>
        <v>3597</v>
      </c>
      <c r="G107" s="455">
        <f t="shared" si="35"/>
        <v>3424</v>
      </c>
      <c r="H107" s="455">
        <f t="shared" si="35"/>
        <v>477</v>
      </c>
      <c r="I107" s="455">
        <f t="shared" si="35"/>
        <v>3062</v>
      </c>
      <c r="J107" s="455">
        <f t="shared" si="35"/>
        <v>34477</v>
      </c>
      <c r="K107" s="457">
        <f t="shared" si="35"/>
        <v>746</v>
      </c>
      <c r="L107" s="456">
        <f t="shared" si="35"/>
        <v>293317</v>
      </c>
      <c r="M107" s="162">
        <f t="shared" si="35"/>
        <v>44225</v>
      </c>
      <c r="N107" s="162">
        <f t="shared" si="35"/>
        <v>54870</v>
      </c>
      <c r="O107" s="162">
        <f t="shared" si="35"/>
        <v>28356</v>
      </c>
      <c r="P107" s="162">
        <f t="shared" si="35"/>
        <v>2349</v>
      </c>
      <c r="Q107" s="162">
        <f t="shared" si="35"/>
        <v>2196</v>
      </c>
      <c r="R107" s="162">
        <f t="shared" si="35"/>
        <v>2348</v>
      </c>
      <c r="S107" s="162">
        <f t="shared" si="35"/>
        <v>215</v>
      </c>
      <c r="T107" s="162">
        <f t="shared" si="35"/>
        <v>16230</v>
      </c>
      <c r="U107" s="163">
        <f t="shared" si="35"/>
        <v>95</v>
      </c>
      <c r="V107" s="187">
        <f t="shared" si="35"/>
        <v>150884</v>
      </c>
      <c r="W107" s="243">
        <f t="shared" si="35"/>
        <v>119151</v>
      </c>
      <c r="X107" s="212">
        <f t="shared" si="35"/>
        <v>1915</v>
      </c>
      <c r="Y107" s="212">
        <f>+Y89+Y72+Y55+Y37+Y23</f>
        <v>177</v>
      </c>
      <c r="Z107" s="212">
        <f t="shared" si="35"/>
        <v>565444</v>
      </c>
      <c r="AA107" s="212">
        <f t="shared" si="35"/>
        <v>307195</v>
      </c>
    </row>
    <row r="109" spans="1:27" x14ac:dyDescent="0.25">
      <c r="C109" s="122">
        <f>C107</f>
        <v>134999</v>
      </c>
      <c r="D109" s="122">
        <f t="shared" ref="D109:AA109" si="36">D107</f>
        <v>66314</v>
      </c>
      <c r="E109" s="122">
        <f t="shared" si="36"/>
        <v>46221</v>
      </c>
      <c r="F109" s="122">
        <f t="shared" si="36"/>
        <v>3597</v>
      </c>
      <c r="G109" s="122">
        <f t="shared" si="36"/>
        <v>3424</v>
      </c>
      <c r="H109" s="122">
        <f t="shared" si="36"/>
        <v>477</v>
      </c>
      <c r="I109" s="122">
        <f t="shared" si="36"/>
        <v>3062</v>
      </c>
      <c r="J109" s="122">
        <f t="shared" si="36"/>
        <v>34477</v>
      </c>
      <c r="K109" s="122">
        <f t="shared" si="36"/>
        <v>746</v>
      </c>
      <c r="L109" s="122">
        <f t="shared" si="36"/>
        <v>293317</v>
      </c>
      <c r="M109" s="122">
        <f t="shared" si="36"/>
        <v>44225</v>
      </c>
      <c r="N109" s="122">
        <f t="shared" si="36"/>
        <v>54870</v>
      </c>
      <c r="O109" s="122">
        <f t="shared" si="36"/>
        <v>28356</v>
      </c>
      <c r="P109" s="122">
        <f t="shared" si="36"/>
        <v>2349</v>
      </c>
      <c r="Q109" s="122">
        <f t="shared" si="36"/>
        <v>2196</v>
      </c>
      <c r="R109" s="122">
        <f t="shared" si="36"/>
        <v>2348</v>
      </c>
      <c r="S109" s="122">
        <f t="shared" si="36"/>
        <v>215</v>
      </c>
      <c r="T109" s="122">
        <f t="shared" si="36"/>
        <v>16230</v>
      </c>
      <c r="U109" s="122">
        <f t="shared" si="36"/>
        <v>95</v>
      </c>
      <c r="V109" s="122">
        <f t="shared" si="36"/>
        <v>150884</v>
      </c>
      <c r="W109" s="122">
        <f t="shared" si="36"/>
        <v>119151</v>
      </c>
      <c r="X109" s="122">
        <f t="shared" si="36"/>
        <v>1915</v>
      </c>
      <c r="Y109" s="122">
        <f t="shared" si="36"/>
        <v>177</v>
      </c>
      <c r="Z109" s="122">
        <f t="shared" si="36"/>
        <v>565444</v>
      </c>
      <c r="AA109" s="122">
        <f t="shared" si="36"/>
        <v>307195</v>
      </c>
    </row>
    <row r="112" spans="1:27" x14ac:dyDescent="0.25">
      <c r="E112" s="122"/>
      <c r="M112" s="122"/>
    </row>
    <row r="113" spans="3:26" x14ac:dyDescent="0.25">
      <c r="C113" s="122"/>
      <c r="V113" s="122"/>
      <c r="Z113" s="122"/>
    </row>
    <row r="114" spans="3:26" x14ac:dyDescent="0.25">
      <c r="E114" s="122"/>
      <c r="J114" s="122"/>
    </row>
  </sheetData>
  <mergeCells count="6">
    <mergeCell ref="B1:B3"/>
    <mergeCell ref="C1:Z1"/>
    <mergeCell ref="C4:L4"/>
    <mergeCell ref="M4:V4"/>
    <mergeCell ref="C2:Z2"/>
    <mergeCell ref="X4:Y4"/>
  </mergeCells>
  <conditionalFormatting sqref="W24:Y28 W56:Y58 X38:Y46 W6:Y22 X59:Y71 W49:Y54 W48 W29:X33">
    <cfRule type="cellIs" dxfId="96" priority="11" stopIfTrue="1" operator="notBetween">
      <formula>-2000</formula>
      <formula>2000</formula>
    </cfRule>
  </conditionalFormatting>
  <conditionalFormatting sqref="V3">
    <cfRule type="cellIs" dxfId="95" priority="15" stopIfTrue="1" operator="greaterThan">
      <formula>10</formula>
    </cfRule>
    <cfRule type="cellIs" dxfId="94" priority="16" stopIfTrue="1" operator="lessThan">
      <formula>10</formula>
    </cfRule>
  </conditionalFormatting>
  <conditionalFormatting sqref="W105:Y105 X90:Y104">
    <cfRule type="cellIs" dxfId="93" priority="14" stopIfTrue="1" operator="notBetween">
      <formula>-2000</formula>
      <formula>2000</formula>
    </cfRule>
  </conditionalFormatting>
  <conditionalFormatting sqref="W18:Y18">
    <cfRule type="cellIs" dxfId="92" priority="12" stopIfTrue="1" operator="notBetween">
      <formula>-2000</formula>
      <formula>2000</formula>
    </cfRule>
  </conditionalFormatting>
  <conditionalFormatting sqref="Y29:Y35">
    <cfRule type="cellIs" dxfId="91" priority="7" stopIfTrue="1" operator="notBetween">
      <formula>-2000</formula>
      <formula>2000</formula>
    </cfRule>
  </conditionalFormatting>
  <conditionalFormatting sqref="Y73:Y88">
    <cfRule type="cellIs" dxfId="90" priority="6" stopIfTrue="1" operator="notBetween">
      <formula>-2000</formula>
      <formula>2000</formula>
    </cfRule>
  </conditionalFormatting>
  <conditionalFormatting sqref="X47:Y47 Y48">
    <cfRule type="cellIs" dxfId="89" priority="5" stopIfTrue="1" operator="notBetween">
      <formula>-2000</formula>
      <formula>2000</formula>
    </cfRule>
  </conditionalFormatting>
  <conditionalFormatting sqref="X48">
    <cfRule type="cellIs" dxfId="88" priority="3" stopIfTrue="1" operator="notBetween">
      <formula>-2000</formula>
      <formula>2000</formula>
    </cfRule>
  </conditionalFormatting>
  <conditionalFormatting sqref="W34">
    <cfRule type="cellIs" dxfId="87" priority="2" stopIfTrue="1" operator="notBetween">
      <formula>-2000</formula>
      <formula>2000</formula>
    </cfRule>
  </conditionalFormatting>
  <conditionalFormatting sqref="W45">
    <cfRule type="cellIs" dxfId="86" priority="1" stopIfTrue="1" operator="notBetween">
      <formula>-2000</formula>
      <formula>2000</formula>
    </cfRule>
  </conditionalFormatting>
  <pageMargins left="0.5" right="0.28999999999999998" top="0.41" bottom="0.49" header="0.21" footer="0.16"/>
  <pageSetup paperSize="5" fitToHeight="4" orientation="landscape" r:id="rId1"/>
  <headerFooter alignWithMargins="0">
    <oddFooter xml:space="preserve">&amp;L&amp;8&amp;Z&amp;F&amp;A&amp;10
</oddFooter>
  </headerFooter>
  <ignoredErrors>
    <ignoredError sqref="V23 L72 V89 V72 V55 L55 L23 Z37 Z23:Z36 Z38:Z106" formula="1"/>
    <ignoredError sqref="V63 V65:V67 V24:V36 V38:V54" formulaRange="1"/>
    <ignoredError sqref="V37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B113"/>
  <sheetViews>
    <sheetView showZeros="0" zoomScale="77" zoomScaleNormal="77" zoomScaleSheetLayoutView="50" workbookViewId="0">
      <pane xSplit="2" ySplit="5" topLeftCell="K6" activePane="bottomRight" state="frozen"/>
      <selection activeCell="B33" sqref="B33"/>
      <selection pane="topRight" activeCell="B33" sqref="B33"/>
      <selection pane="bottomLeft" activeCell="B33" sqref="B33"/>
      <selection pane="bottomRight" activeCell="X7" sqref="X7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bestFit="1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</cols>
  <sheetData>
    <row r="1" spans="1:27" s="111" customFormat="1" ht="22.8" x14ac:dyDescent="0.35">
      <c r="B1" s="544"/>
      <c r="C1" s="546" t="s">
        <v>263</v>
      </c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6"/>
      <c r="S1" s="546"/>
      <c r="T1" s="546"/>
      <c r="U1" s="546"/>
      <c r="V1" s="546"/>
      <c r="W1" s="546"/>
      <c r="X1" s="546"/>
      <c r="Y1" s="546"/>
      <c r="Z1" s="546"/>
    </row>
    <row r="2" spans="1:27" s="111" customFormat="1" ht="22.8" x14ac:dyDescent="0.35">
      <c r="B2" s="544"/>
      <c r="C2" s="550"/>
      <c r="D2" s="550"/>
      <c r="E2" s="550"/>
      <c r="F2" s="550"/>
      <c r="G2" s="550"/>
      <c r="H2" s="550"/>
      <c r="I2" s="550"/>
      <c r="J2" s="550"/>
      <c r="K2" s="550"/>
      <c r="L2" s="550"/>
      <c r="M2" s="550"/>
      <c r="N2" s="550"/>
      <c r="O2" s="550"/>
      <c r="P2" s="550"/>
      <c r="Q2" s="550"/>
      <c r="R2" s="550"/>
      <c r="S2" s="550"/>
      <c r="T2" s="550"/>
      <c r="U2" s="550"/>
      <c r="V2" s="550"/>
      <c r="W2" s="550"/>
      <c r="X2" s="550"/>
      <c r="Y2" s="550"/>
      <c r="Z2" s="550"/>
    </row>
    <row r="3" spans="1:27" s="111" customFormat="1" ht="21" thickBot="1" x14ac:dyDescent="0.4">
      <c r="B3" s="545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7" ht="21" customHeight="1" thickTop="1" thickBot="1" x14ac:dyDescent="0.3">
      <c r="A4" s="145"/>
      <c r="B4" s="167"/>
      <c r="C4" s="547" t="s">
        <v>253</v>
      </c>
      <c r="D4" s="548"/>
      <c r="E4" s="548"/>
      <c r="F4" s="548"/>
      <c r="G4" s="548"/>
      <c r="H4" s="548"/>
      <c r="I4" s="548"/>
      <c r="J4" s="548"/>
      <c r="K4" s="548"/>
      <c r="L4" s="549"/>
      <c r="M4" s="547" t="s">
        <v>262</v>
      </c>
      <c r="N4" s="548"/>
      <c r="O4" s="548"/>
      <c r="P4" s="548"/>
      <c r="Q4" s="548"/>
      <c r="R4" s="548"/>
      <c r="S4" s="548"/>
      <c r="T4" s="548"/>
      <c r="U4" s="548"/>
      <c r="V4" s="549"/>
      <c r="W4" s="202"/>
      <c r="X4" s="553" t="s">
        <v>472</v>
      </c>
      <c r="Y4" s="554"/>
      <c r="Z4" s="202"/>
      <c r="AA4" s="202"/>
    </row>
    <row r="5" spans="1:27" ht="45" customHeight="1" thickBot="1" x14ac:dyDescent="0.3">
      <c r="A5" s="146" t="s">
        <v>360</v>
      </c>
      <c r="B5" s="168" t="s">
        <v>456</v>
      </c>
      <c r="C5" s="395" t="s">
        <v>254</v>
      </c>
      <c r="D5" s="316" t="s">
        <v>219</v>
      </c>
      <c r="E5" s="317" t="s">
        <v>255</v>
      </c>
      <c r="F5" s="460" t="s">
        <v>256</v>
      </c>
      <c r="G5" s="461" t="s">
        <v>257</v>
      </c>
      <c r="H5" s="318" t="s">
        <v>258</v>
      </c>
      <c r="I5" s="318" t="s">
        <v>259</v>
      </c>
      <c r="J5" s="318" t="s">
        <v>260</v>
      </c>
      <c r="K5" s="460" t="s">
        <v>261</v>
      </c>
      <c r="L5" s="402" t="s">
        <v>208</v>
      </c>
      <c r="M5" s="397" t="s">
        <v>254</v>
      </c>
      <c r="N5" s="316" t="s">
        <v>219</v>
      </c>
      <c r="O5" s="317" t="s">
        <v>255</v>
      </c>
      <c r="P5" s="318" t="s">
        <v>256</v>
      </c>
      <c r="Q5" s="318" t="s">
        <v>257</v>
      </c>
      <c r="R5" s="318" t="s">
        <v>258</v>
      </c>
      <c r="S5" s="318" t="s">
        <v>259</v>
      </c>
      <c r="T5" s="318" t="s">
        <v>260</v>
      </c>
      <c r="U5" s="224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87" t="s">
        <v>267</v>
      </c>
    </row>
    <row r="6" spans="1:27" ht="14.1" customHeight="1" x14ac:dyDescent="0.25">
      <c r="A6" s="136" t="s">
        <v>68</v>
      </c>
      <c r="B6" s="279" t="s">
        <v>268</v>
      </c>
      <c r="C6" s="230">
        <v>873</v>
      </c>
      <c r="D6" s="230">
        <v>438</v>
      </c>
      <c r="E6" s="230">
        <v>237</v>
      </c>
      <c r="F6" s="230">
        <v>35</v>
      </c>
      <c r="G6" s="230">
        <v>30</v>
      </c>
      <c r="H6" s="230">
        <v>0</v>
      </c>
      <c r="I6" s="230">
        <v>0</v>
      </c>
      <c r="J6" s="230">
        <v>400</v>
      </c>
      <c r="K6" s="230">
        <v>0</v>
      </c>
      <c r="L6" s="286">
        <f>SUM(C6:K6)</f>
        <v>2013</v>
      </c>
      <c r="M6" s="230">
        <v>0</v>
      </c>
      <c r="N6" s="230">
        <v>0</v>
      </c>
      <c r="O6" s="230">
        <v>0</v>
      </c>
      <c r="P6" s="230">
        <v>0</v>
      </c>
      <c r="Q6" s="230">
        <v>0</v>
      </c>
      <c r="R6" s="230">
        <v>0</v>
      </c>
      <c r="S6" s="230">
        <v>0</v>
      </c>
      <c r="T6" s="230">
        <v>0</v>
      </c>
      <c r="U6" s="156"/>
      <c r="V6" s="256">
        <f>SUM(M6:U6)</f>
        <v>0</v>
      </c>
      <c r="W6" s="250">
        <v>435</v>
      </c>
      <c r="X6" s="211"/>
      <c r="Y6" s="211"/>
      <c r="Z6" s="281">
        <f>L6+V6+W6+X6+Y6</f>
        <v>2448</v>
      </c>
      <c r="AA6" s="218">
        <f t="shared" ref="AA6:AA22" si="0">C6+D6+F6+K6+M6+N6+P6+U6</f>
        <v>1346</v>
      </c>
    </row>
    <row r="7" spans="1:27" ht="14.1" customHeight="1" x14ac:dyDescent="0.25">
      <c r="A7" s="136" t="s">
        <v>69</v>
      </c>
      <c r="B7" s="137" t="s">
        <v>269</v>
      </c>
      <c r="C7" s="230">
        <v>403</v>
      </c>
      <c r="D7" s="230">
        <v>242</v>
      </c>
      <c r="E7" s="230">
        <v>39</v>
      </c>
      <c r="F7" s="230">
        <v>15</v>
      </c>
      <c r="G7" s="230">
        <v>10</v>
      </c>
      <c r="H7" s="230">
        <v>0</v>
      </c>
      <c r="I7" s="230">
        <v>0</v>
      </c>
      <c r="J7" s="230">
        <v>423</v>
      </c>
      <c r="K7" s="230">
        <v>0</v>
      </c>
      <c r="L7" s="241">
        <f t="shared" ref="L7:L18" si="1">SUM(C7:K7)</f>
        <v>1132</v>
      </c>
      <c r="M7" s="230">
        <v>105</v>
      </c>
      <c r="N7" s="230">
        <v>48</v>
      </c>
      <c r="O7" s="230">
        <v>9</v>
      </c>
      <c r="P7" s="230">
        <v>2</v>
      </c>
      <c r="Q7" s="230">
        <v>1</v>
      </c>
      <c r="R7" s="230">
        <v>0</v>
      </c>
      <c r="S7" s="230">
        <v>0</v>
      </c>
      <c r="T7" s="230">
        <v>3</v>
      </c>
      <c r="U7" s="128"/>
      <c r="V7" s="256">
        <f t="shared" ref="V7:V22" si="2">SUM(M7:U7)</f>
        <v>168</v>
      </c>
      <c r="W7" s="251"/>
      <c r="X7" s="248">
        <v>217</v>
      </c>
      <c r="Y7" s="248">
        <v>14</v>
      </c>
      <c r="Z7" s="247">
        <f t="shared" ref="Z7:Z22" si="3">L7+V7+W7+X7+Y7</f>
        <v>1531</v>
      </c>
      <c r="AA7" s="218">
        <f t="shared" si="0"/>
        <v>815</v>
      </c>
    </row>
    <row r="8" spans="1:27" ht="14.1" customHeight="1" x14ac:dyDescent="0.25">
      <c r="A8" s="136" t="s">
        <v>73</v>
      </c>
      <c r="B8" s="137" t="s">
        <v>270</v>
      </c>
      <c r="C8" s="230">
        <v>16</v>
      </c>
      <c r="D8" s="230">
        <v>7</v>
      </c>
      <c r="E8" s="230">
        <v>0</v>
      </c>
      <c r="F8" s="230">
        <v>0</v>
      </c>
      <c r="G8" s="230">
        <v>0</v>
      </c>
      <c r="H8" s="230">
        <v>0</v>
      </c>
      <c r="I8" s="230">
        <v>23</v>
      </c>
      <c r="J8" s="230">
        <v>63</v>
      </c>
      <c r="K8" s="230">
        <v>0</v>
      </c>
      <c r="L8" s="241">
        <f t="shared" si="1"/>
        <v>109</v>
      </c>
      <c r="M8" s="230">
        <v>209</v>
      </c>
      <c r="N8" s="230">
        <v>91</v>
      </c>
      <c r="O8" s="230">
        <v>4</v>
      </c>
      <c r="P8" s="230">
        <v>11</v>
      </c>
      <c r="Q8" s="230">
        <v>0</v>
      </c>
      <c r="R8" s="230">
        <v>0</v>
      </c>
      <c r="S8" s="230">
        <v>10</v>
      </c>
      <c r="T8" s="230">
        <v>91</v>
      </c>
      <c r="U8" s="128"/>
      <c r="V8" s="256">
        <f t="shared" si="2"/>
        <v>416</v>
      </c>
      <c r="W8" s="251"/>
      <c r="X8" s="204"/>
      <c r="Y8" s="204"/>
      <c r="Z8" s="247">
        <f t="shared" si="3"/>
        <v>525</v>
      </c>
      <c r="AA8" s="218">
        <f t="shared" si="0"/>
        <v>334</v>
      </c>
    </row>
    <row r="9" spans="1:27" ht="14.1" customHeight="1" x14ac:dyDescent="0.25">
      <c r="A9" s="136" t="s">
        <v>74</v>
      </c>
      <c r="B9" s="137" t="s">
        <v>358</v>
      </c>
      <c r="C9" s="230"/>
      <c r="D9" s="230"/>
      <c r="E9" s="230"/>
      <c r="F9" s="230"/>
      <c r="G9" s="230"/>
      <c r="H9" s="230"/>
      <c r="I9" s="230"/>
      <c r="J9" s="230"/>
      <c r="K9" s="230"/>
      <c r="L9" s="241">
        <f t="shared" si="1"/>
        <v>0</v>
      </c>
      <c r="M9" s="230"/>
      <c r="N9" s="230"/>
      <c r="O9" s="230"/>
      <c r="P9" s="230"/>
      <c r="Q9" s="230"/>
      <c r="R9" s="230"/>
      <c r="S9" s="230"/>
      <c r="T9" s="230"/>
      <c r="U9" s="147"/>
      <c r="V9" s="256">
        <f t="shared" si="2"/>
        <v>0</v>
      </c>
      <c r="W9" s="248">
        <v>10378</v>
      </c>
      <c r="X9" s="204"/>
      <c r="Y9" s="204"/>
      <c r="Z9" s="247">
        <f t="shared" si="3"/>
        <v>10378</v>
      </c>
      <c r="AA9" s="218">
        <f t="shared" si="0"/>
        <v>0</v>
      </c>
    </row>
    <row r="10" spans="1:27" ht="14.1" customHeight="1" x14ac:dyDescent="0.25">
      <c r="A10" s="136" t="s">
        <v>94</v>
      </c>
      <c r="B10" s="137" t="s">
        <v>271</v>
      </c>
      <c r="C10" s="230">
        <v>881</v>
      </c>
      <c r="D10" s="230">
        <v>476</v>
      </c>
      <c r="E10" s="230">
        <v>113</v>
      </c>
      <c r="F10" s="230">
        <v>89</v>
      </c>
      <c r="G10" s="230">
        <v>23</v>
      </c>
      <c r="H10" s="230">
        <v>0</v>
      </c>
      <c r="I10" s="230">
        <v>9</v>
      </c>
      <c r="J10" s="230">
        <v>66</v>
      </c>
      <c r="K10" s="230">
        <v>0</v>
      </c>
      <c r="L10" s="241">
        <f t="shared" si="1"/>
        <v>1657</v>
      </c>
      <c r="M10" s="230">
        <v>988</v>
      </c>
      <c r="N10" s="230">
        <v>2306</v>
      </c>
      <c r="O10" s="230">
        <v>611</v>
      </c>
      <c r="P10" s="230">
        <v>144</v>
      </c>
      <c r="Q10" s="230">
        <v>112</v>
      </c>
      <c r="R10" s="230">
        <v>0</v>
      </c>
      <c r="S10" s="230">
        <v>97</v>
      </c>
      <c r="T10" s="230">
        <v>133</v>
      </c>
      <c r="U10" s="230"/>
      <c r="V10" s="256">
        <f t="shared" si="2"/>
        <v>4391</v>
      </c>
      <c r="W10" s="248">
        <v>1189</v>
      </c>
      <c r="X10" s="204"/>
      <c r="Y10" s="204"/>
      <c r="Z10" s="247">
        <f t="shared" si="3"/>
        <v>7237</v>
      </c>
      <c r="AA10" s="218">
        <f t="shared" si="0"/>
        <v>4884</v>
      </c>
    </row>
    <row r="11" spans="1:27" ht="14.1" customHeight="1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2</v>
      </c>
      <c r="F11" s="230">
        <v>0</v>
      </c>
      <c r="G11" s="230">
        <v>0</v>
      </c>
      <c r="H11" s="230">
        <v>0</v>
      </c>
      <c r="I11" s="230">
        <v>0</v>
      </c>
      <c r="J11" s="230">
        <v>157</v>
      </c>
      <c r="K11" s="230">
        <v>0</v>
      </c>
      <c r="L11" s="241">
        <f t="shared" si="1"/>
        <v>159</v>
      </c>
      <c r="M11" s="230">
        <v>0</v>
      </c>
      <c r="N11" s="230">
        <v>0</v>
      </c>
      <c r="O11" s="230">
        <v>7</v>
      </c>
      <c r="P11" s="230">
        <v>0</v>
      </c>
      <c r="Q11" s="230">
        <v>0</v>
      </c>
      <c r="R11" s="230">
        <v>0</v>
      </c>
      <c r="S11" s="230">
        <v>0</v>
      </c>
      <c r="T11" s="230">
        <v>236</v>
      </c>
      <c r="U11" s="128"/>
      <c r="V11" s="256">
        <f t="shared" si="2"/>
        <v>243</v>
      </c>
      <c r="W11" s="251"/>
      <c r="X11" s="248"/>
      <c r="Y11" s="204"/>
      <c r="Z11" s="247">
        <f t="shared" si="3"/>
        <v>402</v>
      </c>
      <c r="AA11" s="218">
        <f t="shared" si="0"/>
        <v>0</v>
      </c>
    </row>
    <row r="12" spans="1:27" ht="14.1" customHeight="1" x14ac:dyDescent="0.25">
      <c r="A12" s="136" t="s">
        <v>361</v>
      </c>
      <c r="B12" s="137" t="s">
        <v>355</v>
      </c>
      <c r="C12" s="230"/>
      <c r="D12" s="230"/>
      <c r="E12" s="230"/>
      <c r="F12" s="230"/>
      <c r="G12" s="230"/>
      <c r="H12" s="230"/>
      <c r="I12" s="230"/>
      <c r="J12" s="230"/>
      <c r="K12" s="128"/>
      <c r="L12" s="241">
        <f t="shared" si="1"/>
        <v>0</v>
      </c>
      <c r="M12" s="128"/>
      <c r="N12" s="128"/>
      <c r="O12" s="128"/>
      <c r="P12" s="128"/>
      <c r="Q12" s="128"/>
      <c r="R12" s="128"/>
      <c r="S12" s="128"/>
      <c r="T12" s="128"/>
      <c r="U12" s="147"/>
      <c r="V12" s="256">
        <f t="shared" si="2"/>
        <v>0</v>
      </c>
      <c r="W12" s="251"/>
      <c r="X12" s="248">
        <v>96</v>
      </c>
      <c r="Y12" s="248">
        <v>17</v>
      </c>
      <c r="Z12" s="247">
        <f t="shared" si="3"/>
        <v>113</v>
      </c>
      <c r="AA12" s="218">
        <f t="shared" si="0"/>
        <v>0</v>
      </c>
    </row>
    <row r="13" spans="1:27" ht="14.1" customHeight="1" x14ac:dyDescent="0.25">
      <c r="A13" s="136" t="s">
        <v>106</v>
      </c>
      <c r="B13" s="137" t="s">
        <v>273</v>
      </c>
      <c r="C13" s="230">
        <v>233</v>
      </c>
      <c r="D13" s="230">
        <v>44</v>
      </c>
      <c r="E13" s="230">
        <v>7</v>
      </c>
      <c r="F13" s="230">
        <v>8</v>
      </c>
      <c r="G13" s="230">
        <v>2</v>
      </c>
      <c r="H13" s="230">
        <v>0</v>
      </c>
      <c r="I13" s="230">
        <v>0</v>
      </c>
      <c r="J13" s="230">
        <v>44</v>
      </c>
      <c r="K13" s="230">
        <v>0</v>
      </c>
      <c r="L13" s="241">
        <f t="shared" si="1"/>
        <v>338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230"/>
      <c r="V13" s="256">
        <f t="shared" si="2"/>
        <v>0</v>
      </c>
      <c r="W13" s="251"/>
      <c r="X13" s="204"/>
      <c r="Y13" s="204"/>
      <c r="Z13" s="247">
        <f t="shared" si="3"/>
        <v>338</v>
      </c>
      <c r="AA13" s="218">
        <f t="shared" si="0"/>
        <v>285</v>
      </c>
    </row>
    <row r="14" spans="1:27" ht="14.1" customHeight="1" x14ac:dyDescent="0.25">
      <c r="A14" s="136" t="s">
        <v>110</v>
      </c>
      <c r="B14" s="137" t="s">
        <v>274</v>
      </c>
      <c r="C14" s="230">
        <v>3342</v>
      </c>
      <c r="D14" s="230">
        <v>1126</v>
      </c>
      <c r="E14" s="230">
        <v>698</v>
      </c>
      <c r="F14" s="230">
        <v>30</v>
      </c>
      <c r="G14" s="230">
        <v>75</v>
      </c>
      <c r="H14" s="230">
        <v>0</v>
      </c>
      <c r="I14" s="230">
        <v>150</v>
      </c>
      <c r="J14" s="230">
        <v>125</v>
      </c>
      <c r="K14" s="230">
        <v>0</v>
      </c>
      <c r="L14" s="241">
        <f t="shared" si="1"/>
        <v>5546</v>
      </c>
      <c r="M14" s="230">
        <v>89</v>
      </c>
      <c r="N14" s="230">
        <v>48</v>
      </c>
      <c r="O14" s="230">
        <v>105</v>
      </c>
      <c r="P14" s="230">
        <v>0</v>
      </c>
      <c r="Q14" s="230">
        <v>4</v>
      </c>
      <c r="R14" s="230">
        <v>0</v>
      </c>
      <c r="S14" s="230">
        <v>0</v>
      </c>
      <c r="T14" s="230">
        <v>1</v>
      </c>
      <c r="U14" s="230"/>
      <c r="V14" s="256">
        <f t="shared" si="2"/>
        <v>247</v>
      </c>
      <c r="W14" s="251"/>
      <c r="X14" s="204"/>
      <c r="Y14" s="204"/>
      <c r="Z14" s="247">
        <f t="shared" si="3"/>
        <v>5793</v>
      </c>
      <c r="AA14" s="218">
        <f t="shared" si="0"/>
        <v>4635</v>
      </c>
    </row>
    <row r="15" spans="1:27" ht="14.1" customHeight="1" x14ac:dyDescent="0.25">
      <c r="A15" s="136" t="s">
        <v>119</v>
      </c>
      <c r="B15" s="137" t="s">
        <v>275</v>
      </c>
      <c r="C15" s="230">
        <v>841</v>
      </c>
      <c r="D15" s="230">
        <v>390</v>
      </c>
      <c r="E15" s="230">
        <v>154</v>
      </c>
      <c r="F15" s="230">
        <v>29</v>
      </c>
      <c r="G15" s="230">
        <v>9</v>
      </c>
      <c r="H15" s="230">
        <v>0</v>
      </c>
      <c r="I15" s="230">
        <v>0</v>
      </c>
      <c r="J15" s="230">
        <v>58</v>
      </c>
      <c r="K15" s="230">
        <v>0</v>
      </c>
      <c r="L15" s="241">
        <f t="shared" si="1"/>
        <v>1481</v>
      </c>
      <c r="M15" s="230">
        <v>157</v>
      </c>
      <c r="N15" s="230">
        <v>114</v>
      </c>
      <c r="O15" s="230">
        <v>20</v>
      </c>
      <c r="P15" s="230">
        <v>19</v>
      </c>
      <c r="Q15" s="230">
        <v>3</v>
      </c>
      <c r="R15" s="230">
        <v>0</v>
      </c>
      <c r="S15" s="230">
        <v>0</v>
      </c>
      <c r="T15" s="230">
        <v>10</v>
      </c>
      <c r="U15" s="230"/>
      <c r="V15" s="256">
        <f t="shared" si="2"/>
        <v>323</v>
      </c>
      <c r="W15" s="251"/>
      <c r="X15" s="248">
        <v>152</v>
      </c>
      <c r="Y15" s="248"/>
      <c r="Z15" s="247">
        <f t="shared" si="3"/>
        <v>1956</v>
      </c>
      <c r="AA15" s="218">
        <f t="shared" si="0"/>
        <v>1550</v>
      </c>
    </row>
    <row r="16" spans="1:27" ht="14.1" customHeight="1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1141</v>
      </c>
      <c r="K16" s="230">
        <v>0</v>
      </c>
      <c r="L16" s="241">
        <f t="shared" si="1"/>
        <v>1141</v>
      </c>
      <c r="M16" s="230">
        <v>0</v>
      </c>
      <c r="N16" s="230">
        <v>0</v>
      </c>
      <c r="O16" s="230">
        <v>0</v>
      </c>
      <c r="P16" s="230">
        <v>0</v>
      </c>
      <c r="Q16" s="230">
        <v>0</v>
      </c>
      <c r="R16" s="230">
        <v>0</v>
      </c>
      <c r="S16" s="230">
        <v>0</v>
      </c>
      <c r="T16" s="230">
        <v>0</v>
      </c>
      <c r="U16" s="230"/>
      <c r="V16" s="256">
        <f t="shared" si="2"/>
        <v>0</v>
      </c>
      <c r="W16" s="251"/>
      <c r="X16" s="204"/>
      <c r="Y16" s="204"/>
      <c r="Z16" s="247">
        <f t="shared" si="3"/>
        <v>1141</v>
      </c>
      <c r="AA16" s="218">
        <f t="shared" si="0"/>
        <v>0</v>
      </c>
    </row>
    <row r="17" spans="1:27" ht="14.1" customHeight="1" x14ac:dyDescent="0.25">
      <c r="A17" s="136" t="s">
        <v>123</v>
      </c>
      <c r="B17" s="137" t="s">
        <v>277</v>
      </c>
      <c r="C17" s="230">
        <v>44</v>
      </c>
      <c r="D17" s="230">
        <v>23</v>
      </c>
      <c r="E17" s="230">
        <v>2</v>
      </c>
      <c r="F17" s="230">
        <v>2</v>
      </c>
      <c r="G17" s="230">
        <v>1</v>
      </c>
      <c r="H17" s="230">
        <v>0</v>
      </c>
      <c r="I17" s="230">
        <v>0</v>
      </c>
      <c r="J17" s="230">
        <v>0</v>
      </c>
      <c r="K17" s="230">
        <v>0</v>
      </c>
      <c r="L17" s="241">
        <f t="shared" si="1"/>
        <v>72</v>
      </c>
      <c r="M17" s="230">
        <v>54</v>
      </c>
      <c r="N17" s="230">
        <v>88</v>
      </c>
      <c r="O17" s="230">
        <v>153</v>
      </c>
      <c r="P17" s="230">
        <v>0</v>
      </c>
      <c r="Q17" s="230">
        <v>0</v>
      </c>
      <c r="R17" s="230">
        <v>50</v>
      </c>
      <c r="S17" s="230">
        <v>16</v>
      </c>
      <c r="T17" s="230">
        <v>31</v>
      </c>
      <c r="U17" s="230"/>
      <c r="V17" s="256">
        <f t="shared" si="2"/>
        <v>392</v>
      </c>
      <c r="W17" s="248">
        <v>148</v>
      </c>
      <c r="X17" s="204"/>
      <c r="Y17" s="204"/>
      <c r="Z17" s="247">
        <f t="shared" si="3"/>
        <v>612</v>
      </c>
      <c r="AA17" s="218">
        <f t="shared" si="0"/>
        <v>211</v>
      </c>
    </row>
    <row r="18" spans="1:27" ht="14.1" customHeight="1" x14ac:dyDescent="0.25">
      <c r="A18" s="136" t="s">
        <v>128</v>
      </c>
      <c r="B18" s="137" t="s">
        <v>332</v>
      </c>
      <c r="C18" s="230">
        <v>128</v>
      </c>
      <c r="D18" s="230">
        <v>43</v>
      </c>
      <c r="E18" s="230">
        <v>25</v>
      </c>
      <c r="F18" s="230">
        <v>8</v>
      </c>
      <c r="G18" s="230">
        <v>4</v>
      </c>
      <c r="H18" s="230">
        <v>0</v>
      </c>
      <c r="I18" s="230">
        <v>12</v>
      </c>
      <c r="J18" s="230">
        <v>26</v>
      </c>
      <c r="K18" s="230">
        <v>0</v>
      </c>
      <c r="L18" s="241">
        <f t="shared" si="1"/>
        <v>246</v>
      </c>
      <c r="M18" s="230">
        <v>283</v>
      </c>
      <c r="N18" s="230">
        <v>309</v>
      </c>
      <c r="O18" s="230">
        <v>109</v>
      </c>
      <c r="P18" s="230">
        <v>12</v>
      </c>
      <c r="Q18" s="230">
        <v>8</v>
      </c>
      <c r="R18" s="230">
        <v>0</v>
      </c>
      <c r="S18" s="230">
        <v>0</v>
      </c>
      <c r="T18" s="230">
        <v>0</v>
      </c>
      <c r="U18" s="230"/>
      <c r="V18" s="256">
        <f t="shared" si="2"/>
        <v>721</v>
      </c>
      <c r="W18" s="251"/>
      <c r="X18" s="204"/>
      <c r="Y18" s="204"/>
      <c r="Z18" s="247">
        <f t="shared" si="3"/>
        <v>967</v>
      </c>
      <c r="AA18" s="218">
        <f t="shared" si="0"/>
        <v>783</v>
      </c>
    </row>
    <row r="19" spans="1:27" ht="14.1" customHeight="1" x14ac:dyDescent="0.25">
      <c r="A19" s="136" t="s">
        <v>150</v>
      </c>
      <c r="B19" s="137" t="s">
        <v>278</v>
      </c>
      <c r="C19" s="230">
        <v>1230</v>
      </c>
      <c r="D19" s="230">
        <v>224</v>
      </c>
      <c r="E19" s="230">
        <v>389</v>
      </c>
      <c r="F19" s="230">
        <v>47</v>
      </c>
      <c r="G19" s="230">
        <v>22</v>
      </c>
      <c r="H19" s="230">
        <v>0</v>
      </c>
      <c r="I19" s="230">
        <v>0</v>
      </c>
      <c r="J19" s="230">
        <v>34</v>
      </c>
      <c r="K19" s="230">
        <v>0</v>
      </c>
      <c r="L19" s="241">
        <f>SUM(C19:K19)</f>
        <v>1946</v>
      </c>
      <c r="M19" s="230">
        <v>438</v>
      </c>
      <c r="N19" s="230">
        <v>242</v>
      </c>
      <c r="O19" s="230">
        <v>80</v>
      </c>
      <c r="P19" s="230">
        <v>7</v>
      </c>
      <c r="Q19" s="230">
        <v>10</v>
      </c>
      <c r="R19" s="230">
        <v>0</v>
      </c>
      <c r="S19" s="230">
        <v>0</v>
      </c>
      <c r="T19" s="230">
        <v>4</v>
      </c>
      <c r="U19" s="230"/>
      <c r="V19" s="256">
        <f t="shared" si="2"/>
        <v>781</v>
      </c>
      <c r="W19" s="248">
        <v>520</v>
      </c>
      <c r="X19" s="204"/>
      <c r="Y19" s="204"/>
      <c r="Z19" s="247">
        <f t="shared" si="3"/>
        <v>3247</v>
      </c>
      <c r="AA19" s="218">
        <f t="shared" si="0"/>
        <v>2188</v>
      </c>
    </row>
    <row r="20" spans="1:27" ht="14.1" customHeight="1" x14ac:dyDescent="0.25">
      <c r="A20" s="136" t="s">
        <v>181</v>
      </c>
      <c r="B20" s="137" t="s">
        <v>335</v>
      </c>
      <c r="C20" s="230">
        <v>643</v>
      </c>
      <c r="D20" s="230">
        <v>996</v>
      </c>
      <c r="E20" s="230">
        <v>148</v>
      </c>
      <c r="F20" s="230">
        <v>47</v>
      </c>
      <c r="G20" s="230">
        <v>42</v>
      </c>
      <c r="H20" s="230">
        <v>0</v>
      </c>
      <c r="I20" s="230">
        <v>311</v>
      </c>
      <c r="J20" s="230">
        <v>1796</v>
      </c>
      <c r="K20" s="230">
        <v>144</v>
      </c>
      <c r="L20" s="241">
        <f>SUM(C20:K20)</f>
        <v>4127</v>
      </c>
      <c r="M20" s="230">
        <v>540</v>
      </c>
      <c r="N20" s="230">
        <v>1198</v>
      </c>
      <c r="O20" s="230">
        <v>343</v>
      </c>
      <c r="P20" s="230">
        <v>74</v>
      </c>
      <c r="Q20" s="230">
        <v>56</v>
      </c>
      <c r="R20" s="230">
        <v>0</v>
      </c>
      <c r="S20" s="230">
        <v>0</v>
      </c>
      <c r="T20" s="230">
        <v>2</v>
      </c>
      <c r="U20" s="230"/>
      <c r="V20" s="256">
        <f t="shared" si="2"/>
        <v>2213</v>
      </c>
      <c r="W20" s="249"/>
      <c r="X20" s="209"/>
      <c r="Y20" s="209"/>
      <c r="Z20" s="247">
        <f t="shared" si="3"/>
        <v>6340</v>
      </c>
      <c r="AA20" s="218">
        <f t="shared" si="0"/>
        <v>3642</v>
      </c>
    </row>
    <row r="21" spans="1:27" ht="14.1" customHeight="1" x14ac:dyDescent="0.25">
      <c r="A21" s="136" t="s">
        <v>184</v>
      </c>
      <c r="B21" s="137" t="s">
        <v>279</v>
      </c>
      <c r="C21" s="230">
        <v>321</v>
      </c>
      <c r="D21" s="230">
        <v>99</v>
      </c>
      <c r="E21" s="230">
        <v>31</v>
      </c>
      <c r="F21" s="230">
        <v>15</v>
      </c>
      <c r="G21" s="230">
        <v>6</v>
      </c>
      <c r="H21" s="230">
        <v>0</v>
      </c>
      <c r="I21" s="230">
        <v>77</v>
      </c>
      <c r="J21" s="230">
        <v>26</v>
      </c>
      <c r="K21" s="230">
        <v>0</v>
      </c>
      <c r="L21" s="241">
        <f>SUM(C21:K21)</f>
        <v>575</v>
      </c>
      <c r="M21" s="230">
        <v>269</v>
      </c>
      <c r="N21" s="230">
        <v>420</v>
      </c>
      <c r="O21" s="230">
        <v>42</v>
      </c>
      <c r="P21" s="230">
        <v>31</v>
      </c>
      <c r="Q21" s="230">
        <v>16</v>
      </c>
      <c r="R21" s="230">
        <v>0</v>
      </c>
      <c r="S21" s="230">
        <v>208</v>
      </c>
      <c r="T21" s="230">
        <v>68</v>
      </c>
      <c r="U21" s="230"/>
      <c r="V21" s="256">
        <f t="shared" si="2"/>
        <v>1054</v>
      </c>
      <c r="W21" s="248">
        <v>121</v>
      </c>
      <c r="X21" s="204"/>
      <c r="Y21" s="204"/>
      <c r="Z21" s="247">
        <f t="shared" si="3"/>
        <v>1750</v>
      </c>
      <c r="AA21" s="218">
        <f t="shared" si="0"/>
        <v>1155</v>
      </c>
    </row>
    <row r="22" spans="1:27" ht="14.1" customHeight="1" thickBot="1" x14ac:dyDescent="0.3">
      <c r="A22" s="136" t="s">
        <v>194</v>
      </c>
      <c r="B22" s="138" t="s">
        <v>280</v>
      </c>
      <c r="C22" s="265">
        <v>0</v>
      </c>
      <c r="D22" s="265">
        <v>0</v>
      </c>
      <c r="E22" s="265">
        <v>739</v>
      </c>
      <c r="F22" s="265">
        <v>0</v>
      </c>
      <c r="G22" s="265">
        <v>0</v>
      </c>
      <c r="H22" s="265">
        <v>0</v>
      </c>
      <c r="I22" s="265">
        <v>0</v>
      </c>
      <c r="J22" s="265">
        <v>3404</v>
      </c>
      <c r="K22" s="265">
        <v>0</v>
      </c>
      <c r="L22" s="268">
        <f>SUM(C22:K22)</f>
        <v>4143</v>
      </c>
      <c r="M22" s="265">
        <v>0</v>
      </c>
      <c r="N22" s="265">
        <v>0</v>
      </c>
      <c r="O22" s="265">
        <v>0</v>
      </c>
      <c r="P22" s="265">
        <v>0</v>
      </c>
      <c r="Q22" s="265">
        <v>0</v>
      </c>
      <c r="R22" s="265">
        <v>0</v>
      </c>
      <c r="S22" s="265">
        <v>0</v>
      </c>
      <c r="T22" s="265">
        <v>0</v>
      </c>
      <c r="U22" s="265"/>
      <c r="V22" s="256">
        <f t="shared" si="2"/>
        <v>0</v>
      </c>
      <c r="W22" s="254"/>
      <c r="X22" s="227"/>
      <c r="Y22" s="227"/>
      <c r="Z22" s="278">
        <f t="shared" si="3"/>
        <v>4143</v>
      </c>
      <c r="AA22" s="350">
        <f t="shared" si="0"/>
        <v>0</v>
      </c>
    </row>
    <row r="23" spans="1:27" s="110" customFormat="1" ht="14.1" customHeight="1" thickBot="1" x14ac:dyDescent="0.3">
      <c r="A23" s="134"/>
      <c r="B23" s="159" t="s">
        <v>457</v>
      </c>
      <c r="C23" s="377">
        <f t="shared" ref="C23:K23" si="4">SUM(C6:C22)</f>
        <v>8955</v>
      </c>
      <c r="D23" s="378">
        <f t="shared" si="4"/>
        <v>4108</v>
      </c>
      <c r="E23" s="495">
        <f t="shared" si="4"/>
        <v>2584</v>
      </c>
      <c r="F23" s="492">
        <f t="shared" si="4"/>
        <v>325</v>
      </c>
      <c r="G23" s="493">
        <f t="shared" si="4"/>
        <v>224</v>
      </c>
      <c r="H23" s="492">
        <f t="shared" si="4"/>
        <v>0</v>
      </c>
      <c r="I23" s="495">
        <f t="shared" si="4"/>
        <v>582</v>
      </c>
      <c r="J23" s="496">
        <f t="shared" si="4"/>
        <v>7763</v>
      </c>
      <c r="K23" s="495">
        <f t="shared" si="4"/>
        <v>144</v>
      </c>
      <c r="L23" s="263">
        <f t="shared" ref="L23:AA23" si="5">SUM(L6:L22)</f>
        <v>24685</v>
      </c>
      <c r="M23" s="262">
        <f t="shared" si="5"/>
        <v>3132</v>
      </c>
      <c r="N23" s="158">
        <f t="shared" si="5"/>
        <v>4864</v>
      </c>
      <c r="O23" s="158">
        <f t="shared" si="5"/>
        <v>1483</v>
      </c>
      <c r="P23" s="158">
        <f t="shared" si="5"/>
        <v>300</v>
      </c>
      <c r="Q23" s="158">
        <f t="shared" si="5"/>
        <v>210</v>
      </c>
      <c r="R23" s="158">
        <f t="shared" si="5"/>
        <v>50</v>
      </c>
      <c r="S23" s="158">
        <f t="shared" si="5"/>
        <v>331</v>
      </c>
      <c r="T23" s="264">
        <f t="shared" si="5"/>
        <v>579</v>
      </c>
      <c r="U23" s="401">
        <f t="shared" si="5"/>
        <v>0</v>
      </c>
      <c r="V23" s="180">
        <f t="shared" si="5"/>
        <v>10949</v>
      </c>
      <c r="W23" s="208">
        <f t="shared" si="5"/>
        <v>12791</v>
      </c>
      <c r="X23" s="208">
        <f t="shared" si="5"/>
        <v>465</v>
      </c>
      <c r="Y23" s="273">
        <f>SUM(Y6:Y22)</f>
        <v>31</v>
      </c>
      <c r="Z23" s="275">
        <f t="shared" si="5"/>
        <v>48921</v>
      </c>
      <c r="AA23" s="276">
        <f t="shared" si="5"/>
        <v>21828</v>
      </c>
    </row>
    <row r="24" spans="1:27" ht="14.1" customHeight="1" x14ac:dyDescent="0.25">
      <c r="A24" s="136" t="s">
        <v>72</v>
      </c>
      <c r="B24" s="137" t="s">
        <v>356</v>
      </c>
      <c r="C24" s="230">
        <v>480</v>
      </c>
      <c r="D24" s="230">
        <v>612</v>
      </c>
      <c r="E24" s="230">
        <v>172</v>
      </c>
      <c r="F24" s="230">
        <v>25</v>
      </c>
      <c r="G24" s="230">
        <v>11</v>
      </c>
      <c r="H24" s="230">
        <v>13</v>
      </c>
      <c r="I24" s="230">
        <v>0</v>
      </c>
      <c r="J24" s="230">
        <v>14</v>
      </c>
      <c r="K24" s="230">
        <v>52</v>
      </c>
      <c r="L24" s="234">
        <f>SUM(C24:K24)</f>
        <v>1379</v>
      </c>
      <c r="M24" s="280">
        <v>4</v>
      </c>
      <c r="N24" s="280">
        <v>1</v>
      </c>
      <c r="O24" s="280">
        <v>2</v>
      </c>
      <c r="P24" s="280">
        <v>0</v>
      </c>
      <c r="Q24" s="280">
        <v>0</v>
      </c>
      <c r="R24" s="280">
        <v>0</v>
      </c>
      <c r="S24" s="280">
        <v>0</v>
      </c>
      <c r="T24" s="280">
        <v>0</v>
      </c>
      <c r="U24" s="280">
        <v>0</v>
      </c>
      <c r="V24" s="256">
        <f>SUM(M24:U24)</f>
        <v>7</v>
      </c>
      <c r="W24" s="251"/>
      <c r="X24" s="204"/>
      <c r="Y24" s="204"/>
      <c r="Z24" s="247">
        <f>L24+V24+W24+X24+Y24</f>
        <v>1386</v>
      </c>
      <c r="AA24" s="215">
        <f t="shared" ref="AA24:AA36" si="6">C24+D24+F24+K24+M24+N24+P24+U24</f>
        <v>1174</v>
      </c>
    </row>
    <row r="25" spans="1:27" ht="14.1" customHeight="1" x14ac:dyDescent="0.25">
      <c r="A25" s="136" t="s">
        <v>85</v>
      </c>
      <c r="B25" s="137" t="s">
        <v>281</v>
      </c>
      <c r="C25" s="230">
        <v>1367</v>
      </c>
      <c r="D25" s="230">
        <v>778</v>
      </c>
      <c r="E25" s="230">
        <v>268</v>
      </c>
      <c r="F25" s="230">
        <v>112</v>
      </c>
      <c r="G25" s="230">
        <v>60</v>
      </c>
      <c r="H25" s="230">
        <v>0</v>
      </c>
      <c r="I25" s="230">
        <v>0</v>
      </c>
      <c r="J25" s="230">
        <v>32</v>
      </c>
      <c r="K25" s="230">
        <v>0</v>
      </c>
      <c r="L25" s="232">
        <f t="shared" ref="L25:L36" si="7">SUM(C25:K25)</f>
        <v>2617</v>
      </c>
      <c r="M25" s="230">
        <v>784</v>
      </c>
      <c r="N25" s="230">
        <v>757</v>
      </c>
      <c r="O25" s="230">
        <v>423</v>
      </c>
      <c r="P25" s="230">
        <v>63</v>
      </c>
      <c r="Q25" s="230">
        <v>46</v>
      </c>
      <c r="R25" s="230">
        <v>27</v>
      </c>
      <c r="S25" s="230">
        <v>0</v>
      </c>
      <c r="T25" s="230">
        <v>6</v>
      </c>
      <c r="U25" s="230">
        <v>0</v>
      </c>
      <c r="V25" s="229">
        <f>SUM(M25:U25)</f>
        <v>2106</v>
      </c>
      <c r="W25" s="248">
        <v>432</v>
      </c>
      <c r="X25" s="204"/>
      <c r="Y25" s="204"/>
      <c r="Z25" s="247">
        <f t="shared" ref="Z25:Z36" si="8">L25+V25+W25+X25+Y25</f>
        <v>5155</v>
      </c>
      <c r="AA25" s="215">
        <f t="shared" si="6"/>
        <v>3861</v>
      </c>
    </row>
    <row r="26" spans="1:27" ht="14.1" customHeight="1" x14ac:dyDescent="0.25">
      <c r="A26" s="136" t="s">
        <v>214</v>
      </c>
      <c r="B26" s="137" t="s">
        <v>282</v>
      </c>
      <c r="C26" s="230">
        <v>896</v>
      </c>
      <c r="D26" s="230">
        <v>420</v>
      </c>
      <c r="E26" s="230">
        <v>99</v>
      </c>
      <c r="F26" s="230">
        <v>31</v>
      </c>
      <c r="G26" s="230">
        <v>4</v>
      </c>
      <c r="H26" s="230">
        <v>0</v>
      </c>
      <c r="I26" s="230">
        <v>0</v>
      </c>
      <c r="J26" s="230">
        <v>52</v>
      </c>
      <c r="K26" s="230">
        <v>3</v>
      </c>
      <c r="L26" s="232">
        <f t="shared" si="7"/>
        <v>1505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230">
        <v>0</v>
      </c>
      <c r="V26" s="229">
        <f t="shared" ref="V26:V36" si="9">SUM(M26:U26)</f>
        <v>0</v>
      </c>
      <c r="W26" s="251"/>
      <c r="X26" s="204"/>
      <c r="Y26" s="204"/>
      <c r="Z26" s="247">
        <f t="shared" si="8"/>
        <v>1505</v>
      </c>
      <c r="AA26" s="215">
        <f t="shared" si="6"/>
        <v>1350</v>
      </c>
    </row>
    <row r="27" spans="1:27" ht="14.1" customHeight="1" x14ac:dyDescent="0.25">
      <c r="A27" s="136" t="s">
        <v>101</v>
      </c>
      <c r="B27" s="137" t="s">
        <v>283</v>
      </c>
      <c r="C27" s="230">
        <v>1609</v>
      </c>
      <c r="D27" s="230">
        <v>564</v>
      </c>
      <c r="E27" s="230">
        <v>301</v>
      </c>
      <c r="F27" s="230">
        <v>62</v>
      </c>
      <c r="G27" s="230">
        <v>51</v>
      </c>
      <c r="H27" s="230">
        <v>4</v>
      </c>
      <c r="I27" s="230">
        <v>26</v>
      </c>
      <c r="J27" s="230">
        <v>40</v>
      </c>
      <c r="K27" s="230">
        <v>0</v>
      </c>
      <c r="L27" s="232">
        <f t="shared" si="7"/>
        <v>2657</v>
      </c>
      <c r="M27" s="230">
        <v>62</v>
      </c>
      <c r="N27" s="230">
        <v>361</v>
      </c>
      <c r="O27" s="230">
        <v>51</v>
      </c>
      <c r="P27" s="230">
        <v>8</v>
      </c>
      <c r="Q27" s="230">
        <v>6</v>
      </c>
      <c r="R27" s="230">
        <v>0</v>
      </c>
      <c r="S27" s="230">
        <v>0</v>
      </c>
      <c r="T27" s="230">
        <v>0</v>
      </c>
      <c r="U27" s="230">
        <v>0</v>
      </c>
      <c r="V27" s="229">
        <f t="shared" si="9"/>
        <v>488</v>
      </c>
      <c r="W27" s="248">
        <v>552</v>
      </c>
      <c r="X27" s="204"/>
      <c r="Y27" s="204"/>
      <c r="Z27" s="247">
        <f t="shared" si="8"/>
        <v>3697</v>
      </c>
      <c r="AA27" s="215">
        <f t="shared" si="6"/>
        <v>2666</v>
      </c>
    </row>
    <row r="28" spans="1:27" ht="14.1" customHeight="1" x14ac:dyDescent="0.25">
      <c r="A28" s="136" t="s">
        <v>114</v>
      </c>
      <c r="B28" s="137" t="s">
        <v>284</v>
      </c>
      <c r="C28" s="230">
        <v>565</v>
      </c>
      <c r="D28" s="230">
        <v>158</v>
      </c>
      <c r="E28" s="230">
        <v>106</v>
      </c>
      <c r="F28" s="230">
        <v>42</v>
      </c>
      <c r="G28" s="230">
        <v>42</v>
      </c>
      <c r="H28" s="230">
        <v>1</v>
      </c>
      <c r="I28" s="230">
        <v>49</v>
      </c>
      <c r="J28" s="230">
        <v>86</v>
      </c>
      <c r="K28" s="230">
        <v>0</v>
      </c>
      <c r="L28" s="232">
        <f t="shared" si="7"/>
        <v>1049</v>
      </c>
      <c r="M28" s="230">
        <v>268</v>
      </c>
      <c r="N28" s="230">
        <v>397</v>
      </c>
      <c r="O28" s="230">
        <v>203</v>
      </c>
      <c r="P28" s="230">
        <v>21</v>
      </c>
      <c r="Q28" s="230">
        <v>34</v>
      </c>
      <c r="R28" s="230">
        <v>83</v>
      </c>
      <c r="S28" s="230">
        <v>0</v>
      </c>
      <c r="T28" s="230">
        <v>4</v>
      </c>
      <c r="U28" s="230">
        <v>0</v>
      </c>
      <c r="V28" s="229">
        <f t="shared" si="9"/>
        <v>1010</v>
      </c>
      <c r="W28" s="248">
        <v>646</v>
      </c>
      <c r="X28" s="204"/>
      <c r="Y28" s="204"/>
      <c r="Z28" s="247">
        <f t="shared" si="8"/>
        <v>2705</v>
      </c>
      <c r="AA28" s="215">
        <f t="shared" si="6"/>
        <v>1451</v>
      </c>
    </row>
    <row r="29" spans="1:27" ht="14.1" customHeight="1" x14ac:dyDescent="0.25">
      <c r="A29" s="136" t="s">
        <v>115</v>
      </c>
      <c r="B29" s="137" t="s">
        <v>285</v>
      </c>
      <c r="C29" s="230">
        <v>203</v>
      </c>
      <c r="D29" s="230">
        <v>262</v>
      </c>
      <c r="E29" s="230">
        <v>3</v>
      </c>
      <c r="F29" s="230">
        <v>0</v>
      </c>
      <c r="G29" s="230">
        <v>0</v>
      </c>
      <c r="H29" s="230">
        <v>0</v>
      </c>
      <c r="I29" s="230">
        <v>0</v>
      </c>
      <c r="J29" s="230">
        <v>0</v>
      </c>
      <c r="K29" s="230">
        <v>0</v>
      </c>
      <c r="L29" s="232">
        <f t="shared" si="7"/>
        <v>468</v>
      </c>
      <c r="M29" s="230">
        <v>0</v>
      </c>
      <c r="N29" s="230">
        <v>0</v>
      </c>
      <c r="O29" s="230">
        <v>0</v>
      </c>
      <c r="P29" s="230">
        <v>0</v>
      </c>
      <c r="Q29" s="230">
        <v>0</v>
      </c>
      <c r="R29" s="230">
        <v>0</v>
      </c>
      <c r="S29" s="230">
        <v>0</v>
      </c>
      <c r="T29" s="230">
        <v>0</v>
      </c>
      <c r="U29" s="230">
        <v>0</v>
      </c>
      <c r="V29" s="229">
        <f t="shared" si="9"/>
        <v>0</v>
      </c>
      <c r="W29" s="248">
        <v>0</v>
      </c>
      <c r="X29" s="204"/>
      <c r="Y29" s="204"/>
      <c r="Z29" s="247">
        <f t="shared" si="8"/>
        <v>468</v>
      </c>
      <c r="AA29" s="215">
        <f t="shared" si="6"/>
        <v>465</v>
      </c>
    </row>
    <row r="30" spans="1:27" ht="14.1" customHeight="1" x14ac:dyDescent="0.25">
      <c r="A30" s="136" t="s">
        <v>127</v>
      </c>
      <c r="B30" s="137" t="s">
        <v>286</v>
      </c>
      <c r="C30" s="230">
        <v>7182</v>
      </c>
      <c r="D30" s="230">
        <v>2763</v>
      </c>
      <c r="E30" s="230">
        <v>3206</v>
      </c>
      <c r="F30" s="230">
        <v>41</v>
      </c>
      <c r="G30" s="230">
        <v>171</v>
      </c>
      <c r="H30" s="230">
        <v>14</v>
      </c>
      <c r="I30" s="230">
        <v>67</v>
      </c>
      <c r="J30" s="230">
        <v>76</v>
      </c>
      <c r="K30" s="230">
        <v>63</v>
      </c>
      <c r="L30" s="232">
        <f t="shared" si="7"/>
        <v>13583</v>
      </c>
      <c r="M30" s="230">
        <v>141</v>
      </c>
      <c r="N30" s="230">
        <v>280</v>
      </c>
      <c r="O30" s="230">
        <v>53</v>
      </c>
      <c r="P30" s="230">
        <v>9</v>
      </c>
      <c r="Q30" s="230">
        <v>30</v>
      </c>
      <c r="R30" s="230">
        <v>0</v>
      </c>
      <c r="S30" s="230">
        <v>0</v>
      </c>
      <c r="T30" s="230">
        <v>115</v>
      </c>
      <c r="U30" s="230">
        <v>0</v>
      </c>
      <c r="V30" s="229">
        <f t="shared" si="9"/>
        <v>628</v>
      </c>
      <c r="W30" s="248">
        <v>20</v>
      </c>
      <c r="X30" s="236"/>
      <c r="Y30" s="204"/>
      <c r="Z30" s="247">
        <f t="shared" si="8"/>
        <v>14231</v>
      </c>
      <c r="AA30" s="215">
        <f t="shared" si="6"/>
        <v>10479</v>
      </c>
    </row>
    <row r="31" spans="1:27" ht="14.1" customHeight="1" x14ac:dyDescent="0.25">
      <c r="A31" s="136" t="s">
        <v>129</v>
      </c>
      <c r="B31" s="137" t="s">
        <v>287</v>
      </c>
      <c r="C31" s="230">
        <v>2095</v>
      </c>
      <c r="D31" s="230">
        <v>1290</v>
      </c>
      <c r="E31" s="230">
        <v>884</v>
      </c>
      <c r="F31" s="230">
        <v>101</v>
      </c>
      <c r="G31" s="230">
        <v>83</v>
      </c>
      <c r="H31" s="230">
        <v>0</v>
      </c>
      <c r="I31" s="230">
        <v>69</v>
      </c>
      <c r="J31" s="230">
        <v>102</v>
      </c>
      <c r="K31" s="230">
        <v>0</v>
      </c>
      <c r="L31" s="232">
        <f t="shared" si="7"/>
        <v>4624</v>
      </c>
      <c r="M31" s="230">
        <v>716</v>
      </c>
      <c r="N31" s="230">
        <v>1492</v>
      </c>
      <c r="O31" s="230">
        <v>705</v>
      </c>
      <c r="P31" s="230">
        <v>107</v>
      </c>
      <c r="Q31" s="230">
        <v>53</v>
      </c>
      <c r="R31" s="230">
        <v>86</v>
      </c>
      <c r="S31" s="230">
        <v>0</v>
      </c>
      <c r="T31" s="230">
        <v>89</v>
      </c>
      <c r="U31" s="230">
        <v>0</v>
      </c>
      <c r="V31" s="229">
        <f t="shared" si="9"/>
        <v>3248</v>
      </c>
      <c r="W31" s="248">
        <v>723</v>
      </c>
      <c r="X31" s="236"/>
      <c r="Y31" s="204"/>
      <c r="Z31" s="247">
        <f t="shared" si="8"/>
        <v>8595</v>
      </c>
      <c r="AA31" s="215">
        <f t="shared" si="6"/>
        <v>5801</v>
      </c>
    </row>
    <row r="32" spans="1:27" ht="14.1" customHeight="1" x14ac:dyDescent="0.25">
      <c r="A32" s="136" t="s">
        <v>139</v>
      </c>
      <c r="B32" s="137" t="s">
        <v>321</v>
      </c>
      <c r="C32" s="230">
        <v>595</v>
      </c>
      <c r="D32" s="230">
        <v>1077</v>
      </c>
      <c r="E32" s="230">
        <v>397</v>
      </c>
      <c r="F32" s="230">
        <v>28</v>
      </c>
      <c r="G32" s="230">
        <v>41</v>
      </c>
      <c r="H32" s="230">
        <v>0</v>
      </c>
      <c r="I32" s="230">
        <v>208</v>
      </c>
      <c r="J32" s="230">
        <v>136</v>
      </c>
      <c r="K32" s="230">
        <v>180</v>
      </c>
      <c r="L32" s="232">
        <f t="shared" si="7"/>
        <v>2662</v>
      </c>
      <c r="M32" s="230">
        <v>207</v>
      </c>
      <c r="N32" s="230">
        <v>416</v>
      </c>
      <c r="O32" s="230">
        <v>156</v>
      </c>
      <c r="P32" s="230">
        <v>15</v>
      </c>
      <c r="Q32" s="230">
        <v>24</v>
      </c>
      <c r="R32" s="230">
        <v>28</v>
      </c>
      <c r="S32" s="230">
        <v>0</v>
      </c>
      <c r="T32" s="230">
        <v>30</v>
      </c>
      <c r="U32" s="230">
        <v>41</v>
      </c>
      <c r="V32" s="241">
        <f>SUM(M32:U32)</f>
        <v>917</v>
      </c>
      <c r="W32" s="245">
        <v>467</v>
      </c>
      <c r="X32" s="236"/>
      <c r="Y32" s="204"/>
      <c r="Z32" s="247">
        <f t="shared" si="8"/>
        <v>4046</v>
      </c>
      <c r="AA32" s="215">
        <f t="shared" si="6"/>
        <v>2559</v>
      </c>
    </row>
    <row r="33" spans="1:27" ht="14.1" customHeight="1" x14ac:dyDescent="0.25">
      <c r="A33" s="140" t="s">
        <v>151</v>
      </c>
      <c r="B33" s="161" t="s">
        <v>323</v>
      </c>
      <c r="C33">
        <v>0</v>
      </c>
      <c r="D33">
        <v>0</v>
      </c>
      <c r="E33">
        <v>277</v>
      </c>
      <c r="F33">
        <v>0</v>
      </c>
      <c r="G33">
        <v>0</v>
      </c>
      <c r="H33">
        <v>0</v>
      </c>
      <c r="I33">
        <v>139</v>
      </c>
      <c r="J33">
        <v>1143</v>
      </c>
      <c r="K33">
        <v>0</v>
      </c>
      <c r="L33" s="379">
        <f t="shared" si="7"/>
        <v>1559</v>
      </c>
      <c r="M33" s="230">
        <v>0</v>
      </c>
      <c r="N33" s="230">
        <v>0</v>
      </c>
      <c r="O33" s="230">
        <v>0</v>
      </c>
      <c r="P33" s="230">
        <v>0</v>
      </c>
      <c r="Q33" s="230">
        <v>0</v>
      </c>
      <c r="R33" s="230">
        <v>0</v>
      </c>
      <c r="S33" s="230">
        <v>0</v>
      </c>
      <c r="T33" s="230">
        <v>0</v>
      </c>
      <c r="U33" s="230">
        <v>0</v>
      </c>
      <c r="V33" s="230">
        <v>0</v>
      </c>
      <c r="W33" s="332"/>
      <c r="X33" s="236"/>
      <c r="Y33" s="204"/>
      <c r="Z33" s="247">
        <f t="shared" si="8"/>
        <v>1559</v>
      </c>
      <c r="AA33" s="215">
        <f t="shared" si="6"/>
        <v>0</v>
      </c>
    </row>
    <row r="34" spans="1:27" ht="14.1" customHeight="1" x14ac:dyDescent="0.25">
      <c r="A34" s="136" t="s">
        <v>170</v>
      </c>
      <c r="B34" s="137" t="s">
        <v>288</v>
      </c>
      <c r="C34" s="230"/>
      <c r="D34" s="230"/>
      <c r="E34" s="230"/>
      <c r="F34" s="230"/>
      <c r="G34" s="230"/>
      <c r="H34" s="230"/>
      <c r="I34" s="230"/>
      <c r="J34" s="430"/>
      <c r="K34" s="230"/>
      <c r="L34" s="241">
        <f t="shared" si="7"/>
        <v>0</v>
      </c>
      <c r="M34" s="230"/>
      <c r="N34" s="230"/>
      <c r="O34" s="230"/>
      <c r="P34" s="230"/>
      <c r="Q34" s="230"/>
      <c r="R34" s="230"/>
      <c r="S34" s="230"/>
      <c r="T34" s="230"/>
      <c r="U34" s="230"/>
      <c r="V34" s="229">
        <f t="shared" si="9"/>
        <v>0</v>
      </c>
      <c r="W34" s="252">
        <v>0</v>
      </c>
      <c r="X34" s="230"/>
      <c r="Y34" s="204"/>
      <c r="Z34" s="247">
        <f t="shared" si="8"/>
        <v>0</v>
      </c>
      <c r="AA34" s="215">
        <f t="shared" si="6"/>
        <v>0</v>
      </c>
    </row>
    <row r="35" spans="1:27" ht="14.1" customHeight="1" x14ac:dyDescent="0.25">
      <c r="A35" s="136" t="s">
        <v>171</v>
      </c>
      <c r="B35" s="137" t="s">
        <v>324</v>
      </c>
      <c r="C35" s="230">
        <v>794</v>
      </c>
      <c r="D35" s="230">
        <v>594</v>
      </c>
      <c r="E35" s="230">
        <v>329</v>
      </c>
      <c r="F35" s="230">
        <v>59</v>
      </c>
      <c r="G35" s="230">
        <v>28</v>
      </c>
      <c r="H35" s="230">
        <v>2</v>
      </c>
      <c r="I35" s="230">
        <v>0</v>
      </c>
      <c r="J35" s="230">
        <v>127</v>
      </c>
      <c r="K35" s="230">
        <v>0</v>
      </c>
      <c r="L35" s="241">
        <f t="shared" si="7"/>
        <v>1933</v>
      </c>
      <c r="M35" s="393">
        <v>544</v>
      </c>
      <c r="N35" s="393">
        <v>611</v>
      </c>
      <c r="O35" s="393">
        <v>299</v>
      </c>
      <c r="P35" s="393">
        <v>32</v>
      </c>
      <c r="Q35" s="393">
        <v>20</v>
      </c>
      <c r="R35" s="393">
        <v>24</v>
      </c>
      <c r="S35" s="393">
        <v>0</v>
      </c>
      <c r="T35" s="393">
        <v>0</v>
      </c>
      <c r="U35" s="393">
        <v>0</v>
      </c>
      <c r="V35" s="229">
        <f>SUM(M35:U35)</f>
        <v>1530</v>
      </c>
      <c r="W35" s="248">
        <f>1774+2018</f>
        <v>3792</v>
      </c>
      <c r="X35" s="230"/>
      <c r="Y35" s="204"/>
      <c r="Z35" s="247">
        <f t="shared" si="8"/>
        <v>7255</v>
      </c>
      <c r="AA35" s="215">
        <f t="shared" si="6"/>
        <v>2634</v>
      </c>
    </row>
    <row r="36" spans="1:27" ht="14.1" customHeight="1" thickBot="1" x14ac:dyDescent="0.3">
      <c r="A36" s="136" t="s">
        <v>362</v>
      </c>
      <c r="B36" s="137" t="s">
        <v>289</v>
      </c>
      <c r="C36" s="230">
        <v>249</v>
      </c>
      <c r="D36" s="230">
        <v>170</v>
      </c>
      <c r="E36" s="230">
        <v>1835</v>
      </c>
      <c r="F36" s="230">
        <v>15</v>
      </c>
      <c r="G36" s="230">
        <v>8</v>
      </c>
      <c r="H36" s="230">
        <v>0</v>
      </c>
      <c r="I36" s="230">
        <v>0</v>
      </c>
      <c r="J36" s="230">
        <v>2317</v>
      </c>
      <c r="K36" s="230">
        <v>0</v>
      </c>
      <c r="L36" s="268">
        <f t="shared" si="7"/>
        <v>4594</v>
      </c>
      <c r="M36" s="265">
        <v>0</v>
      </c>
      <c r="N36" s="265">
        <v>0</v>
      </c>
      <c r="O36" s="265">
        <v>0</v>
      </c>
      <c r="P36" s="265">
        <v>0</v>
      </c>
      <c r="Q36" s="265">
        <v>0</v>
      </c>
      <c r="R36" s="265">
        <v>0</v>
      </c>
      <c r="S36" s="265">
        <v>0</v>
      </c>
      <c r="T36" s="265">
        <v>0</v>
      </c>
      <c r="U36" s="265">
        <v>0</v>
      </c>
      <c r="V36" s="231">
        <f t="shared" si="9"/>
        <v>0</v>
      </c>
      <c r="W36" s="249"/>
      <c r="X36" s="230"/>
      <c r="Z36" s="247">
        <f t="shared" si="8"/>
        <v>4594</v>
      </c>
      <c r="AA36" s="215">
        <f t="shared" si="6"/>
        <v>434</v>
      </c>
    </row>
    <row r="37" spans="1:27" s="109" customFormat="1" ht="14.1" customHeight="1" thickBot="1" x14ac:dyDescent="0.3">
      <c r="A37" s="134"/>
      <c r="B37" s="159" t="s">
        <v>458</v>
      </c>
      <c r="C37" s="497">
        <f t="shared" ref="C37:AA37" si="10">SUM(C24:C36)</f>
        <v>16035</v>
      </c>
      <c r="D37" s="498">
        <f t="shared" si="10"/>
        <v>8688</v>
      </c>
      <c r="E37" s="498">
        <f t="shared" si="10"/>
        <v>7877</v>
      </c>
      <c r="F37" s="498">
        <f t="shared" si="10"/>
        <v>516</v>
      </c>
      <c r="G37" s="498">
        <f t="shared" si="10"/>
        <v>499</v>
      </c>
      <c r="H37" s="498">
        <f t="shared" si="10"/>
        <v>34</v>
      </c>
      <c r="I37" s="498">
        <f t="shared" si="10"/>
        <v>558</v>
      </c>
      <c r="J37" s="498">
        <f t="shared" si="10"/>
        <v>4125</v>
      </c>
      <c r="K37" s="498">
        <f t="shared" si="10"/>
        <v>298</v>
      </c>
      <c r="L37" s="266">
        <f t="shared" si="10"/>
        <v>38630</v>
      </c>
      <c r="M37" s="262">
        <f t="shared" si="10"/>
        <v>2726</v>
      </c>
      <c r="N37" s="158">
        <f t="shared" si="10"/>
        <v>4315</v>
      </c>
      <c r="O37" s="158">
        <f t="shared" si="10"/>
        <v>1892</v>
      </c>
      <c r="P37" s="158">
        <f t="shared" si="10"/>
        <v>255</v>
      </c>
      <c r="Q37" s="158">
        <f t="shared" si="10"/>
        <v>213</v>
      </c>
      <c r="R37" s="158">
        <f t="shared" si="10"/>
        <v>248</v>
      </c>
      <c r="S37" s="158">
        <f t="shared" si="10"/>
        <v>0</v>
      </c>
      <c r="T37" s="158">
        <f t="shared" si="10"/>
        <v>244</v>
      </c>
      <c r="U37" s="264">
        <f t="shared" si="10"/>
        <v>41</v>
      </c>
      <c r="V37" s="263">
        <f t="shared" si="10"/>
        <v>9934</v>
      </c>
      <c r="W37" s="400">
        <f t="shared" si="10"/>
        <v>6632</v>
      </c>
      <c r="X37" s="210">
        <f t="shared" ref="X37" si="11">SUM(X24:X36)</f>
        <v>0</v>
      </c>
      <c r="Y37" s="210">
        <f>SUM(Y24:Y36)</f>
        <v>0</v>
      </c>
      <c r="Z37" s="210">
        <f t="shared" si="10"/>
        <v>55196</v>
      </c>
      <c r="AA37" s="210">
        <f t="shared" si="10"/>
        <v>32874</v>
      </c>
    </row>
    <row r="38" spans="1:27" ht="14.1" customHeight="1" x14ac:dyDescent="0.25">
      <c r="A38" s="136" t="s">
        <v>70</v>
      </c>
      <c r="B38" s="137" t="s">
        <v>313</v>
      </c>
      <c r="C38" s="280">
        <v>878</v>
      </c>
      <c r="D38" s="280">
        <v>1287</v>
      </c>
      <c r="E38" s="280">
        <v>370</v>
      </c>
      <c r="F38" s="280">
        <v>41</v>
      </c>
      <c r="G38" s="280">
        <v>41</v>
      </c>
      <c r="H38" s="280">
        <v>0</v>
      </c>
      <c r="I38" s="280">
        <v>757</v>
      </c>
      <c r="J38" s="280">
        <v>149</v>
      </c>
      <c r="K38" s="280">
        <v>123</v>
      </c>
      <c r="L38" s="286">
        <f t="shared" ref="L38:L54" si="12">SUM(C38:K38)</f>
        <v>3646</v>
      </c>
      <c r="M38" s="280">
        <v>860</v>
      </c>
      <c r="N38" s="280">
        <v>1028</v>
      </c>
      <c r="O38" s="280">
        <v>622</v>
      </c>
      <c r="P38" s="280">
        <v>45</v>
      </c>
      <c r="Q38" s="280">
        <v>66</v>
      </c>
      <c r="R38" s="280">
        <v>133</v>
      </c>
      <c r="S38" s="280">
        <v>23</v>
      </c>
      <c r="T38" s="280">
        <v>197</v>
      </c>
      <c r="U38" s="280">
        <v>13</v>
      </c>
      <c r="V38" s="256">
        <f t="shared" ref="V38:V54" si="13">SUM(M38:U38)</f>
        <v>2987</v>
      </c>
      <c r="W38" s="250">
        <v>1146</v>
      </c>
      <c r="X38" s="240">
        <v>0</v>
      </c>
      <c r="Y38" s="240">
        <v>0</v>
      </c>
      <c r="Z38" s="247">
        <f>L38+V38+W38+X38+Y38</f>
        <v>7779</v>
      </c>
      <c r="AA38" s="215">
        <f t="shared" ref="AA38:AA54" si="14">C38+D38+F38+K38+M38+N38+P38+U38</f>
        <v>4275</v>
      </c>
    </row>
    <row r="39" spans="1:27" ht="14.1" customHeight="1" x14ac:dyDescent="0.25">
      <c r="A39" s="136" t="s">
        <v>75</v>
      </c>
      <c r="B39" s="137" t="s">
        <v>336</v>
      </c>
      <c r="C39" s="230">
        <v>1007</v>
      </c>
      <c r="D39" s="230">
        <v>1102</v>
      </c>
      <c r="E39" s="230">
        <v>475</v>
      </c>
      <c r="F39" s="230">
        <v>88</v>
      </c>
      <c r="G39" s="230">
        <v>62</v>
      </c>
      <c r="H39" s="230">
        <v>0</v>
      </c>
      <c r="I39" s="230">
        <v>113</v>
      </c>
      <c r="J39" s="230">
        <v>225</v>
      </c>
      <c r="K39" s="230">
        <v>0</v>
      </c>
      <c r="L39" s="241">
        <f t="shared" si="12"/>
        <v>3072</v>
      </c>
      <c r="M39" s="230">
        <v>415</v>
      </c>
      <c r="N39" s="230">
        <v>967</v>
      </c>
      <c r="O39" s="230">
        <v>321</v>
      </c>
      <c r="P39" s="230">
        <v>59</v>
      </c>
      <c r="Q39" s="230">
        <v>34</v>
      </c>
      <c r="R39" s="230">
        <v>0</v>
      </c>
      <c r="S39" s="230">
        <v>0</v>
      </c>
      <c r="T39" s="230">
        <v>94</v>
      </c>
      <c r="U39" s="230">
        <v>0</v>
      </c>
      <c r="V39" s="256">
        <f t="shared" si="13"/>
        <v>1890</v>
      </c>
      <c r="W39" s="248">
        <v>1054</v>
      </c>
      <c r="X39" s="233"/>
      <c r="Y39" s="233"/>
      <c r="Z39" s="247">
        <f t="shared" ref="Z39:Z54" si="15">L39+V39+W39+X39+Y39</f>
        <v>6016</v>
      </c>
      <c r="AA39" s="215">
        <f t="shared" si="14"/>
        <v>3638</v>
      </c>
    </row>
    <row r="40" spans="1:27" ht="14.1" customHeight="1" x14ac:dyDescent="0.25">
      <c r="A40" s="136" t="s">
        <v>78</v>
      </c>
      <c r="B40" s="137" t="s">
        <v>314</v>
      </c>
      <c r="C40" s="230">
        <v>243</v>
      </c>
      <c r="D40" s="230">
        <v>349</v>
      </c>
      <c r="E40" s="230">
        <v>124</v>
      </c>
      <c r="F40" s="230">
        <v>11</v>
      </c>
      <c r="G40" s="230">
        <v>19</v>
      </c>
      <c r="H40" s="230">
        <v>0</v>
      </c>
      <c r="I40" s="230">
        <v>0</v>
      </c>
      <c r="J40" s="230">
        <v>58</v>
      </c>
      <c r="K40" s="230">
        <v>11</v>
      </c>
      <c r="L40" s="241">
        <f t="shared" si="12"/>
        <v>815</v>
      </c>
      <c r="M40" s="230">
        <v>607</v>
      </c>
      <c r="N40" s="230">
        <v>382</v>
      </c>
      <c r="O40" s="230">
        <v>529</v>
      </c>
      <c r="P40" s="230">
        <v>15</v>
      </c>
      <c r="Q40" s="230">
        <v>17</v>
      </c>
      <c r="R40" s="230">
        <v>47</v>
      </c>
      <c r="S40" s="230">
        <v>0</v>
      </c>
      <c r="T40" s="230">
        <v>2</v>
      </c>
      <c r="U40" s="230">
        <v>0</v>
      </c>
      <c r="V40" s="256">
        <f t="shared" si="13"/>
        <v>1599</v>
      </c>
      <c r="W40" s="248">
        <v>228</v>
      </c>
      <c r="X40" s="233"/>
      <c r="Y40" s="233"/>
      <c r="Z40" s="247">
        <f t="shared" si="15"/>
        <v>2642</v>
      </c>
      <c r="AA40" s="215">
        <f t="shared" si="14"/>
        <v>1618</v>
      </c>
    </row>
    <row r="41" spans="1:27" ht="14.1" customHeight="1" x14ac:dyDescent="0.25">
      <c r="A41" s="136" t="s">
        <v>88</v>
      </c>
      <c r="B41" s="137" t="s">
        <v>337</v>
      </c>
      <c r="C41" s="230">
        <v>1708</v>
      </c>
      <c r="D41" s="230">
        <v>640</v>
      </c>
      <c r="E41" s="230">
        <v>404</v>
      </c>
      <c r="F41" s="230">
        <v>26</v>
      </c>
      <c r="G41" s="230">
        <v>48</v>
      </c>
      <c r="H41" s="230">
        <v>0</v>
      </c>
      <c r="I41" s="230">
        <v>23</v>
      </c>
      <c r="J41" s="230">
        <v>30</v>
      </c>
      <c r="K41" s="230">
        <v>0</v>
      </c>
      <c r="L41" s="241">
        <f t="shared" si="12"/>
        <v>2879</v>
      </c>
      <c r="M41" s="230">
        <v>1119</v>
      </c>
      <c r="N41" s="230">
        <v>475</v>
      </c>
      <c r="O41" s="230">
        <v>523</v>
      </c>
      <c r="P41" s="230">
        <v>19</v>
      </c>
      <c r="Q41" s="230">
        <v>36</v>
      </c>
      <c r="R41" s="230">
        <v>294</v>
      </c>
      <c r="S41" s="230">
        <v>0</v>
      </c>
      <c r="T41" s="230">
        <v>4</v>
      </c>
      <c r="U41" s="230">
        <v>0</v>
      </c>
      <c r="V41" s="256">
        <f t="shared" si="13"/>
        <v>2470</v>
      </c>
      <c r="W41" s="248">
        <v>489</v>
      </c>
      <c r="X41" s="233"/>
      <c r="Y41" s="233"/>
      <c r="Z41" s="247">
        <f t="shared" si="15"/>
        <v>5838</v>
      </c>
      <c r="AA41" s="215">
        <f t="shared" si="14"/>
        <v>3987</v>
      </c>
    </row>
    <row r="42" spans="1:27" ht="14.1" customHeight="1" x14ac:dyDescent="0.25">
      <c r="A42" s="136" t="s">
        <v>99</v>
      </c>
      <c r="B42" s="137" t="s">
        <v>338</v>
      </c>
      <c r="C42" s="230">
        <v>12959</v>
      </c>
      <c r="D42" s="230">
        <v>2638</v>
      </c>
      <c r="E42" s="230">
        <v>2396</v>
      </c>
      <c r="F42" s="230">
        <v>180</v>
      </c>
      <c r="G42" s="230">
        <v>159</v>
      </c>
      <c r="H42" s="230">
        <v>67</v>
      </c>
      <c r="I42" s="230">
        <v>512</v>
      </c>
      <c r="J42" s="230">
        <v>193</v>
      </c>
      <c r="K42" s="230">
        <v>0</v>
      </c>
      <c r="L42" s="241">
        <f t="shared" si="12"/>
        <v>19104</v>
      </c>
      <c r="M42" s="230">
        <v>891</v>
      </c>
      <c r="N42" s="230">
        <v>491</v>
      </c>
      <c r="O42" s="230">
        <v>518</v>
      </c>
      <c r="P42" s="230">
        <v>15</v>
      </c>
      <c r="Q42" s="230">
        <v>11</v>
      </c>
      <c r="R42" s="230">
        <v>12</v>
      </c>
      <c r="S42" s="230">
        <v>0</v>
      </c>
      <c r="T42" s="230">
        <v>2</v>
      </c>
      <c r="U42" s="230">
        <v>0</v>
      </c>
      <c r="V42" s="256">
        <f t="shared" si="13"/>
        <v>1940</v>
      </c>
      <c r="W42" s="248">
        <v>504</v>
      </c>
      <c r="X42" s="245"/>
      <c r="Y42" s="233"/>
      <c r="Z42" s="247">
        <f t="shared" si="15"/>
        <v>21548</v>
      </c>
      <c r="AA42" s="215">
        <f t="shared" si="14"/>
        <v>17174</v>
      </c>
    </row>
    <row r="43" spans="1:27" ht="14.1" customHeight="1" x14ac:dyDescent="0.25">
      <c r="A43" s="136" t="s">
        <v>113</v>
      </c>
      <c r="B43" s="137" t="s">
        <v>339</v>
      </c>
      <c r="C43" s="230">
        <v>2091</v>
      </c>
      <c r="D43" s="230">
        <v>1397</v>
      </c>
      <c r="E43" s="230">
        <v>687</v>
      </c>
      <c r="F43" s="230">
        <v>122</v>
      </c>
      <c r="G43" s="230">
        <v>83</v>
      </c>
      <c r="H43" s="230">
        <v>0</v>
      </c>
      <c r="I43" s="230">
        <v>0</v>
      </c>
      <c r="J43" s="230">
        <v>278</v>
      </c>
      <c r="K43" s="230">
        <v>0</v>
      </c>
      <c r="L43" s="241">
        <f t="shared" si="12"/>
        <v>4658</v>
      </c>
      <c r="M43" s="230">
        <v>4650</v>
      </c>
      <c r="N43" s="230">
        <v>6221</v>
      </c>
      <c r="O43" s="230">
        <v>4069</v>
      </c>
      <c r="P43" s="230">
        <v>231</v>
      </c>
      <c r="Q43" s="230">
        <v>143</v>
      </c>
      <c r="R43" s="230">
        <v>20</v>
      </c>
      <c r="S43" s="230">
        <v>0</v>
      </c>
      <c r="T43" s="230">
        <v>42</v>
      </c>
      <c r="U43" s="230">
        <v>0</v>
      </c>
      <c r="V43" s="256">
        <f t="shared" si="13"/>
        <v>15376</v>
      </c>
      <c r="W43" s="248">
        <v>819</v>
      </c>
      <c r="X43" s="233"/>
      <c r="Y43" s="233"/>
      <c r="Z43" s="247">
        <f t="shared" si="15"/>
        <v>20853</v>
      </c>
      <c r="AA43" s="215">
        <f t="shared" si="14"/>
        <v>14712</v>
      </c>
    </row>
    <row r="44" spans="1:27" ht="14.1" customHeight="1" x14ac:dyDescent="0.25">
      <c r="A44" s="136" t="s">
        <v>116</v>
      </c>
      <c r="B44" s="137" t="s">
        <v>316</v>
      </c>
      <c r="C44" s="230">
        <v>2185</v>
      </c>
      <c r="D44" s="230">
        <v>1826</v>
      </c>
      <c r="E44" s="230">
        <v>809</v>
      </c>
      <c r="F44" s="230">
        <v>42</v>
      </c>
      <c r="G44" s="230">
        <v>173</v>
      </c>
      <c r="H44" s="230">
        <v>2</v>
      </c>
      <c r="I44" s="230">
        <v>0</v>
      </c>
      <c r="J44" s="230">
        <v>123</v>
      </c>
      <c r="K44" s="230">
        <v>119</v>
      </c>
      <c r="L44" s="241">
        <f t="shared" si="12"/>
        <v>5279</v>
      </c>
      <c r="M44" s="230">
        <v>212</v>
      </c>
      <c r="N44" s="230">
        <v>124</v>
      </c>
      <c r="O44" s="230">
        <v>234</v>
      </c>
      <c r="P44" s="230">
        <v>3</v>
      </c>
      <c r="Q44" s="230">
        <v>5</v>
      </c>
      <c r="R44" s="230">
        <v>15</v>
      </c>
      <c r="S44" s="230">
        <v>0</v>
      </c>
      <c r="T44" s="230">
        <v>0</v>
      </c>
      <c r="U44" s="230">
        <v>1</v>
      </c>
      <c r="V44" s="256">
        <f t="shared" si="13"/>
        <v>594</v>
      </c>
      <c r="W44" s="248">
        <v>202</v>
      </c>
      <c r="X44" s="233"/>
      <c r="Y44" s="233"/>
      <c r="Z44" s="247">
        <f t="shared" si="15"/>
        <v>6075</v>
      </c>
      <c r="AA44" s="215">
        <f t="shared" si="14"/>
        <v>4512</v>
      </c>
    </row>
    <row r="45" spans="1:27" ht="14.1" customHeight="1" x14ac:dyDescent="0.25">
      <c r="A45" s="136" t="s">
        <v>117</v>
      </c>
      <c r="B45" s="137" t="s">
        <v>317</v>
      </c>
      <c r="C45" s="230">
        <v>2070</v>
      </c>
      <c r="D45" s="230">
        <v>1830</v>
      </c>
      <c r="E45" s="230">
        <v>1094</v>
      </c>
      <c r="F45" s="230">
        <v>126</v>
      </c>
      <c r="G45" s="230">
        <v>123</v>
      </c>
      <c r="H45" s="230">
        <v>0</v>
      </c>
      <c r="I45" s="230">
        <v>403</v>
      </c>
      <c r="J45" s="230">
        <v>256</v>
      </c>
      <c r="K45" s="230">
        <v>0</v>
      </c>
      <c r="L45" s="241">
        <f t="shared" si="12"/>
        <v>5902</v>
      </c>
      <c r="M45" s="230">
        <v>622</v>
      </c>
      <c r="N45" s="230">
        <v>1072</v>
      </c>
      <c r="O45" s="230">
        <v>702</v>
      </c>
      <c r="P45" s="230">
        <v>63</v>
      </c>
      <c r="Q45" s="230">
        <v>28</v>
      </c>
      <c r="R45" s="230">
        <v>0</v>
      </c>
      <c r="S45" s="230">
        <v>0</v>
      </c>
      <c r="T45" s="230">
        <v>27</v>
      </c>
      <c r="U45" s="230">
        <v>0</v>
      </c>
      <c r="V45" s="256">
        <f t="shared" si="13"/>
        <v>2514</v>
      </c>
      <c r="W45" s="248">
        <v>1233</v>
      </c>
      <c r="X45" s="233"/>
      <c r="Y45" s="233"/>
      <c r="Z45" s="247">
        <f t="shared" si="15"/>
        <v>9649</v>
      </c>
      <c r="AA45" s="215">
        <f t="shared" si="14"/>
        <v>5783</v>
      </c>
    </row>
    <row r="46" spans="1:27" ht="14.1" customHeight="1" x14ac:dyDescent="0.25">
      <c r="A46" s="136" t="s">
        <v>118</v>
      </c>
      <c r="B46" s="137" t="s">
        <v>340</v>
      </c>
      <c r="C46" s="230">
        <v>332</v>
      </c>
      <c r="D46" s="230">
        <v>547</v>
      </c>
      <c r="E46" s="230">
        <v>64</v>
      </c>
      <c r="F46" s="230">
        <v>17</v>
      </c>
      <c r="G46" s="230">
        <v>20</v>
      </c>
      <c r="H46" s="230">
        <v>0</v>
      </c>
      <c r="I46" s="230">
        <v>0</v>
      </c>
      <c r="J46" s="230">
        <v>354</v>
      </c>
      <c r="K46" s="230">
        <v>0</v>
      </c>
      <c r="L46" s="241">
        <f t="shared" si="12"/>
        <v>1334</v>
      </c>
      <c r="M46" s="230">
        <v>204</v>
      </c>
      <c r="N46" s="230">
        <v>170</v>
      </c>
      <c r="O46" s="230">
        <v>74</v>
      </c>
      <c r="P46" s="230">
        <v>24</v>
      </c>
      <c r="Q46" s="230">
        <v>11</v>
      </c>
      <c r="R46" s="230">
        <v>38</v>
      </c>
      <c r="S46" s="230">
        <v>0</v>
      </c>
      <c r="T46" s="230">
        <v>20</v>
      </c>
      <c r="U46" s="230">
        <v>0</v>
      </c>
      <c r="V46" s="256">
        <f t="shared" si="13"/>
        <v>541</v>
      </c>
      <c r="W46" s="248">
        <v>223</v>
      </c>
      <c r="X46" s="245">
        <v>151</v>
      </c>
      <c r="Y46" s="245">
        <v>2</v>
      </c>
      <c r="Z46" s="247">
        <f t="shared" si="15"/>
        <v>2251</v>
      </c>
      <c r="AA46" s="215">
        <f t="shared" si="14"/>
        <v>1294</v>
      </c>
    </row>
    <row r="47" spans="1:27" ht="14.1" customHeight="1" x14ac:dyDescent="0.25">
      <c r="A47" s="136" t="s">
        <v>122</v>
      </c>
      <c r="B47" s="137" t="s">
        <v>341</v>
      </c>
      <c r="C47" s="230">
        <v>1947</v>
      </c>
      <c r="D47" s="230">
        <v>1591</v>
      </c>
      <c r="E47" s="230">
        <v>757</v>
      </c>
      <c r="F47" s="230">
        <v>128</v>
      </c>
      <c r="G47" s="230">
        <v>157</v>
      </c>
      <c r="H47" s="230">
        <v>0</v>
      </c>
      <c r="I47" s="230">
        <v>140</v>
      </c>
      <c r="J47" s="230">
        <v>645</v>
      </c>
      <c r="K47" s="230">
        <v>0</v>
      </c>
      <c r="L47" s="241">
        <f t="shared" si="12"/>
        <v>5365</v>
      </c>
      <c r="M47" s="230">
        <v>3098</v>
      </c>
      <c r="N47" s="230">
        <v>3640</v>
      </c>
      <c r="O47" s="230">
        <v>2454</v>
      </c>
      <c r="P47" s="230">
        <v>216</v>
      </c>
      <c r="Q47" s="230">
        <v>212</v>
      </c>
      <c r="R47" s="230">
        <v>107</v>
      </c>
      <c r="S47" s="230">
        <v>31</v>
      </c>
      <c r="T47" s="230">
        <v>25</v>
      </c>
      <c r="U47" s="230">
        <v>0</v>
      </c>
      <c r="V47" s="256">
        <f t="shared" si="13"/>
        <v>9783</v>
      </c>
      <c r="W47" s="248">
        <v>489</v>
      </c>
      <c r="X47" s="233"/>
      <c r="Y47" s="233"/>
      <c r="Z47" s="247">
        <f t="shared" si="15"/>
        <v>15637</v>
      </c>
      <c r="AA47" s="215">
        <f t="shared" si="14"/>
        <v>10620</v>
      </c>
    </row>
    <row r="48" spans="1:27" ht="14.1" customHeight="1" x14ac:dyDescent="0.25">
      <c r="A48" s="136" t="s">
        <v>140</v>
      </c>
      <c r="B48" s="137" t="s">
        <v>265</v>
      </c>
      <c r="C48" s="230"/>
      <c r="D48" s="128"/>
      <c r="E48" s="128"/>
      <c r="F48" s="128"/>
      <c r="G48" s="128"/>
      <c r="H48" s="128"/>
      <c r="I48" s="128"/>
      <c r="J48" s="128"/>
      <c r="K48" s="128"/>
      <c r="L48" s="241">
        <f t="shared" si="12"/>
        <v>0</v>
      </c>
      <c r="M48" s="147"/>
      <c r="N48" s="147"/>
      <c r="O48" s="147"/>
      <c r="P48" s="147"/>
      <c r="Q48" s="147"/>
      <c r="R48" s="147"/>
      <c r="S48" s="147"/>
      <c r="T48" s="147"/>
      <c r="U48" s="147"/>
      <c r="V48" s="256">
        <f t="shared" si="13"/>
        <v>0</v>
      </c>
      <c r="W48" s="251"/>
      <c r="X48" s="248">
        <v>2799</v>
      </c>
      <c r="Y48" s="248">
        <v>641</v>
      </c>
      <c r="Z48" s="247">
        <f t="shared" si="15"/>
        <v>3440</v>
      </c>
      <c r="AA48" s="215">
        <f t="shared" si="14"/>
        <v>0</v>
      </c>
    </row>
    <row r="49" spans="1:28" ht="14.1" customHeight="1" x14ac:dyDescent="0.25">
      <c r="A49" s="136" t="s">
        <v>141</v>
      </c>
      <c r="B49" s="137" t="s">
        <v>342</v>
      </c>
      <c r="C49" s="230">
        <v>3317</v>
      </c>
      <c r="D49" s="230">
        <v>1657</v>
      </c>
      <c r="E49" s="230">
        <v>669</v>
      </c>
      <c r="F49" s="230">
        <v>392</v>
      </c>
      <c r="G49" s="230">
        <v>130</v>
      </c>
      <c r="H49" s="230">
        <v>10</v>
      </c>
      <c r="I49" s="230">
        <v>52</v>
      </c>
      <c r="J49" s="230">
        <v>111</v>
      </c>
      <c r="K49" s="230">
        <v>0</v>
      </c>
      <c r="L49" s="269">
        <f>SUM(C49:K49)</f>
        <v>6338</v>
      </c>
      <c r="M49" s="230">
        <v>838</v>
      </c>
      <c r="N49" s="230">
        <v>1285</v>
      </c>
      <c r="O49" s="230">
        <v>590</v>
      </c>
      <c r="P49" s="230">
        <v>57</v>
      </c>
      <c r="Q49" s="230">
        <v>24</v>
      </c>
      <c r="R49" s="230">
        <v>107</v>
      </c>
      <c r="S49" s="230">
        <v>0</v>
      </c>
      <c r="T49" s="230">
        <v>27</v>
      </c>
      <c r="U49" s="230"/>
      <c r="V49" s="256">
        <f t="shared" si="13"/>
        <v>2928</v>
      </c>
      <c r="W49" s="248">
        <v>1225</v>
      </c>
      <c r="X49" s="204"/>
      <c r="Y49" s="248"/>
      <c r="Z49" s="247">
        <f t="shared" si="15"/>
        <v>10491</v>
      </c>
      <c r="AA49" s="215">
        <f t="shared" si="14"/>
        <v>7546</v>
      </c>
    </row>
    <row r="50" spans="1:28" ht="14.1" customHeight="1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587</v>
      </c>
      <c r="F50" s="230">
        <v>0</v>
      </c>
      <c r="G50" s="230">
        <v>0</v>
      </c>
      <c r="H50" s="230">
        <v>0</v>
      </c>
      <c r="I50" s="230">
        <v>0</v>
      </c>
      <c r="J50" s="230">
        <v>9626</v>
      </c>
      <c r="K50" s="230">
        <v>0</v>
      </c>
      <c r="L50" s="241">
        <f t="shared" si="12"/>
        <v>10213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230"/>
      <c r="V50" s="256">
        <f t="shared" si="13"/>
        <v>0</v>
      </c>
      <c r="W50" s="393">
        <v>739</v>
      </c>
      <c r="X50" s="233"/>
      <c r="Y50" s="248"/>
      <c r="Z50" s="247">
        <f t="shared" si="15"/>
        <v>10952</v>
      </c>
      <c r="AA50" s="215">
        <f t="shared" si="14"/>
        <v>0</v>
      </c>
    </row>
    <row r="51" spans="1:28" ht="14.1" customHeight="1" x14ac:dyDescent="0.25">
      <c r="A51" s="136" t="s">
        <v>147</v>
      </c>
      <c r="B51" s="137" t="s">
        <v>322</v>
      </c>
      <c r="C51" s="230">
        <v>8472</v>
      </c>
      <c r="D51" s="230">
        <v>3339</v>
      </c>
      <c r="E51" s="230">
        <v>1721</v>
      </c>
      <c r="F51" s="230">
        <v>147</v>
      </c>
      <c r="G51" s="230">
        <v>101</v>
      </c>
      <c r="H51" s="230">
        <v>1</v>
      </c>
      <c r="I51" s="230">
        <v>365</v>
      </c>
      <c r="J51" s="230">
        <v>1948</v>
      </c>
      <c r="K51" s="230">
        <v>3</v>
      </c>
      <c r="L51" s="241">
        <f t="shared" si="12"/>
        <v>16097</v>
      </c>
      <c r="M51" s="230">
        <v>1580</v>
      </c>
      <c r="N51" s="230">
        <v>1721</v>
      </c>
      <c r="O51" s="230">
        <v>789</v>
      </c>
      <c r="P51" s="230">
        <v>67</v>
      </c>
      <c r="Q51" s="230">
        <v>84</v>
      </c>
      <c r="R51" s="230">
        <v>0</v>
      </c>
      <c r="S51" s="230">
        <v>3</v>
      </c>
      <c r="T51" s="230">
        <v>85</v>
      </c>
      <c r="U51" s="230"/>
      <c r="V51" s="256">
        <f t="shared" si="13"/>
        <v>4329</v>
      </c>
      <c r="W51" s="393">
        <v>469</v>
      </c>
      <c r="X51" s="233"/>
      <c r="Y51" s="248"/>
      <c r="Z51" s="247">
        <f t="shared" si="15"/>
        <v>20895</v>
      </c>
      <c r="AA51" s="215">
        <f t="shared" si="14"/>
        <v>15329</v>
      </c>
    </row>
    <row r="52" spans="1:28" ht="14.1" customHeight="1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>
        <v>3360</v>
      </c>
      <c r="K52" s="128"/>
      <c r="L52" s="241">
        <f t="shared" si="12"/>
        <v>3360</v>
      </c>
      <c r="M52" s="147"/>
      <c r="N52" s="147"/>
      <c r="O52" s="147"/>
      <c r="P52" s="147"/>
      <c r="Q52" s="147"/>
      <c r="R52" s="147"/>
      <c r="S52" s="147"/>
      <c r="T52" s="147">
        <v>2473</v>
      </c>
      <c r="U52" s="147"/>
      <c r="V52" s="256">
        <f t="shared" si="13"/>
        <v>2473</v>
      </c>
      <c r="W52" s="251"/>
      <c r="X52" s="248"/>
      <c r="Y52" s="248"/>
      <c r="Z52" s="247">
        <f t="shared" si="15"/>
        <v>5833</v>
      </c>
      <c r="AA52" s="215">
        <f t="shared" si="14"/>
        <v>0</v>
      </c>
    </row>
    <row r="53" spans="1:28" ht="14.1" customHeight="1" x14ac:dyDescent="0.25">
      <c r="A53" s="136" t="s">
        <v>174</v>
      </c>
      <c r="B53" s="137" t="s">
        <v>344</v>
      </c>
      <c r="C53" s="230">
        <v>4858</v>
      </c>
      <c r="D53" s="230">
        <v>2674</v>
      </c>
      <c r="E53" s="230">
        <v>1123</v>
      </c>
      <c r="F53" s="230">
        <v>157</v>
      </c>
      <c r="G53" s="230">
        <v>110</v>
      </c>
      <c r="H53" s="230">
        <v>63</v>
      </c>
      <c r="I53" s="230">
        <v>106</v>
      </c>
      <c r="J53" s="230">
        <v>321</v>
      </c>
      <c r="K53" s="230">
        <v>0</v>
      </c>
      <c r="L53" s="241">
        <f t="shared" si="12"/>
        <v>9412</v>
      </c>
      <c r="M53" s="230">
        <v>1091</v>
      </c>
      <c r="N53" s="230">
        <v>1023</v>
      </c>
      <c r="O53" s="230">
        <v>653</v>
      </c>
      <c r="P53" s="230">
        <v>43</v>
      </c>
      <c r="Q53" s="230">
        <v>36</v>
      </c>
      <c r="R53" s="230">
        <v>141</v>
      </c>
      <c r="S53" s="230">
        <v>49</v>
      </c>
      <c r="T53" s="230">
        <v>51</v>
      </c>
      <c r="U53" s="230"/>
      <c r="V53" s="256">
        <f t="shared" si="13"/>
        <v>3087</v>
      </c>
      <c r="W53" s="248">
        <v>1194</v>
      </c>
      <c r="X53" s="204"/>
      <c r="Y53" s="204"/>
      <c r="Z53" s="247">
        <f t="shared" si="15"/>
        <v>13693</v>
      </c>
      <c r="AA53" s="215">
        <f t="shared" si="14"/>
        <v>9846</v>
      </c>
    </row>
    <row r="54" spans="1:28" ht="14.1" customHeight="1" thickBot="1" x14ac:dyDescent="0.3">
      <c r="A54" s="136" t="s">
        <v>186</v>
      </c>
      <c r="B54" s="143" t="s">
        <v>345</v>
      </c>
      <c r="C54" s="265">
        <v>253</v>
      </c>
      <c r="D54" s="265">
        <v>370</v>
      </c>
      <c r="E54" s="265">
        <v>78</v>
      </c>
      <c r="F54" s="265">
        <v>38</v>
      </c>
      <c r="G54" s="265">
        <v>21</v>
      </c>
      <c r="H54" s="265">
        <v>0</v>
      </c>
      <c r="I54" s="265">
        <v>4</v>
      </c>
      <c r="J54" s="265">
        <v>92</v>
      </c>
      <c r="K54" s="265">
        <v>0</v>
      </c>
      <c r="L54" s="268">
        <f t="shared" si="12"/>
        <v>856</v>
      </c>
      <c r="M54" s="265">
        <v>654</v>
      </c>
      <c r="N54" s="265">
        <v>1312</v>
      </c>
      <c r="O54" s="265">
        <v>555</v>
      </c>
      <c r="P54" s="265">
        <v>100</v>
      </c>
      <c r="Q54" s="265">
        <v>45</v>
      </c>
      <c r="R54" s="265">
        <v>42</v>
      </c>
      <c r="S54" s="265">
        <v>0</v>
      </c>
      <c r="T54" s="265">
        <v>21</v>
      </c>
      <c r="U54" s="265"/>
      <c r="V54" s="256">
        <f t="shared" si="13"/>
        <v>2729</v>
      </c>
      <c r="W54" s="252">
        <v>803</v>
      </c>
      <c r="X54" s="209"/>
      <c r="Y54" s="209"/>
      <c r="Z54" s="247">
        <f t="shared" si="15"/>
        <v>4388</v>
      </c>
      <c r="AA54" s="217">
        <f t="shared" si="14"/>
        <v>2727</v>
      </c>
    </row>
    <row r="55" spans="1:28" s="109" customFormat="1" ht="14.1" customHeight="1" thickBot="1" x14ac:dyDescent="0.3">
      <c r="A55" s="134"/>
      <c r="B55" s="159" t="s">
        <v>459</v>
      </c>
      <c r="C55" s="258">
        <f t="shared" ref="C55:AA55" si="16">SUM(C38:C54)</f>
        <v>42320</v>
      </c>
      <c r="D55" s="157">
        <f t="shared" si="16"/>
        <v>21247</v>
      </c>
      <c r="E55" s="157">
        <f t="shared" si="16"/>
        <v>11358</v>
      </c>
      <c r="F55" s="157">
        <f t="shared" si="16"/>
        <v>1515</v>
      </c>
      <c r="G55" s="259">
        <f t="shared" si="16"/>
        <v>1247</v>
      </c>
      <c r="H55" s="362">
        <f t="shared" si="16"/>
        <v>143</v>
      </c>
      <c r="I55" s="157">
        <f t="shared" si="16"/>
        <v>2475</v>
      </c>
      <c r="J55" s="157">
        <f t="shared" si="16"/>
        <v>17769</v>
      </c>
      <c r="K55" s="259">
        <f t="shared" si="16"/>
        <v>256</v>
      </c>
      <c r="L55" s="263">
        <f t="shared" si="16"/>
        <v>98330</v>
      </c>
      <c r="M55" s="262">
        <f t="shared" si="16"/>
        <v>16841</v>
      </c>
      <c r="N55" s="264">
        <f t="shared" si="16"/>
        <v>19911</v>
      </c>
      <c r="O55" s="363">
        <f t="shared" si="16"/>
        <v>12633</v>
      </c>
      <c r="P55" s="191">
        <f t="shared" si="16"/>
        <v>957</v>
      </c>
      <c r="Q55" s="262">
        <f t="shared" si="16"/>
        <v>752</v>
      </c>
      <c r="R55" s="158">
        <f t="shared" si="16"/>
        <v>956</v>
      </c>
      <c r="S55" s="158">
        <f t="shared" si="16"/>
        <v>106</v>
      </c>
      <c r="T55" s="264">
        <f t="shared" si="16"/>
        <v>3070</v>
      </c>
      <c r="U55" s="401">
        <f t="shared" si="16"/>
        <v>14</v>
      </c>
      <c r="V55" s="263">
        <f t="shared" si="16"/>
        <v>55240</v>
      </c>
      <c r="W55" s="261">
        <f t="shared" si="16"/>
        <v>10817</v>
      </c>
      <c r="X55" s="210">
        <f t="shared" si="16"/>
        <v>2950</v>
      </c>
      <c r="Y55" s="210">
        <f>SUM(Y38:Y54)</f>
        <v>643</v>
      </c>
      <c r="Z55" s="210">
        <f t="shared" si="16"/>
        <v>167980</v>
      </c>
      <c r="AA55" s="210">
        <f t="shared" si="16"/>
        <v>103061</v>
      </c>
    </row>
    <row r="56" spans="1:28" ht="14.1" customHeight="1" x14ac:dyDescent="0.25">
      <c r="A56" s="136" t="s">
        <v>71</v>
      </c>
      <c r="B56" s="279" t="s">
        <v>305</v>
      </c>
      <c r="C56">
        <v>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1172</v>
      </c>
      <c r="K56">
        <v>0</v>
      </c>
      <c r="L56" s="234">
        <f t="shared" ref="L56:L71" si="17">SUM(C56:K56)</f>
        <v>1178</v>
      </c>
      <c r="M56" s="280"/>
      <c r="N56" s="280"/>
      <c r="O56" s="280"/>
      <c r="P56" s="280"/>
      <c r="Q56" s="280"/>
      <c r="R56" s="280"/>
      <c r="S56" s="280"/>
      <c r="T56" s="280"/>
      <c r="U56" s="280"/>
      <c r="V56" s="280">
        <f>SUM(M56:U56)</f>
        <v>0</v>
      </c>
      <c r="W56" s="240">
        <f>15533+6215+3894</f>
        <v>25642</v>
      </c>
      <c r="X56" s="211"/>
      <c r="Y56" s="211"/>
      <c r="Z56" s="247">
        <f>L56+V56+W56+X56+Y56</f>
        <v>26820</v>
      </c>
      <c r="AA56" s="215">
        <f t="shared" ref="AA56:AA71" si="18">C56+D56+F56+K56+M56+N56+P56+U56</f>
        <v>6</v>
      </c>
      <c r="AB56" s="142">
        <f>L56</f>
        <v>1178</v>
      </c>
    </row>
    <row r="57" spans="1:28" ht="14.1" customHeight="1" x14ac:dyDescent="0.25">
      <c r="A57" s="136" t="s">
        <v>77</v>
      </c>
      <c r="B57" s="137" t="s">
        <v>306</v>
      </c>
      <c r="C57" s="230"/>
      <c r="D57" s="230"/>
      <c r="E57" s="230"/>
      <c r="F57" s="230"/>
      <c r="G57" s="230"/>
      <c r="H57" s="230"/>
      <c r="I57" s="230"/>
      <c r="J57" s="230"/>
      <c r="K57" s="230"/>
      <c r="L57" s="232">
        <f t="shared" si="17"/>
        <v>0</v>
      </c>
      <c r="M57" s="230"/>
      <c r="N57" s="230"/>
      <c r="O57" s="230"/>
      <c r="P57" s="230"/>
      <c r="Q57" s="230"/>
      <c r="R57" s="230"/>
      <c r="S57" s="230"/>
      <c r="T57" s="230"/>
      <c r="U57" s="230"/>
      <c r="V57" s="280">
        <f t="shared" ref="V57:V71" si="19">SUM(M57:U57)</f>
        <v>0</v>
      </c>
      <c r="W57" s="245">
        <v>502</v>
      </c>
      <c r="X57" s="204"/>
      <c r="Y57" s="204"/>
      <c r="Z57" s="247">
        <f t="shared" ref="Z57:Z71" si="20">L57+V57+W57+X57+Y57</f>
        <v>502</v>
      </c>
      <c r="AA57" s="215">
        <f t="shared" si="18"/>
        <v>0</v>
      </c>
    </row>
    <row r="58" spans="1:28" ht="14.1" customHeight="1" x14ac:dyDescent="0.25">
      <c r="A58" s="136" t="s">
        <v>102</v>
      </c>
      <c r="B58" s="137" t="s">
        <v>315</v>
      </c>
      <c r="C58" s="230">
        <v>0</v>
      </c>
      <c r="D58" s="230">
        <v>0</v>
      </c>
      <c r="E58" s="230">
        <v>0</v>
      </c>
      <c r="F58" s="230">
        <v>0</v>
      </c>
      <c r="G58" s="230">
        <v>0</v>
      </c>
      <c r="H58" s="230">
        <v>0</v>
      </c>
      <c r="I58" s="230">
        <v>0</v>
      </c>
      <c r="J58" s="230">
        <v>116</v>
      </c>
      <c r="K58" s="230">
        <v>0</v>
      </c>
      <c r="L58" s="232">
        <f t="shared" si="17"/>
        <v>116</v>
      </c>
      <c r="M58" s="230"/>
      <c r="N58" s="230"/>
      <c r="O58" s="230"/>
      <c r="P58" s="230"/>
      <c r="Q58" s="230"/>
      <c r="R58" s="230"/>
      <c r="S58" s="230"/>
      <c r="T58" s="230"/>
      <c r="U58" s="230"/>
      <c r="V58" s="280">
        <f t="shared" si="19"/>
        <v>0</v>
      </c>
      <c r="W58" s="270"/>
      <c r="X58" s="204"/>
      <c r="Y58" s="204"/>
      <c r="Z58" s="247">
        <f t="shared" si="20"/>
        <v>116</v>
      </c>
      <c r="AA58" s="215">
        <f t="shared" si="18"/>
        <v>0</v>
      </c>
    </row>
    <row r="59" spans="1:28" ht="14.1" customHeight="1" x14ac:dyDescent="0.25">
      <c r="A59" s="136" t="s">
        <v>103</v>
      </c>
      <c r="B59" s="137" t="s">
        <v>297</v>
      </c>
      <c r="C59" s="230">
        <v>281</v>
      </c>
      <c r="D59" s="230">
        <v>110</v>
      </c>
      <c r="E59" s="230">
        <v>69</v>
      </c>
      <c r="F59" s="230">
        <v>10</v>
      </c>
      <c r="G59" s="230">
        <v>2</v>
      </c>
      <c r="H59" s="230">
        <v>0</v>
      </c>
      <c r="I59" s="230">
        <v>0</v>
      </c>
      <c r="J59" s="230">
        <v>20</v>
      </c>
      <c r="K59" s="230">
        <v>0</v>
      </c>
      <c r="L59" s="232">
        <f t="shared" si="17"/>
        <v>492</v>
      </c>
      <c r="M59" s="230">
        <v>28</v>
      </c>
      <c r="N59" s="230">
        <v>36</v>
      </c>
      <c r="O59" s="230">
        <v>37</v>
      </c>
      <c r="P59" s="230">
        <v>19</v>
      </c>
      <c r="Q59" s="230">
        <v>2</v>
      </c>
      <c r="R59" s="230">
        <v>0</v>
      </c>
      <c r="S59" s="230">
        <v>0</v>
      </c>
      <c r="T59" s="230">
        <v>0</v>
      </c>
      <c r="U59" s="230"/>
      <c r="V59" s="280">
        <f t="shared" si="19"/>
        <v>122</v>
      </c>
      <c r="W59" s="245">
        <v>1165</v>
      </c>
      <c r="X59" s="204"/>
      <c r="Y59" s="204"/>
      <c r="Z59" s="247">
        <f t="shared" si="20"/>
        <v>1779</v>
      </c>
      <c r="AA59" s="215">
        <f t="shared" si="18"/>
        <v>484</v>
      </c>
    </row>
    <row r="60" spans="1:28" ht="14.1" customHeight="1" x14ac:dyDescent="0.25">
      <c r="A60" s="136" t="s">
        <v>112</v>
      </c>
      <c r="B60" s="137" t="s">
        <v>307</v>
      </c>
      <c r="C60" s="230">
        <v>1534</v>
      </c>
      <c r="D60" s="230">
        <v>1219</v>
      </c>
      <c r="E60" s="230">
        <v>622</v>
      </c>
      <c r="F60" s="230">
        <v>31</v>
      </c>
      <c r="G60" s="230">
        <v>43</v>
      </c>
      <c r="H60" s="230">
        <v>65</v>
      </c>
      <c r="I60" s="230">
        <v>929</v>
      </c>
      <c r="J60" s="230">
        <v>264</v>
      </c>
      <c r="K60" s="230">
        <v>0</v>
      </c>
      <c r="L60" s="232">
        <f t="shared" si="17"/>
        <v>4707</v>
      </c>
      <c r="M60" s="230">
        <v>845</v>
      </c>
      <c r="N60" s="230">
        <v>1260</v>
      </c>
      <c r="O60" s="230">
        <v>386</v>
      </c>
      <c r="P60" s="230">
        <v>63</v>
      </c>
      <c r="Q60" s="230">
        <v>73</v>
      </c>
      <c r="R60" s="230">
        <v>42</v>
      </c>
      <c r="S60" s="230">
        <v>7</v>
      </c>
      <c r="T60" s="230">
        <v>97</v>
      </c>
      <c r="U60" s="230"/>
      <c r="V60" s="280">
        <f t="shared" si="19"/>
        <v>2773</v>
      </c>
      <c r="W60" s="248">
        <v>107</v>
      </c>
      <c r="X60" s="233"/>
      <c r="Y60" s="233"/>
      <c r="Z60" s="247">
        <f t="shared" si="20"/>
        <v>7587</v>
      </c>
      <c r="AA60" s="215">
        <f t="shared" si="18"/>
        <v>4952</v>
      </c>
    </row>
    <row r="61" spans="1:28" ht="14.1" customHeight="1" x14ac:dyDescent="0.25">
      <c r="A61" s="136" t="s">
        <v>120</v>
      </c>
      <c r="B61" s="137" t="s">
        <v>318</v>
      </c>
      <c r="C61" s="230">
        <v>4206</v>
      </c>
      <c r="D61" s="230">
        <v>1828</v>
      </c>
      <c r="E61" s="230">
        <v>1195</v>
      </c>
      <c r="F61" s="230">
        <v>78</v>
      </c>
      <c r="G61" s="230">
        <v>137</v>
      </c>
      <c r="H61" s="230">
        <v>73</v>
      </c>
      <c r="I61" s="230">
        <v>2</v>
      </c>
      <c r="J61" s="230">
        <v>488</v>
      </c>
      <c r="K61" s="230">
        <v>566</v>
      </c>
      <c r="L61" s="232">
        <f t="shared" si="17"/>
        <v>8573</v>
      </c>
      <c r="M61" s="230">
        <v>2320</v>
      </c>
      <c r="N61" s="230">
        <v>1593</v>
      </c>
      <c r="O61" s="230">
        <v>1550</v>
      </c>
      <c r="P61" s="230">
        <v>82</v>
      </c>
      <c r="Q61" s="230">
        <v>93</v>
      </c>
      <c r="R61" s="230">
        <v>52</v>
      </c>
      <c r="S61" s="230">
        <v>0</v>
      </c>
      <c r="T61" s="230">
        <v>90</v>
      </c>
      <c r="U61" s="230"/>
      <c r="V61" s="280">
        <f t="shared" si="19"/>
        <v>5780</v>
      </c>
      <c r="W61" s="248">
        <v>504</v>
      </c>
      <c r="X61" s="233"/>
      <c r="Y61" s="233"/>
      <c r="Z61" s="247">
        <f t="shared" si="20"/>
        <v>14857</v>
      </c>
      <c r="AA61" s="215">
        <f t="shared" si="18"/>
        <v>10673</v>
      </c>
    </row>
    <row r="62" spans="1:28" ht="14.1" customHeight="1" x14ac:dyDescent="0.25">
      <c r="A62" s="136" t="s">
        <v>131</v>
      </c>
      <c r="B62" s="137" t="s">
        <v>308</v>
      </c>
      <c r="C62" s="230">
        <v>1687</v>
      </c>
      <c r="D62" s="230">
        <v>729</v>
      </c>
      <c r="E62" s="230">
        <v>716</v>
      </c>
      <c r="F62" s="230">
        <v>118</v>
      </c>
      <c r="G62" s="230">
        <v>53</v>
      </c>
      <c r="H62" s="230">
        <v>2</v>
      </c>
      <c r="I62" s="230">
        <v>0</v>
      </c>
      <c r="J62" s="230">
        <v>502</v>
      </c>
      <c r="K62" s="230">
        <v>0</v>
      </c>
      <c r="L62" s="232">
        <f t="shared" si="17"/>
        <v>3807</v>
      </c>
      <c r="M62" s="230"/>
      <c r="N62" s="230"/>
      <c r="O62" s="230"/>
      <c r="P62" s="230"/>
      <c r="Q62" s="230"/>
      <c r="R62" s="230"/>
      <c r="S62" s="230"/>
      <c r="T62" s="230"/>
      <c r="U62" s="230"/>
      <c r="V62" s="280">
        <f t="shared" si="19"/>
        <v>0</v>
      </c>
      <c r="W62" s="248">
        <v>1004</v>
      </c>
      <c r="X62" s="233"/>
      <c r="Y62" s="233"/>
      <c r="Z62" s="247">
        <f t="shared" si="20"/>
        <v>4811</v>
      </c>
      <c r="AA62" s="215">
        <f t="shared" si="18"/>
        <v>2534</v>
      </c>
    </row>
    <row r="63" spans="1:28" ht="14.1" customHeight="1" x14ac:dyDescent="0.25">
      <c r="A63" s="136" t="s">
        <v>133</v>
      </c>
      <c r="B63" s="228" t="s">
        <v>319</v>
      </c>
      <c r="C63" s="230"/>
      <c r="D63" s="230"/>
      <c r="E63" s="230"/>
      <c r="F63" s="230"/>
      <c r="G63" s="230"/>
      <c r="H63" s="230"/>
      <c r="I63" s="230"/>
      <c r="J63" s="230"/>
      <c r="K63" s="230"/>
      <c r="L63" s="232">
        <f t="shared" si="17"/>
        <v>0</v>
      </c>
      <c r="M63" s="230"/>
      <c r="N63" s="230"/>
      <c r="O63" s="230"/>
      <c r="P63" s="230"/>
      <c r="Q63" s="230"/>
      <c r="R63" s="230"/>
      <c r="S63" s="230"/>
      <c r="T63" s="230"/>
      <c r="U63" s="230"/>
      <c r="V63" s="280">
        <f t="shared" si="19"/>
        <v>0</v>
      </c>
      <c r="W63" s="248">
        <v>491</v>
      </c>
      <c r="X63" s="233"/>
      <c r="Y63" s="233"/>
      <c r="Z63" s="247">
        <f t="shared" si="20"/>
        <v>491</v>
      </c>
      <c r="AA63" s="215">
        <f t="shared" si="18"/>
        <v>0</v>
      </c>
    </row>
    <row r="64" spans="1:28" ht="14.1" customHeight="1" x14ac:dyDescent="0.25">
      <c r="A64" s="136" t="s">
        <v>134</v>
      </c>
      <c r="B64" s="137" t="s">
        <v>320</v>
      </c>
      <c r="C64" s="230">
        <v>21</v>
      </c>
      <c r="D64" s="230">
        <v>2</v>
      </c>
      <c r="E64" s="230">
        <v>0</v>
      </c>
      <c r="F64" s="230">
        <v>7</v>
      </c>
      <c r="G64" s="230">
        <v>1</v>
      </c>
      <c r="H64" s="230">
        <v>0</v>
      </c>
      <c r="I64" s="230">
        <v>0</v>
      </c>
      <c r="J64" s="230">
        <v>0</v>
      </c>
      <c r="K64" s="230">
        <v>0</v>
      </c>
      <c r="L64" s="232">
        <f t="shared" si="17"/>
        <v>31</v>
      </c>
      <c r="M64" s="230">
        <v>0</v>
      </c>
      <c r="N64" s="230">
        <v>0</v>
      </c>
      <c r="O64" s="230">
        <v>0</v>
      </c>
      <c r="P64" s="230">
        <v>0</v>
      </c>
      <c r="Q64" s="230">
        <v>0</v>
      </c>
      <c r="R64" s="230">
        <v>0</v>
      </c>
      <c r="S64" s="230">
        <v>0</v>
      </c>
      <c r="T64" s="230">
        <v>0</v>
      </c>
      <c r="U64" s="230"/>
      <c r="V64" s="280">
        <f t="shared" si="19"/>
        <v>0</v>
      </c>
      <c r="W64" s="248">
        <v>277</v>
      </c>
      <c r="X64" s="233"/>
      <c r="Y64" s="233"/>
      <c r="Z64" s="247">
        <f t="shared" si="20"/>
        <v>308</v>
      </c>
      <c r="AA64" s="215">
        <f t="shared" si="18"/>
        <v>30</v>
      </c>
    </row>
    <row r="65" spans="1:28" ht="14.1" customHeight="1" x14ac:dyDescent="0.25">
      <c r="A65" s="136" t="s">
        <v>145</v>
      </c>
      <c r="B65" s="137" t="s">
        <v>309</v>
      </c>
      <c r="C65" s="230">
        <v>605</v>
      </c>
      <c r="D65" s="230">
        <v>296</v>
      </c>
      <c r="E65" s="230">
        <v>177</v>
      </c>
      <c r="F65" s="230">
        <v>58</v>
      </c>
      <c r="G65" s="230">
        <v>27</v>
      </c>
      <c r="H65" s="230">
        <v>0</v>
      </c>
      <c r="I65" s="230">
        <v>25</v>
      </c>
      <c r="J65" s="230">
        <v>217</v>
      </c>
      <c r="K65" s="230">
        <v>0</v>
      </c>
      <c r="L65" s="232">
        <f t="shared" si="17"/>
        <v>1405</v>
      </c>
      <c r="M65" s="230">
        <v>2223</v>
      </c>
      <c r="N65" s="230">
        <v>971</v>
      </c>
      <c r="O65" s="230">
        <v>1832</v>
      </c>
      <c r="P65" s="230">
        <v>34</v>
      </c>
      <c r="Q65" s="230">
        <v>27</v>
      </c>
      <c r="R65" s="230">
        <v>236</v>
      </c>
      <c r="S65" s="230">
        <v>0</v>
      </c>
      <c r="T65" s="230">
        <v>102</v>
      </c>
      <c r="U65" s="230"/>
      <c r="V65" s="280">
        <f t="shared" si="19"/>
        <v>5425</v>
      </c>
      <c r="W65" s="248">
        <f>445+50</f>
        <v>495</v>
      </c>
      <c r="X65" s="233"/>
      <c r="Y65" s="233"/>
      <c r="Z65" s="247">
        <f t="shared" si="20"/>
        <v>7325</v>
      </c>
      <c r="AA65" s="215">
        <f t="shared" si="18"/>
        <v>4187</v>
      </c>
    </row>
    <row r="66" spans="1:28" ht="14.1" customHeight="1" x14ac:dyDescent="0.25">
      <c r="A66" s="136" t="s">
        <v>149</v>
      </c>
      <c r="B66" s="137" t="s">
        <v>353</v>
      </c>
      <c r="C66" s="230">
        <v>239</v>
      </c>
      <c r="D66" s="230">
        <v>96</v>
      </c>
      <c r="E66" s="230">
        <v>53</v>
      </c>
      <c r="F66" s="230">
        <v>29</v>
      </c>
      <c r="G66" s="230">
        <v>2</v>
      </c>
      <c r="H66" s="230">
        <v>0</v>
      </c>
      <c r="I66" s="230">
        <v>410</v>
      </c>
      <c r="J66" s="230">
        <v>20</v>
      </c>
      <c r="K66" s="230">
        <v>0</v>
      </c>
      <c r="L66" s="232">
        <f t="shared" si="17"/>
        <v>849</v>
      </c>
      <c r="M66" s="230">
        <v>213</v>
      </c>
      <c r="N66" s="230">
        <v>100</v>
      </c>
      <c r="O66" s="230">
        <v>189</v>
      </c>
      <c r="P66" s="230">
        <v>5</v>
      </c>
      <c r="Q66" s="230">
        <v>6</v>
      </c>
      <c r="R66" s="230">
        <v>0</v>
      </c>
      <c r="S66" s="230">
        <v>0</v>
      </c>
      <c r="T66" s="230">
        <v>0</v>
      </c>
      <c r="U66" s="230"/>
      <c r="V66" s="280">
        <f t="shared" si="19"/>
        <v>513</v>
      </c>
      <c r="W66" s="248">
        <v>196</v>
      </c>
      <c r="X66" s="233"/>
      <c r="Y66" s="233"/>
      <c r="Z66" s="247">
        <f t="shared" si="20"/>
        <v>1558</v>
      </c>
      <c r="AA66" s="215">
        <f t="shared" si="18"/>
        <v>682</v>
      </c>
    </row>
    <row r="67" spans="1:28" ht="14.1" customHeight="1" x14ac:dyDescent="0.25">
      <c r="A67" s="136" t="s">
        <v>182</v>
      </c>
      <c r="B67" s="137" t="s">
        <v>357</v>
      </c>
      <c r="C67" s="230">
        <v>783</v>
      </c>
      <c r="D67" s="230">
        <v>128</v>
      </c>
      <c r="E67" s="230">
        <v>243</v>
      </c>
      <c r="F67" s="230">
        <v>13</v>
      </c>
      <c r="G67" s="230">
        <v>7</v>
      </c>
      <c r="H67" s="230">
        <v>0</v>
      </c>
      <c r="I67" s="230">
        <v>0</v>
      </c>
      <c r="J67" s="230">
        <v>27</v>
      </c>
      <c r="K67" s="230">
        <v>0</v>
      </c>
      <c r="L67" s="232">
        <f t="shared" si="17"/>
        <v>1201</v>
      </c>
      <c r="M67" s="230">
        <v>244</v>
      </c>
      <c r="N67" s="230">
        <v>223</v>
      </c>
      <c r="O67" s="230">
        <v>77</v>
      </c>
      <c r="P67" s="230">
        <v>8</v>
      </c>
      <c r="Q67" s="230">
        <v>14</v>
      </c>
      <c r="R67" s="230">
        <v>0</v>
      </c>
      <c r="S67" s="230">
        <v>0</v>
      </c>
      <c r="T67" s="230">
        <v>10</v>
      </c>
      <c r="U67" s="230"/>
      <c r="V67" s="280">
        <f t="shared" si="19"/>
        <v>576</v>
      </c>
      <c r="W67" s="248">
        <f>1576+1293</f>
        <v>2869</v>
      </c>
      <c r="X67" s="233"/>
      <c r="Y67" s="233"/>
      <c r="Z67" s="247">
        <f t="shared" si="20"/>
        <v>4646</v>
      </c>
      <c r="AA67" s="215">
        <f t="shared" si="18"/>
        <v>1399</v>
      </c>
      <c r="AB67" s="142">
        <f>L67+V67</f>
        <v>1777</v>
      </c>
    </row>
    <row r="68" spans="1:28" ht="14.1" customHeight="1" x14ac:dyDescent="0.25">
      <c r="A68" s="136" t="s">
        <v>185</v>
      </c>
      <c r="B68" s="137" t="s">
        <v>310</v>
      </c>
      <c r="C68" s="230"/>
      <c r="D68" s="230"/>
      <c r="E68" s="230">
        <v>640</v>
      </c>
      <c r="F68" s="230"/>
      <c r="G68" s="230"/>
      <c r="H68" s="230"/>
      <c r="I68" s="230"/>
      <c r="J68" s="230">
        <v>2880</v>
      </c>
      <c r="K68" s="230"/>
      <c r="L68" s="232">
        <f t="shared" si="17"/>
        <v>3520</v>
      </c>
      <c r="M68" s="230"/>
      <c r="N68" s="230"/>
      <c r="O68" s="230"/>
      <c r="P68" s="230"/>
      <c r="Q68" s="230"/>
      <c r="R68" s="230"/>
      <c r="S68" s="230"/>
      <c r="T68" s="230"/>
      <c r="U68" s="230"/>
      <c r="V68" s="280">
        <f t="shared" si="19"/>
        <v>0</v>
      </c>
      <c r="W68" s="248">
        <v>3036</v>
      </c>
      <c r="X68" s="233"/>
      <c r="Y68" s="233"/>
      <c r="Z68" s="247">
        <f t="shared" si="20"/>
        <v>6556</v>
      </c>
      <c r="AA68" s="215">
        <f t="shared" si="18"/>
        <v>0</v>
      </c>
    </row>
    <row r="69" spans="1:28" ht="14.1" customHeight="1" x14ac:dyDescent="0.25">
      <c r="A69" s="136" t="s">
        <v>188</v>
      </c>
      <c r="B69" s="137" t="s">
        <v>311</v>
      </c>
      <c r="C69" s="230"/>
      <c r="D69" s="230"/>
      <c r="E69" s="230"/>
      <c r="F69" s="230"/>
      <c r="G69" s="230"/>
      <c r="H69" s="230"/>
      <c r="I69" s="230"/>
      <c r="J69" s="230"/>
      <c r="K69" s="230"/>
      <c r="L69" s="232">
        <f t="shared" si="17"/>
        <v>0</v>
      </c>
      <c r="M69" s="230"/>
      <c r="N69" s="230"/>
      <c r="O69" s="230"/>
      <c r="P69" s="230"/>
      <c r="Q69" s="230"/>
      <c r="R69" s="230"/>
      <c r="S69" s="230"/>
      <c r="T69" s="230"/>
      <c r="U69" s="230"/>
      <c r="V69" s="280">
        <f t="shared" si="19"/>
        <v>0</v>
      </c>
      <c r="W69" s="252">
        <v>0</v>
      </c>
      <c r="X69" s="235"/>
      <c r="Y69" s="235"/>
      <c r="Z69" s="247">
        <f t="shared" si="20"/>
        <v>0</v>
      </c>
      <c r="AA69" s="215">
        <f t="shared" si="18"/>
        <v>0</v>
      </c>
    </row>
    <row r="70" spans="1:28" ht="14.1" customHeight="1" x14ac:dyDescent="0.25">
      <c r="A70" s="136" t="s">
        <v>192</v>
      </c>
      <c r="B70" s="137" t="s">
        <v>312</v>
      </c>
      <c r="C70" s="230">
        <v>17</v>
      </c>
      <c r="D70" s="230">
        <v>19</v>
      </c>
      <c r="E70" s="230">
        <v>5</v>
      </c>
      <c r="F70" s="230">
        <v>0</v>
      </c>
      <c r="G70" s="230">
        <v>0</v>
      </c>
      <c r="H70" s="230">
        <v>0</v>
      </c>
      <c r="I70" s="230">
        <v>0</v>
      </c>
      <c r="J70" s="230">
        <v>10</v>
      </c>
      <c r="K70" s="230">
        <v>0</v>
      </c>
      <c r="L70" s="232">
        <f t="shared" si="17"/>
        <v>51</v>
      </c>
      <c r="M70" s="230">
        <v>318</v>
      </c>
      <c r="N70" s="230">
        <v>79</v>
      </c>
      <c r="O70" s="230">
        <v>124</v>
      </c>
      <c r="P70" s="230">
        <v>5</v>
      </c>
      <c r="Q70" s="230">
        <v>13</v>
      </c>
      <c r="R70" s="230">
        <v>0</v>
      </c>
      <c r="S70" s="230">
        <v>0</v>
      </c>
      <c r="T70" s="230">
        <v>90</v>
      </c>
      <c r="U70" s="230"/>
      <c r="V70" s="280">
        <f t="shared" si="19"/>
        <v>629</v>
      </c>
      <c r="W70" s="252">
        <v>616</v>
      </c>
      <c r="X70" s="235"/>
      <c r="Y70" s="235"/>
      <c r="Z70" s="247">
        <f t="shared" si="20"/>
        <v>1296</v>
      </c>
      <c r="AA70" s="217">
        <f t="shared" si="18"/>
        <v>438</v>
      </c>
    </row>
    <row r="71" spans="1:28" ht="14.1" customHeight="1" thickBot="1" x14ac:dyDescent="0.3">
      <c r="A71" s="136" t="s">
        <v>193</v>
      </c>
      <c r="B71" s="143" t="s">
        <v>325</v>
      </c>
      <c r="C71" s="230">
        <v>0</v>
      </c>
      <c r="D71" s="230">
        <v>0</v>
      </c>
      <c r="E71" s="230">
        <v>0</v>
      </c>
      <c r="F71" s="230">
        <v>0</v>
      </c>
      <c r="G71" s="230">
        <v>0</v>
      </c>
      <c r="H71" s="230">
        <v>0</v>
      </c>
      <c r="I71" s="230">
        <v>1155</v>
      </c>
      <c r="J71" s="230">
        <v>176</v>
      </c>
      <c r="K71" s="230">
        <v>0</v>
      </c>
      <c r="L71" s="239">
        <f t="shared" si="17"/>
        <v>1331</v>
      </c>
      <c r="M71" s="265">
        <v>0</v>
      </c>
      <c r="N71" s="265">
        <v>0</v>
      </c>
      <c r="O71" s="265">
        <v>0</v>
      </c>
      <c r="P71" s="265">
        <v>0</v>
      </c>
      <c r="Q71" s="265">
        <v>0</v>
      </c>
      <c r="R71" s="265">
        <v>0</v>
      </c>
      <c r="S71" s="265">
        <v>0</v>
      </c>
      <c r="T71" s="265">
        <v>0</v>
      </c>
      <c r="U71" s="265"/>
      <c r="V71" s="280">
        <f t="shared" si="19"/>
        <v>0</v>
      </c>
      <c r="W71" s="253">
        <v>4416</v>
      </c>
      <c r="X71" s="235"/>
      <c r="Y71" s="235"/>
      <c r="Z71" s="247">
        <f t="shared" si="20"/>
        <v>5747</v>
      </c>
      <c r="AA71" s="217">
        <f t="shared" si="18"/>
        <v>0</v>
      </c>
      <c r="AB71" s="142">
        <f>L71+V71</f>
        <v>1331</v>
      </c>
    </row>
    <row r="72" spans="1:28" s="109" customFormat="1" ht="14.1" customHeight="1" thickBot="1" x14ac:dyDescent="0.3">
      <c r="A72" s="134"/>
      <c r="B72" s="159" t="s">
        <v>460</v>
      </c>
      <c r="C72" s="451">
        <f t="shared" ref="C72:AA72" si="21">SUM(C56:C71)</f>
        <v>9379</v>
      </c>
      <c r="D72" s="462">
        <f t="shared" si="21"/>
        <v>4427</v>
      </c>
      <c r="E72" s="499">
        <f t="shared" si="21"/>
        <v>3720</v>
      </c>
      <c r="F72" s="494">
        <f t="shared" si="21"/>
        <v>344</v>
      </c>
      <c r="G72" s="320">
        <f t="shared" si="21"/>
        <v>272</v>
      </c>
      <c r="H72" s="320">
        <f t="shared" si="21"/>
        <v>140</v>
      </c>
      <c r="I72" s="320">
        <f t="shared" si="21"/>
        <v>2521</v>
      </c>
      <c r="J72" s="320">
        <f t="shared" si="21"/>
        <v>5892</v>
      </c>
      <c r="K72" s="436">
        <f t="shared" si="21"/>
        <v>566</v>
      </c>
      <c r="L72" s="263">
        <f t="shared" si="21"/>
        <v>27261</v>
      </c>
      <c r="M72" s="262">
        <f t="shared" si="21"/>
        <v>6191</v>
      </c>
      <c r="N72" s="158">
        <f t="shared" si="21"/>
        <v>4262</v>
      </c>
      <c r="O72" s="158">
        <f t="shared" si="21"/>
        <v>4195</v>
      </c>
      <c r="P72" s="191">
        <f t="shared" si="21"/>
        <v>216</v>
      </c>
      <c r="Q72" s="262">
        <f t="shared" si="21"/>
        <v>228</v>
      </c>
      <c r="R72" s="158">
        <f t="shared" si="21"/>
        <v>330</v>
      </c>
      <c r="S72" s="158">
        <f t="shared" si="21"/>
        <v>7</v>
      </c>
      <c r="T72" s="264">
        <f t="shared" si="21"/>
        <v>389</v>
      </c>
      <c r="U72" s="485">
        <f t="shared" si="21"/>
        <v>0</v>
      </c>
      <c r="V72" s="263">
        <f t="shared" si="21"/>
        <v>15818</v>
      </c>
      <c r="W72" s="405">
        <f t="shared" si="21"/>
        <v>41320</v>
      </c>
      <c r="X72" s="275">
        <f t="shared" si="21"/>
        <v>0</v>
      </c>
      <c r="Y72" s="276">
        <f>SUM(Y56:Y71)</f>
        <v>0</v>
      </c>
      <c r="Z72" s="261">
        <f t="shared" si="21"/>
        <v>84399</v>
      </c>
      <c r="AA72" s="210">
        <f t="shared" si="21"/>
        <v>25385</v>
      </c>
    </row>
    <row r="73" spans="1:28" ht="14.1" customHeight="1" x14ac:dyDescent="0.25">
      <c r="A73" s="136" t="s">
        <v>65</v>
      </c>
      <c r="B73" s="279" t="s">
        <v>326</v>
      </c>
      <c r="C73" s="280">
        <v>623</v>
      </c>
      <c r="D73" s="280">
        <v>377</v>
      </c>
      <c r="E73" s="280">
        <v>259</v>
      </c>
      <c r="F73" s="280">
        <v>8</v>
      </c>
      <c r="G73" s="280">
        <v>46</v>
      </c>
      <c r="H73" s="280">
        <v>0</v>
      </c>
      <c r="I73" s="280">
        <v>319</v>
      </c>
      <c r="J73" s="280">
        <v>216</v>
      </c>
      <c r="K73" s="280">
        <v>0</v>
      </c>
      <c r="L73" s="234">
        <f>SUM(C73:K73)</f>
        <v>1848</v>
      </c>
      <c r="M73" s="280">
        <v>618</v>
      </c>
      <c r="N73" s="280">
        <v>1245</v>
      </c>
      <c r="O73" s="280">
        <v>564</v>
      </c>
      <c r="P73" s="280">
        <v>47</v>
      </c>
      <c r="Q73" s="280">
        <v>112</v>
      </c>
      <c r="R73" s="280">
        <v>4</v>
      </c>
      <c r="S73" s="280">
        <v>0</v>
      </c>
      <c r="T73" s="280">
        <v>2</v>
      </c>
      <c r="U73" s="230">
        <v>0</v>
      </c>
      <c r="V73" s="256">
        <f>SUM(M73:U73)</f>
        <v>2592</v>
      </c>
      <c r="W73" s="250">
        <v>1123</v>
      </c>
      <c r="X73" s="280"/>
      <c r="Y73" s="237"/>
      <c r="Z73" s="247">
        <f>L73+V73+W73+X73+Y73</f>
        <v>5563</v>
      </c>
      <c r="AA73" s="218">
        <f t="shared" ref="AA73:AA88" si="22">C73+D73+F73+K73+M73+N73+P73+U73</f>
        <v>2918</v>
      </c>
    </row>
    <row r="74" spans="1:28" ht="14.1" customHeight="1" x14ac:dyDescent="0.25">
      <c r="A74" s="136" t="s">
        <v>81</v>
      </c>
      <c r="B74" s="137" t="s">
        <v>327</v>
      </c>
      <c r="C74" s="230">
        <v>1179</v>
      </c>
      <c r="D74" s="230">
        <v>406</v>
      </c>
      <c r="E74" s="230">
        <v>242</v>
      </c>
      <c r="F74" s="230">
        <v>88</v>
      </c>
      <c r="G74" s="230">
        <v>21</v>
      </c>
      <c r="H74" s="230">
        <v>0</v>
      </c>
      <c r="I74" s="230">
        <v>103</v>
      </c>
      <c r="J74" s="230">
        <v>80</v>
      </c>
      <c r="K74" s="230">
        <v>20</v>
      </c>
      <c r="L74" s="232">
        <f>SUM(C74:K74)</f>
        <v>2139</v>
      </c>
      <c r="M74" s="230">
        <v>1579</v>
      </c>
      <c r="N74" s="230">
        <v>1299</v>
      </c>
      <c r="O74" s="230">
        <v>453</v>
      </c>
      <c r="P74" s="230">
        <v>119</v>
      </c>
      <c r="Q74" s="230">
        <v>31</v>
      </c>
      <c r="R74" s="230">
        <v>0</v>
      </c>
      <c r="S74" s="230">
        <v>0</v>
      </c>
      <c r="T74" s="230">
        <v>26</v>
      </c>
      <c r="U74" s="230">
        <v>64</v>
      </c>
      <c r="V74" s="256">
        <f t="shared" ref="V74:V88" si="23">SUM(M74:U74)</f>
        <v>3571</v>
      </c>
      <c r="W74" s="248">
        <v>3785</v>
      </c>
      <c r="X74" s="230"/>
      <c r="Y74" s="233"/>
      <c r="Z74" s="247">
        <f t="shared" ref="Z74:Z88" si="24">L74+V74+W74+X74+Y74</f>
        <v>9495</v>
      </c>
      <c r="AA74" s="215">
        <f t="shared" si="22"/>
        <v>4754</v>
      </c>
    </row>
    <row r="75" spans="1:28" ht="14.1" customHeight="1" x14ac:dyDescent="0.25">
      <c r="A75" s="136" t="s">
        <v>87</v>
      </c>
      <c r="B75" s="137" t="s">
        <v>292</v>
      </c>
      <c r="C75" s="230">
        <v>1264</v>
      </c>
      <c r="D75" s="230">
        <v>1010</v>
      </c>
      <c r="E75" s="230">
        <v>795</v>
      </c>
      <c r="F75" s="230">
        <v>55</v>
      </c>
      <c r="G75" s="230">
        <v>32</v>
      </c>
      <c r="H75" s="230">
        <v>16</v>
      </c>
      <c r="I75" s="230">
        <v>22</v>
      </c>
      <c r="J75" s="230">
        <v>410</v>
      </c>
      <c r="K75" s="230">
        <v>0</v>
      </c>
      <c r="L75" s="232">
        <f t="shared" ref="L75:L88" si="25">SUM(C75:K75)</f>
        <v>3604</v>
      </c>
      <c r="M75" s="230">
        <v>627</v>
      </c>
      <c r="N75" s="230">
        <v>1084</v>
      </c>
      <c r="O75" s="230">
        <v>603</v>
      </c>
      <c r="P75" s="230">
        <v>37</v>
      </c>
      <c r="Q75" s="230">
        <v>19</v>
      </c>
      <c r="R75" s="230">
        <v>0</v>
      </c>
      <c r="S75" s="230">
        <v>0</v>
      </c>
      <c r="T75" s="230">
        <v>181</v>
      </c>
      <c r="U75" s="230">
        <v>0</v>
      </c>
      <c r="V75" s="256">
        <f t="shared" si="23"/>
        <v>2551</v>
      </c>
      <c r="W75" s="248">
        <v>352</v>
      </c>
      <c r="X75" s="230"/>
      <c r="Y75" s="233"/>
      <c r="Z75" s="247">
        <f t="shared" si="24"/>
        <v>6507</v>
      </c>
      <c r="AA75" s="215">
        <f t="shared" si="22"/>
        <v>4077</v>
      </c>
    </row>
    <row r="76" spans="1:28" ht="14.1" customHeight="1" x14ac:dyDescent="0.25">
      <c r="A76" s="136" t="s">
        <v>92</v>
      </c>
      <c r="B76" s="137" t="s">
        <v>328</v>
      </c>
      <c r="C76" s="230">
        <v>354</v>
      </c>
      <c r="D76" s="230">
        <v>68</v>
      </c>
      <c r="E76" s="230">
        <v>65</v>
      </c>
      <c r="F76" s="230">
        <v>7</v>
      </c>
      <c r="G76" s="230">
        <v>7</v>
      </c>
      <c r="H76" s="230">
        <v>0</v>
      </c>
      <c r="I76" s="230">
        <v>135</v>
      </c>
      <c r="J76" s="230">
        <v>20</v>
      </c>
      <c r="K76" s="230">
        <v>0</v>
      </c>
      <c r="L76" s="232">
        <f t="shared" si="25"/>
        <v>656</v>
      </c>
      <c r="M76" s="230">
        <v>629</v>
      </c>
      <c r="N76" s="230">
        <v>472</v>
      </c>
      <c r="O76" s="230">
        <v>426</v>
      </c>
      <c r="P76" s="230">
        <v>52</v>
      </c>
      <c r="Q76" s="230">
        <v>12</v>
      </c>
      <c r="R76" s="230">
        <v>0</v>
      </c>
      <c r="S76" s="230">
        <v>0</v>
      </c>
      <c r="T76" s="230">
        <v>0</v>
      </c>
      <c r="U76" s="230">
        <v>80</v>
      </c>
      <c r="V76" s="256">
        <f t="shared" si="23"/>
        <v>1671</v>
      </c>
      <c r="W76" s="248">
        <v>983</v>
      </c>
      <c r="X76" s="230"/>
      <c r="Y76" s="233"/>
      <c r="Z76" s="247">
        <f t="shared" si="24"/>
        <v>3310</v>
      </c>
      <c r="AA76" s="215">
        <f t="shared" si="22"/>
        <v>1662</v>
      </c>
    </row>
    <row r="77" spans="1:28" ht="14.1" customHeight="1" x14ac:dyDescent="0.25">
      <c r="A77" s="136" t="s">
        <v>96</v>
      </c>
      <c r="B77" s="137" t="s">
        <v>293</v>
      </c>
      <c r="C77" s="230">
        <v>4697</v>
      </c>
      <c r="D77" s="230">
        <v>1515</v>
      </c>
      <c r="E77" s="230">
        <v>2349</v>
      </c>
      <c r="F77" s="230">
        <v>207</v>
      </c>
      <c r="G77" s="230">
        <v>91</v>
      </c>
      <c r="H77" s="230">
        <v>2</v>
      </c>
      <c r="I77" s="230">
        <v>675</v>
      </c>
      <c r="J77" s="230">
        <v>941</v>
      </c>
      <c r="K77" s="230">
        <v>0</v>
      </c>
      <c r="L77" s="232">
        <f t="shared" si="25"/>
        <v>10477</v>
      </c>
      <c r="M77" s="230">
        <v>771</v>
      </c>
      <c r="N77" s="230">
        <v>730</v>
      </c>
      <c r="O77" s="230">
        <v>929</v>
      </c>
      <c r="P77" s="230">
        <v>36</v>
      </c>
      <c r="Q77" s="230">
        <v>39</v>
      </c>
      <c r="R77" s="230">
        <v>108</v>
      </c>
      <c r="S77" s="230">
        <v>0</v>
      </c>
      <c r="T77" s="230">
        <v>94</v>
      </c>
      <c r="U77" s="230">
        <v>0</v>
      </c>
      <c r="V77" s="256">
        <f t="shared" si="23"/>
        <v>2707</v>
      </c>
      <c r="W77" s="248">
        <v>452</v>
      </c>
      <c r="X77" s="230"/>
      <c r="Y77" s="233"/>
      <c r="Z77" s="247">
        <f t="shared" si="24"/>
        <v>13636</v>
      </c>
      <c r="AA77" s="215">
        <f t="shared" si="22"/>
        <v>7956</v>
      </c>
    </row>
    <row r="78" spans="1:28" ht="14.1" customHeight="1" x14ac:dyDescent="0.25">
      <c r="A78" s="136" t="s">
        <v>100</v>
      </c>
      <c r="B78" s="137" t="s">
        <v>295</v>
      </c>
      <c r="C78" s="230">
        <v>1564</v>
      </c>
      <c r="D78" s="230">
        <v>227</v>
      </c>
      <c r="E78" s="230">
        <v>281</v>
      </c>
      <c r="F78" s="230">
        <v>69</v>
      </c>
      <c r="G78" s="230">
        <v>15</v>
      </c>
      <c r="H78" s="230">
        <v>0</v>
      </c>
      <c r="I78" s="230">
        <v>0</v>
      </c>
      <c r="J78" s="230">
        <v>75</v>
      </c>
      <c r="K78" s="230">
        <v>0</v>
      </c>
      <c r="L78" s="232">
        <f t="shared" si="25"/>
        <v>2231</v>
      </c>
      <c r="M78" s="230">
        <v>673</v>
      </c>
      <c r="N78" s="230">
        <v>833</v>
      </c>
      <c r="O78" s="230">
        <v>646</v>
      </c>
      <c r="P78" s="230">
        <v>50</v>
      </c>
      <c r="Q78" s="230">
        <v>9</v>
      </c>
      <c r="R78" s="230">
        <v>0</v>
      </c>
      <c r="S78" s="230">
        <v>0</v>
      </c>
      <c r="T78" s="230">
        <v>0</v>
      </c>
      <c r="U78" s="230">
        <v>0</v>
      </c>
      <c r="V78" s="256">
        <f t="shared" si="23"/>
        <v>2211</v>
      </c>
      <c r="W78" s="248">
        <v>222</v>
      </c>
      <c r="X78" s="230"/>
      <c r="Y78" s="233"/>
      <c r="Z78" s="247">
        <f t="shared" si="24"/>
        <v>4664</v>
      </c>
      <c r="AA78" s="215">
        <f t="shared" si="22"/>
        <v>3416</v>
      </c>
    </row>
    <row r="79" spans="1:28" ht="14.1" customHeight="1" x14ac:dyDescent="0.25">
      <c r="A79" s="136" t="s">
        <v>108</v>
      </c>
      <c r="B79" s="137" t="s">
        <v>296</v>
      </c>
      <c r="C79" s="230">
        <v>644</v>
      </c>
      <c r="D79" s="230">
        <v>342</v>
      </c>
      <c r="E79" s="230">
        <v>208</v>
      </c>
      <c r="F79" s="230">
        <v>95</v>
      </c>
      <c r="G79" s="230">
        <v>40</v>
      </c>
      <c r="H79" s="230">
        <v>0</v>
      </c>
      <c r="I79" s="230">
        <v>0</v>
      </c>
      <c r="J79" s="230">
        <v>112</v>
      </c>
      <c r="K79" s="230">
        <v>0</v>
      </c>
      <c r="L79" s="232">
        <f t="shared" si="25"/>
        <v>1441</v>
      </c>
      <c r="M79" s="230">
        <v>413</v>
      </c>
      <c r="N79" s="230">
        <v>776</v>
      </c>
      <c r="O79" s="230">
        <v>346</v>
      </c>
      <c r="P79" s="230">
        <v>44</v>
      </c>
      <c r="Q79" s="230">
        <v>10</v>
      </c>
      <c r="R79" s="230">
        <v>0</v>
      </c>
      <c r="S79" s="230">
        <v>0</v>
      </c>
      <c r="T79" s="230">
        <v>0</v>
      </c>
      <c r="U79" s="230">
        <v>0</v>
      </c>
      <c r="V79" s="256">
        <f t="shared" si="23"/>
        <v>1589</v>
      </c>
      <c r="W79" s="248">
        <v>270</v>
      </c>
      <c r="X79" s="230"/>
      <c r="Y79" s="233"/>
      <c r="Z79" s="247">
        <f t="shared" si="24"/>
        <v>3300</v>
      </c>
      <c r="AA79" s="215">
        <f t="shared" si="22"/>
        <v>2314</v>
      </c>
    </row>
    <row r="80" spans="1:28" ht="14.1" customHeight="1" x14ac:dyDescent="0.25">
      <c r="A80" s="136" t="s">
        <v>109</v>
      </c>
      <c r="B80" s="137" t="s">
        <v>329</v>
      </c>
      <c r="C80" s="230">
        <v>505</v>
      </c>
      <c r="D80" s="230">
        <v>468</v>
      </c>
      <c r="E80" s="230">
        <v>512</v>
      </c>
      <c r="F80" s="230">
        <v>37</v>
      </c>
      <c r="G80" s="230">
        <v>10</v>
      </c>
      <c r="H80" s="230">
        <v>0</v>
      </c>
      <c r="I80" s="230">
        <v>25</v>
      </c>
      <c r="J80" s="230">
        <v>366</v>
      </c>
      <c r="K80" s="230">
        <v>0</v>
      </c>
      <c r="L80" s="232">
        <f t="shared" si="25"/>
        <v>1923</v>
      </c>
      <c r="M80" s="230">
        <v>836</v>
      </c>
      <c r="N80" s="230">
        <v>1029</v>
      </c>
      <c r="O80" s="230">
        <v>719</v>
      </c>
      <c r="P80" s="230">
        <v>78</v>
      </c>
      <c r="Q80" s="230">
        <v>22</v>
      </c>
      <c r="R80" s="230">
        <v>24</v>
      </c>
      <c r="S80" s="230">
        <v>0</v>
      </c>
      <c r="T80" s="230">
        <v>0</v>
      </c>
      <c r="U80" s="230">
        <v>0</v>
      </c>
      <c r="V80" s="256">
        <f t="shared" si="23"/>
        <v>2708</v>
      </c>
      <c r="W80" s="248">
        <v>354</v>
      </c>
      <c r="X80" s="230"/>
      <c r="Y80" s="233"/>
      <c r="Z80" s="247">
        <f t="shared" si="24"/>
        <v>4985</v>
      </c>
      <c r="AA80" s="215">
        <f t="shared" si="22"/>
        <v>2953</v>
      </c>
    </row>
    <row r="81" spans="1:28" ht="14.1" customHeight="1" x14ac:dyDescent="0.25">
      <c r="A81" s="136" t="s">
        <v>124</v>
      </c>
      <c r="B81" s="137" t="s">
        <v>330</v>
      </c>
      <c r="C81" s="230">
        <v>1153</v>
      </c>
      <c r="D81" s="230">
        <v>782</v>
      </c>
      <c r="E81" s="230">
        <v>268</v>
      </c>
      <c r="F81" s="230">
        <v>49</v>
      </c>
      <c r="G81" s="230">
        <v>66</v>
      </c>
      <c r="H81" s="230">
        <v>0</v>
      </c>
      <c r="I81" s="230">
        <v>0</v>
      </c>
      <c r="J81" s="230">
        <v>53</v>
      </c>
      <c r="K81" s="230">
        <v>10</v>
      </c>
      <c r="L81" s="232">
        <f t="shared" si="25"/>
        <v>2381</v>
      </c>
      <c r="M81" s="230">
        <v>453</v>
      </c>
      <c r="N81" s="230">
        <v>853</v>
      </c>
      <c r="O81" s="230">
        <v>224</v>
      </c>
      <c r="P81" s="230">
        <v>30</v>
      </c>
      <c r="Q81" s="230">
        <v>50</v>
      </c>
      <c r="R81" s="230">
        <v>0</v>
      </c>
      <c r="S81" s="230">
        <v>0</v>
      </c>
      <c r="T81" s="230">
        <v>6</v>
      </c>
      <c r="U81" s="230">
        <v>26</v>
      </c>
      <c r="V81" s="256">
        <f t="shared" si="23"/>
        <v>1642</v>
      </c>
      <c r="W81" s="248">
        <v>389</v>
      </c>
      <c r="X81" s="238"/>
      <c r="Y81" s="233"/>
      <c r="Z81" s="247">
        <f t="shared" si="24"/>
        <v>4412</v>
      </c>
      <c r="AA81" s="215">
        <f t="shared" si="22"/>
        <v>3356</v>
      </c>
    </row>
    <row r="82" spans="1:28" ht="14.1" customHeight="1" x14ac:dyDescent="0.25">
      <c r="A82" s="136" t="s">
        <v>126</v>
      </c>
      <c r="B82" s="137" t="s">
        <v>331</v>
      </c>
      <c r="C82" s="230">
        <v>715</v>
      </c>
      <c r="D82" s="230">
        <v>264</v>
      </c>
      <c r="E82" s="230">
        <v>188</v>
      </c>
      <c r="F82" s="230">
        <v>25</v>
      </c>
      <c r="G82" s="230">
        <v>20</v>
      </c>
      <c r="H82" s="230">
        <v>0</v>
      </c>
      <c r="I82" s="230">
        <v>0</v>
      </c>
      <c r="J82" s="230">
        <v>211</v>
      </c>
      <c r="K82" s="230">
        <v>0</v>
      </c>
      <c r="L82" s="232">
        <f t="shared" si="25"/>
        <v>1423</v>
      </c>
      <c r="M82" s="230">
        <v>1126</v>
      </c>
      <c r="N82" s="230">
        <v>2157</v>
      </c>
      <c r="O82" s="230">
        <v>842</v>
      </c>
      <c r="P82" s="230">
        <v>127</v>
      </c>
      <c r="Q82" s="230">
        <v>69</v>
      </c>
      <c r="R82" s="230">
        <v>0</v>
      </c>
      <c r="S82" s="230">
        <v>0</v>
      </c>
      <c r="T82" s="230">
        <v>147</v>
      </c>
      <c r="U82" s="230">
        <v>25</v>
      </c>
      <c r="V82" s="256">
        <f t="shared" si="23"/>
        <v>4493</v>
      </c>
      <c r="W82" s="248">
        <v>926</v>
      </c>
      <c r="X82" s="230"/>
      <c r="Y82" s="233"/>
      <c r="Z82" s="247">
        <f t="shared" si="24"/>
        <v>6842</v>
      </c>
      <c r="AA82" s="215">
        <f t="shared" si="22"/>
        <v>4439</v>
      </c>
    </row>
    <row r="83" spans="1:28" ht="14.1" customHeight="1" x14ac:dyDescent="0.25">
      <c r="A83" s="136" t="s">
        <v>132</v>
      </c>
      <c r="B83" s="137" t="s">
        <v>298</v>
      </c>
      <c r="C83" s="230">
        <v>2017</v>
      </c>
      <c r="D83" s="230">
        <v>2313</v>
      </c>
      <c r="E83" s="230">
        <v>742</v>
      </c>
      <c r="F83" s="230">
        <v>112</v>
      </c>
      <c r="G83" s="230">
        <v>106</v>
      </c>
      <c r="H83" s="230">
        <v>0</v>
      </c>
      <c r="I83" s="230">
        <v>104</v>
      </c>
      <c r="J83" s="230">
        <v>290</v>
      </c>
      <c r="K83" s="230">
        <v>0</v>
      </c>
      <c r="L83" s="232">
        <f t="shared" si="25"/>
        <v>5684</v>
      </c>
      <c r="M83" s="230">
        <v>1515</v>
      </c>
      <c r="N83" s="230">
        <v>1710</v>
      </c>
      <c r="O83" s="230">
        <v>1361</v>
      </c>
      <c r="P83" s="230">
        <v>74</v>
      </c>
      <c r="Q83" s="230">
        <v>30</v>
      </c>
      <c r="R83" s="230">
        <v>60</v>
      </c>
      <c r="S83" s="230">
        <v>0</v>
      </c>
      <c r="T83" s="230">
        <v>10</v>
      </c>
      <c r="U83" s="230">
        <v>0</v>
      </c>
      <c r="V83" s="256">
        <f t="shared" si="23"/>
        <v>4760</v>
      </c>
      <c r="W83" s="248">
        <v>1082</v>
      </c>
      <c r="X83" s="230"/>
      <c r="Y83" s="233"/>
      <c r="Z83" s="247">
        <f t="shared" si="24"/>
        <v>11526</v>
      </c>
      <c r="AA83" s="215">
        <f t="shared" si="22"/>
        <v>7741</v>
      </c>
    </row>
    <row r="84" spans="1:28" ht="14.1" customHeight="1" x14ac:dyDescent="0.25">
      <c r="A84" s="136" t="s">
        <v>137</v>
      </c>
      <c r="B84" s="137" t="s">
        <v>299</v>
      </c>
      <c r="C84" s="230">
        <v>490</v>
      </c>
      <c r="D84" s="230">
        <v>470</v>
      </c>
      <c r="E84" s="230">
        <v>132</v>
      </c>
      <c r="F84" s="230">
        <v>38</v>
      </c>
      <c r="G84" s="230">
        <v>40</v>
      </c>
      <c r="H84" s="230">
        <v>0</v>
      </c>
      <c r="I84" s="230">
        <v>0</v>
      </c>
      <c r="J84" s="230">
        <v>136</v>
      </c>
      <c r="K84" s="230">
        <v>0</v>
      </c>
      <c r="L84" s="232">
        <f t="shared" si="25"/>
        <v>1306</v>
      </c>
      <c r="M84" s="230">
        <v>1746</v>
      </c>
      <c r="N84" s="230">
        <v>1487</v>
      </c>
      <c r="O84" s="230">
        <v>1282</v>
      </c>
      <c r="P84" s="230">
        <v>78</v>
      </c>
      <c r="Q84" s="230">
        <v>76</v>
      </c>
      <c r="R84" s="230">
        <v>0</v>
      </c>
      <c r="S84" s="230">
        <v>0</v>
      </c>
      <c r="T84" s="230">
        <v>18</v>
      </c>
      <c r="U84" s="230">
        <v>0</v>
      </c>
      <c r="V84" s="256">
        <f t="shared" si="23"/>
        <v>4687</v>
      </c>
      <c r="W84" s="248">
        <v>664</v>
      </c>
      <c r="X84" s="230"/>
      <c r="Y84" s="233"/>
      <c r="Z84" s="247">
        <f t="shared" si="24"/>
        <v>6657</v>
      </c>
      <c r="AA84" s="215">
        <f t="shared" si="22"/>
        <v>4309</v>
      </c>
    </row>
    <row r="85" spans="1:28" ht="14.1" customHeight="1" x14ac:dyDescent="0.25">
      <c r="A85" s="136" t="s">
        <v>148</v>
      </c>
      <c r="B85" s="137" t="s">
        <v>300</v>
      </c>
      <c r="C85" s="230">
        <v>380</v>
      </c>
      <c r="D85" s="230">
        <v>402</v>
      </c>
      <c r="E85" s="230">
        <v>193</v>
      </c>
      <c r="F85" s="230">
        <v>27</v>
      </c>
      <c r="G85" s="230">
        <v>12</v>
      </c>
      <c r="H85" s="230">
        <v>0</v>
      </c>
      <c r="I85" s="230">
        <v>58</v>
      </c>
      <c r="J85" s="230">
        <v>98</v>
      </c>
      <c r="K85" s="230">
        <v>0</v>
      </c>
      <c r="L85" s="232">
        <f t="shared" si="25"/>
        <v>1170</v>
      </c>
      <c r="M85" s="230">
        <v>827</v>
      </c>
      <c r="N85" s="230">
        <v>651</v>
      </c>
      <c r="O85" s="230">
        <v>647</v>
      </c>
      <c r="P85" s="230">
        <v>17</v>
      </c>
      <c r="Q85" s="230">
        <v>20</v>
      </c>
      <c r="R85" s="230">
        <v>19</v>
      </c>
      <c r="S85" s="230">
        <v>0</v>
      </c>
      <c r="T85" s="230">
        <v>31</v>
      </c>
      <c r="U85" s="230">
        <v>0</v>
      </c>
      <c r="V85" s="256">
        <f t="shared" si="23"/>
        <v>2212</v>
      </c>
      <c r="W85" s="248">
        <v>226</v>
      </c>
      <c r="X85" s="230"/>
      <c r="Y85" s="233"/>
      <c r="Z85" s="247">
        <f t="shared" si="24"/>
        <v>3608</v>
      </c>
      <c r="AA85" s="215">
        <f t="shared" si="22"/>
        <v>2304</v>
      </c>
    </row>
    <row r="86" spans="1:28" ht="14.1" customHeight="1" x14ac:dyDescent="0.25">
      <c r="A86" s="136" t="s">
        <v>169</v>
      </c>
      <c r="B86" s="137" t="s">
        <v>301</v>
      </c>
      <c r="C86" s="230">
        <v>485</v>
      </c>
      <c r="D86" s="230">
        <v>207</v>
      </c>
      <c r="E86" s="230">
        <v>187</v>
      </c>
      <c r="F86" s="230">
        <v>22</v>
      </c>
      <c r="G86" s="230">
        <v>38</v>
      </c>
      <c r="H86" s="230">
        <v>0</v>
      </c>
      <c r="I86" s="230">
        <v>10</v>
      </c>
      <c r="J86" s="230">
        <v>47</v>
      </c>
      <c r="K86" s="230">
        <v>0</v>
      </c>
      <c r="L86" s="232">
        <f t="shared" si="25"/>
        <v>996</v>
      </c>
      <c r="M86" s="230">
        <v>247</v>
      </c>
      <c r="N86" s="230">
        <v>430</v>
      </c>
      <c r="O86" s="230">
        <v>157</v>
      </c>
      <c r="P86" s="230">
        <v>31</v>
      </c>
      <c r="Q86" s="230">
        <v>37</v>
      </c>
      <c r="R86" s="230">
        <v>0</v>
      </c>
      <c r="S86" s="230">
        <v>0</v>
      </c>
      <c r="T86" s="230">
        <v>0</v>
      </c>
      <c r="U86" s="230">
        <v>0</v>
      </c>
      <c r="V86" s="256">
        <f t="shared" si="23"/>
        <v>902</v>
      </c>
      <c r="W86" s="251"/>
      <c r="X86" s="230"/>
      <c r="Y86" s="233"/>
      <c r="Z86" s="247">
        <f t="shared" si="24"/>
        <v>1898</v>
      </c>
      <c r="AA86" s="215">
        <f t="shared" si="22"/>
        <v>1422</v>
      </c>
    </row>
    <row r="87" spans="1:28" ht="14.1" customHeight="1" x14ac:dyDescent="0.25">
      <c r="A87" s="136" t="s">
        <v>172</v>
      </c>
      <c r="B87" s="137" t="s">
        <v>333</v>
      </c>
      <c r="C87" s="230">
        <v>13673</v>
      </c>
      <c r="D87" s="230">
        <v>2940</v>
      </c>
      <c r="E87" s="230">
        <v>1505</v>
      </c>
      <c r="F87" s="230">
        <v>401</v>
      </c>
      <c r="G87" s="230">
        <v>142</v>
      </c>
      <c r="H87" s="230">
        <v>0</v>
      </c>
      <c r="I87" s="230">
        <v>914</v>
      </c>
      <c r="J87" s="230">
        <v>737</v>
      </c>
      <c r="K87" s="230">
        <v>0</v>
      </c>
      <c r="L87" s="232">
        <f t="shared" si="25"/>
        <v>20312</v>
      </c>
      <c r="M87" s="230">
        <v>2912</v>
      </c>
      <c r="N87" s="230">
        <v>2401</v>
      </c>
      <c r="O87" s="230">
        <v>731</v>
      </c>
      <c r="P87" s="230">
        <v>145</v>
      </c>
      <c r="Q87" s="230">
        <v>101</v>
      </c>
      <c r="R87" s="230">
        <v>104</v>
      </c>
      <c r="S87" s="230">
        <v>0</v>
      </c>
      <c r="T87" s="230">
        <v>44</v>
      </c>
      <c r="U87" s="230">
        <v>0</v>
      </c>
      <c r="V87" s="256">
        <f t="shared" si="23"/>
        <v>6438</v>
      </c>
      <c r="W87" s="249"/>
      <c r="X87" s="230"/>
      <c r="Y87" s="233"/>
      <c r="Z87" s="247">
        <f t="shared" si="24"/>
        <v>26750</v>
      </c>
      <c r="AA87" s="215">
        <f t="shared" si="22"/>
        <v>22472</v>
      </c>
    </row>
    <row r="88" spans="1:28" ht="14.1" customHeight="1" thickBot="1" x14ac:dyDescent="0.3">
      <c r="A88" s="136" t="s">
        <v>175</v>
      </c>
      <c r="B88" s="137" t="s">
        <v>334</v>
      </c>
      <c r="C88" s="265">
        <v>216</v>
      </c>
      <c r="D88" s="265">
        <v>120</v>
      </c>
      <c r="E88" s="265">
        <v>55</v>
      </c>
      <c r="F88" s="265">
        <v>10</v>
      </c>
      <c r="G88" s="265">
        <v>10</v>
      </c>
      <c r="H88" s="265">
        <v>0</v>
      </c>
      <c r="I88" s="265">
        <v>0</v>
      </c>
      <c r="J88" s="265">
        <v>35</v>
      </c>
      <c r="K88" s="265">
        <v>0</v>
      </c>
      <c r="L88" s="239">
        <f t="shared" si="25"/>
        <v>446</v>
      </c>
      <c r="M88" s="265">
        <v>1897</v>
      </c>
      <c r="N88" s="265">
        <v>711</v>
      </c>
      <c r="O88" s="265">
        <v>948</v>
      </c>
      <c r="P88" s="265">
        <v>51</v>
      </c>
      <c r="Q88" s="265">
        <v>31</v>
      </c>
      <c r="R88" s="265">
        <v>0</v>
      </c>
      <c r="S88" s="265">
        <v>0</v>
      </c>
      <c r="T88" s="265">
        <v>0</v>
      </c>
      <c r="U88" s="265">
        <v>0</v>
      </c>
      <c r="V88" s="256">
        <f t="shared" si="23"/>
        <v>3638</v>
      </c>
      <c r="W88" s="252">
        <v>1440</v>
      </c>
      <c r="X88" s="265"/>
      <c r="Y88" s="235"/>
      <c r="Z88" s="278">
        <f t="shared" si="24"/>
        <v>5524</v>
      </c>
      <c r="AA88" s="215">
        <f t="shared" si="22"/>
        <v>3005</v>
      </c>
    </row>
    <row r="89" spans="1:28" s="109" customFormat="1" ht="14.1" customHeight="1" thickBot="1" x14ac:dyDescent="0.3">
      <c r="A89" s="134"/>
      <c r="B89" s="159" t="s">
        <v>461</v>
      </c>
      <c r="C89" s="258">
        <f t="shared" ref="C89:AA89" si="26">SUM(C73:C88)</f>
        <v>29959</v>
      </c>
      <c r="D89" s="166">
        <f t="shared" si="26"/>
        <v>11911</v>
      </c>
      <c r="E89" s="362">
        <f t="shared" si="26"/>
        <v>7981</v>
      </c>
      <c r="F89" s="157">
        <f t="shared" si="26"/>
        <v>1250</v>
      </c>
      <c r="G89" s="157">
        <f t="shared" si="26"/>
        <v>696</v>
      </c>
      <c r="H89" s="157">
        <f t="shared" si="26"/>
        <v>18</v>
      </c>
      <c r="I89" s="166">
        <f t="shared" si="26"/>
        <v>2365</v>
      </c>
      <c r="J89" s="365">
        <f t="shared" si="26"/>
        <v>3827</v>
      </c>
      <c r="K89" s="463">
        <f t="shared" si="26"/>
        <v>30</v>
      </c>
      <c r="L89" s="260">
        <f t="shared" si="26"/>
        <v>58037</v>
      </c>
      <c r="M89" s="262">
        <f t="shared" si="26"/>
        <v>16869</v>
      </c>
      <c r="N89" s="158">
        <f t="shared" si="26"/>
        <v>17868</v>
      </c>
      <c r="O89" s="158">
        <f t="shared" si="26"/>
        <v>10878</v>
      </c>
      <c r="P89" s="158">
        <f t="shared" si="26"/>
        <v>1016</v>
      </c>
      <c r="Q89" s="158">
        <f t="shared" si="26"/>
        <v>668</v>
      </c>
      <c r="R89" s="158">
        <f t="shared" si="26"/>
        <v>319</v>
      </c>
      <c r="S89" s="158">
        <f t="shared" si="26"/>
        <v>0</v>
      </c>
      <c r="T89" s="158">
        <f t="shared" si="26"/>
        <v>559</v>
      </c>
      <c r="U89" s="264">
        <f t="shared" si="26"/>
        <v>195</v>
      </c>
      <c r="V89" s="260">
        <f t="shared" si="26"/>
        <v>48372</v>
      </c>
      <c r="W89" s="275">
        <f t="shared" si="26"/>
        <v>12268</v>
      </c>
      <c r="X89" s="210">
        <f t="shared" si="26"/>
        <v>0</v>
      </c>
      <c r="Y89" s="210">
        <f>SUM(Y73:Y88)</f>
        <v>0</v>
      </c>
      <c r="Z89" s="276">
        <f t="shared" si="26"/>
        <v>118677</v>
      </c>
      <c r="AA89" s="261">
        <f t="shared" si="26"/>
        <v>79098</v>
      </c>
    </row>
    <row r="90" spans="1:28" ht="14.1" customHeight="1" x14ac:dyDescent="0.25">
      <c r="A90" s="136" t="s">
        <v>67</v>
      </c>
      <c r="B90" s="137" t="s">
        <v>346</v>
      </c>
      <c r="C90" s="280">
        <v>359</v>
      </c>
      <c r="D90" s="280">
        <v>153</v>
      </c>
      <c r="E90" s="280">
        <v>99</v>
      </c>
      <c r="F90" s="280">
        <v>37</v>
      </c>
      <c r="G90" s="280">
        <v>6</v>
      </c>
      <c r="H90" s="280">
        <v>0</v>
      </c>
      <c r="I90" s="280">
        <v>0</v>
      </c>
      <c r="J90" s="280">
        <v>170</v>
      </c>
      <c r="K90" s="280">
        <v>0</v>
      </c>
      <c r="L90" s="234">
        <f t="shared" ref="L90:L105" si="27">SUM(C90:K90)</f>
        <v>824</v>
      </c>
      <c r="M90" s="280">
        <v>634</v>
      </c>
      <c r="N90" s="280">
        <v>868</v>
      </c>
      <c r="O90" s="280">
        <v>288</v>
      </c>
      <c r="P90" s="280">
        <v>31</v>
      </c>
      <c r="Q90" s="280">
        <v>20</v>
      </c>
      <c r="R90" s="280">
        <v>0</v>
      </c>
      <c r="S90" s="280">
        <v>0</v>
      </c>
      <c r="T90" s="280">
        <v>0</v>
      </c>
      <c r="U90" s="374"/>
      <c r="V90" s="256">
        <f t="shared" ref="V90:V105" si="28">SUM(M90:U90)</f>
        <v>1841</v>
      </c>
      <c r="W90" s="250">
        <v>458</v>
      </c>
      <c r="X90" s="237"/>
      <c r="Y90" s="237"/>
      <c r="Z90" s="247">
        <f>L90+V90+W90+X90+Y90</f>
        <v>3123</v>
      </c>
      <c r="AA90" s="215">
        <f t="shared" ref="AA90:AA105" si="29">C90+D90+F90+K90+M90+N90+P90+U90</f>
        <v>2082</v>
      </c>
    </row>
    <row r="91" spans="1:28" ht="14.1" customHeight="1" x14ac:dyDescent="0.25">
      <c r="A91" s="136" t="s">
        <v>76</v>
      </c>
      <c r="B91" s="137" t="s">
        <v>290</v>
      </c>
      <c r="C91" s="230">
        <v>424</v>
      </c>
      <c r="D91" s="230">
        <v>256</v>
      </c>
      <c r="E91" s="230">
        <v>278</v>
      </c>
      <c r="F91" s="230">
        <v>18</v>
      </c>
      <c r="G91" s="230">
        <v>23</v>
      </c>
      <c r="H91" s="230">
        <v>0</v>
      </c>
      <c r="I91" s="230">
        <v>144</v>
      </c>
      <c r="J91" s="230">
        <v>119</v>
      </c>
      <c r="K91" s="230">
        <v>0</v>
      </c>
      <c r="L91" s="232">
        <f t="shared" si="27"/>
        <v>1262</v>
      </c>
      <c r="M91" s="230">
        <v>460</v>
      </c>
      <c r="N91" s="230">
        <v>463</v>
      </c>
      <c r="O91" s="230">
        <v>510</v>
      </c>
      <c r="P91" s="230">
        <v>3</v>
      </c>
      <c r="Q91" s="230">
        <v>7</v>
      </c>
      <c r="R91" s="230">
        <v>0</v>
      </c>
      <c r="S91" s="230">
        <v>0</v>
      </c>
      <c r="T91" s="230">
        <v>168</v>
      </c>
      <c r="U91" s="340"/>
      <c r="V91" s="256">
        <f t="shared" si="28"/>
        <v>1611</v>
      </c>
      <c r="W91" s="248">
        <v>2998</v>
      </c>
      <c r="X91" s="233"/>
      <c r="Y91" s="233"/>
      <c r="Z91" s="247">
        <f t="shared" ref="Z91:Z105" si="30">L91+V91+W91+X91+Y91</f>
        <v>5871</v>
      </c>
      <c r="AA91" s="215">
        <f t="shared" si="29"/>
        <v>1624</v>
      </c>
      <c r="AB91" s="142">
        <f>L91+V91</f>
        <v>2873</v>
      </c>
    </row>
    <row r="92" spans="1:28" ht="14.1" customHeight="1" x14ac:dyDescent="0.25">
      <c r="A92" s="136" t="s">
        <v>79</v>
      </c>
      <c r="B92" s="137" t="s">
        <v>347</v>
      </c>
      <c r="C92" s="230">
        <v>1181</v>
      </c>
      <c r="D92" s="230">
        <v>414</v>
      </c>
      <c r="E92" s="230">
        <v>236</v>
      </c>
      <c r="F92" s="230">
        <v>84</v>
      </c>
      <c r="G92" s="230">
        <v>32</v>
      </c>
      <c r="H92" s="230">
        <v>0</v>
      </c>
      <c r="I92" s="230">
        <v>0</v>
      </c>
      <c r="J92" s="230">
        <v>350</v>
      </c>
      <c r="K92" s="230">
        <v>0</v>
      </c>
      <c r="L92" s="232">
        <f t="shared" si="27"/>
        <v>2297</v>
      </c>
      <c r="M92" s="230">
        <v>1032</v>
      </c>
      <c r="N92" s="230">
        <v>574</v>
      </c>
      <c r="O92" s="230">
        <v>307</v>
      </c>
      <c r="P92" s="230">
        <v>94</v>
      </c>
      <c r="Q92" s="230">
        <v>4</v>
      </c>
      <c r="R92" s="230">
        <v>6</v>
      </c>
      <c r="S92" s="230">
        <v>0</v>
      </c>
      <c r="T92" s="230">
        <v>5</v>
      </c>
      <c r="U92" s="340"/>
      <c r="V92" s="256">
        <f t="shared" si="28"/>
        <v>2022</v>
      </c>
      <c r="W92" s="248">
        <v>354</v>
      </c>
      <c r="X92" s="233"/>
      <c r="Y92" s="233"/>
      <c r="Z92" s="247">
        <f t="shared" si="30"/>
        <v>4673</v>
      </c>
      <c r="AA92" s="215">
        <f t="shared" si="29"/>
        <v>3379</v>
      </c>
    </row>
    <row r="93" spans="1:28" ht="14.1" customHeight="1" x14ac:dyDescent="0.25">
      <c r="A93" s="136" t="s">
        <v>83</v>
      </c>
      <c r="B93" s="137" t="s">
        <v>291</v>
      </c>
      <c r="C93" s="230">
        <v>3815</v>
      </c>
      <c r="D93" s="230">
        <v>4491</v>
      </c>
      <c r="E93" s="230">
        <v>1226</v>
      </c>
      <c r="F93" s="230">
        <v>78</v>
      </c>
      <c r="G93" s="230">
        <v>211</v>
      </c>
      <c r="H93" s="230">
        <v>2</v>
      </c>
      <c r="I93" s="230">
        <v>31</v>
      </c>
      <c r="J93" s="230">
        <v>660</v>
      </c>
      <c r="K93" s="230">
        <v>0</v>
      </c>
      <c r="L93" s="232">
        <f t="shared" si="27"/>
        <v>10514</v>
      </c>
      <c r="M93" s="230">
        <v>2021</v>
      </c>
      <c r="N93" s="230">
        <v>2487</v>
      </c>
      <c r="O93" s="230">
        <v>1372</v>
      </c>
      <c r="P93" s="230">
        <v>43</v>
      </c>
      <c r="Q93" s="230">
        <v>76</v>
      </c>
      <c r="R93" s="230">
        <v>75</v>
      </c>
      <c r="S93" s="230">
        <v>0</v>
      </c>
      <c r="T93" s="230">
        <v>0</v>
      </c>
      <c r="U93" s="340"/>
      <c r="V93" s="256">
        <f t="shared" si="28"/>
        <v>6074</v>
      </c>
      <c r="W93" s="251"/>
      <c r="X93" s="233"/>
      <c r="Y93" s="233"/>
      <c r="Z93" s="247">
        <f t="shared" si="30"/>
        <v>16588</v>
      </c>
      <c r="AA93" s="215">
        <f t="shared" si="29"/>
        <v>12935</v>
      </c>
    </row>
    <row r="94" spans="1:28" ht="14.1" customHeight="1" x14ac:dyDescent="0.25">
      <c r="A94" s="136" t="s">
        <v>89</v>
      </c>
      <c r="B94" s="137" t="s">
        <v>348</v>
      </c>
      <c r="C94" s="230">
        <v>219</v>
      </c>
      <c r="D94" s="230">
        <v>261</v>
      </c>
      <c r="E94" s="230">
        <v>123</v>
      </c>
      <c r="F94" s="230">
        <v>16</v>
      </c>
      <c r="G94" s="230">
        <v>4</v>
      </c>
      <c r="H94" s="230">
        <v>0</v>
      </c>
      <c r="I94" s="230">
        <v>0</v>
      </c>
      <c r="J94" s="230">
        <v>67</v>
      </c>
      <c r="K94" s="230">
        <v>0</v>
      </c>
      <c r="L94" s="232">
        <f t="shared" si="27"/>
        <v>690</v>
      </c>
      <c r="M94" s="230">
        <v>504</v>
      </c>
      <c r="N94" s="230">
        <v>491</v>
      </c>
      <c r="O94" s="230">
        <v>452</v>
      </c>
      <c r="P94" s="230">
        <v>26</v>
      </c>
      <c r="Q94" s="230">
        <v>7</v>
      </c>
      <c r="R94" s="230">
        <v>92</v>
      </c>
      <c r="S94" s="230">
        <v>0</v>
      </c>
      <c r="T94" s="230">
        <v>0</v>
      </c>
      <c r="U94" s="340"/>
      <c r="V94" s="256">
        <f t="shared" si="28"/>
        <v>1572</v>
      </c>
      <c r="W94" s="248">
        <v>273</v>
      </c>
      <c r="X94" s="233"/>
      <c r="Y94" s="233"/>
      <c r="Z94" s="247">
        <f t="shared" si="30"/>
        <v>2535</v>
      </c>
      <c r="AA94" s="215">
        <f t="shared" si="29"/>
        <v>1517</v>
      </c>
    </row>
    <row r="95" spans="1:28" ht="14.1" customHeight="1" x14ac:dyDescent="0.25">
      <c r="A95" s="136" t="s">
        <v>90</v>
      </c>
      <c r="B95" s="137" t="s">
        <v>349</v>
      </c>
      <c r="C95" s="230">
        <v>670</v>
      </c>
      <c r="D95" s="230">
        <v>418</v>
      </c>
      <c r="E95" s="230">
        <v>191</v>
      </c>
      <c r="F95" s="230">
        <v>28</v>
      </c>
      <c r="G95" s="230">
        <v>19</v>
      </c>
      <c r="H95" s="230">
        <v>0</v>
      </c>
      <c r="I95" s="230">
        <v>0</v>
      </c>
      <c r="J95" s="230">
        <v>156</v>
      </c>
      <c r="K95" s="230">
        <v>0</v>
      </c>
      <c r="L95" s="232">
        <f t="shared" si="27"/>
        <v>1482</v>
      </c>
      <c r="M95" s="230">
        <v>1302</v>
      </c>
      <c r="N95" s="230">
        <v>1340</v>
      </c>
      <c r="O95" s="230">
        <v>1051</v>
      </c>
      <c r="P95" s="230">
        <v>54</v>
      </c>
      <c r="Q95" s="230">
        <v>24</v>
      </c>
      <c r="R95" s="230">
        <v>21</v>
      </c>
      <c r="S95" s="230">
        <v>0</v>
      </c>
      <c r="T95" s="230">
        <v>0</v>
      </c>
      <c r="U95" s="340"/>
      <c r="V95" s="256">
        <f t="shared" si="28"/>
        <v>3792</v>
      </c>
      <c r="W95" s="248">
        <v>1029</v>
      </c>
      <c r="X95" s="233"/>
      <c r="Y95" s="233"/>
      <c r="Z95" s="247">
        <f t="shared" si="30"/>
        <v>6303</v>
      </c>
      <c r="AA95" s="215">
        <f t="shared" si="29"/>
        <v>3812</v>
      </c>
    </row>
    <row r="96" spans="1:28" ht="14.1" customHeight="1" x14ac:dyDescent="0.25">
      <c r="A96" s="136" t="s">
        <v>93</v>
      </c>
      <c r="B96" s="137" t="s">
        <v>359</v>
      </c>
      <c r="C96" s="230">
        <v>1494</v>
      </c>
      <c r="D96" s="230">
        <v>764</v>
      </c>
      <c r="E96" s="230">
        <v>867</v>
      </c>
      <c r="F96" s="230">
        <v>99</v>
      </c>
      <c r="G96" s="230">
        <v>39</v>
      </c>
      <c r="H96" s="230">
        <v>0</v>
      </c>
      <c r="I96" s="230">
        <v>21</v>
      </c>
      <c r="J96" s="230">
        <v>717</v>
      </c>
      <c r="K96" s="230">
        <v>0</v>
      </c>
      <c r="L96" s="232">
        <f t="shared" si="27"/>
        <v>4001</v>
      </c>
      <c r="M96" s="230">
        <v>635</v>
      </c>
      <c r="N96" s="230">
        <v>996</v>
      </c>
      <c r="O96" s="230">
        <v>432</v>
      </c>
      <c r="P96" s="230">
        <v>89</v>
      </c>
      <c r="Q96" s="230">
        <v>30</v>
      </c>
      <c r="R96" s="230">
        <v>28</v>
      </c>
      <c r="S96" s="230">
        <v>0</v>
      </c>
      <c r="T96" s="230">
        <v>6</v>
      </c>
      <c r="U96" s="340"/>
      <c r="V96" s="256">
        <f t="shared" si="28"/>
        <v>2216</v>
      </c>
      <c r="W96" s="248">
        <v>432</v>
      </c>
      <c r="X96" s="233"/>
      <c r="Y96" s="233"/>
      <c r="Z96" s="247">
        <f t="shared" si="30"/>
        <v>6649</v>
      </c>
      <c r="AA96" s="215">
        <f t="shared" si="29"/>
        <v>4077</v>
      </c>
    </row>
    <row r="97" spans="1:27" ht="14.1" customHeight="1" x14ac:dyDescent="0.25">
      <c r="A97" s="136" t="s">
        <v>97</v>
      </c>
      <c r="B97" s="137" t="s">
        <v>294</v>
      </c>
      <c r="C97" s="230">
        <v>1742</v>
      </c>
      <c r="D97" s="230">
        <v>848</v>
      </c>
      <c r="E97" s="230">
        <v>540</v>
      </c>
      <c r="F97" s="230">
        <v>45</v>
      </c>
      <c r="G97" s="230">
        <v>46</v>
      </c>
      <c r="H97" s="230">
        <v>57</v>
      </c>
      <c r="I97" s="230">
        <v>3</v>
      </c>
      <c r="J97" s="230">
        <v>311</v>
      </c>
      <c r="K97" s="230">
        <v>0</v>
      </c>
      <c r="L97" s="232">
        <f t="shared" si="27"/>
        <v>3592</v>
      </c>
      <c r="M97" s="230">
        <v>2599</v>
      </c>
      <c r="N97" s="230">
        <v>2032</v>
      </c>
      <c r="O97" s="230">
        <v>1800</v>
      </c>
      <c r="P97" s="230">
        <v>61</v>
      </c>
      <c r="Q97" s="230">
        <v>82</v>
      </c>
      <c r="R97" s="230">
        <v>0</v>
      </c>
      <c r="S97" s="230">
        <v>0</v>
      </c>
      <c r="T97" s="230">
        <v>8</v>
      </c>
      <c r="U97" s="340"/>
      <c r="V97" s="256">
        <f t="shared" si="28"/>
        <v>6582</v>
      </c>
      <c r="W97" s="248">
        <v>966</v>
      </c>
      <c r="X97" s="245">
        <v>939</v>
      </c>
      <c r="Y97" s="233"/>
      <c r="Z97" s="247">
        <f t="shared" si="30"/>
        <v>12079</v>
      </c>
      <c r="AA97" s="215">
        <f t="shared" si="29"/>
        <v>7327</v>
      </c>
    </row>
    <row r="98" spans="1:27" ht="14.1" customHeight="1" x14ac:dyDescent="0.25">
      <c r="A98" s="136" t="s">
        <v>125</v>
      </c>
      <c r="B98" s="137" t="s">
        <v>350</v>
      </c>
      <c r="C98" s="230">
        <v>987</v>
      </c>
      <c r="D98" s="230">
        <v>529</v>
      </c>
      <c r="E98" s="230">
        <v>356</v>
      </c>
      <c r="F98" s="230">
        <v>70</v>
      </c>
      <c r="G98" s="230">
        <v>40</v>
      </c>
      <c r="H98" s="230">
        <v>0</v>
      </c>
      <c r="I98" s="230">
        <v>847</v>
      </c>
      <c r="J98" s="230">
        <v>185</v>
      </c>
      <c r="K98" s="230">
        <v>261</v>
      </c>
      <c r="L98" s="232">
        <f t="shared" si="27"/>
        <v>3275</v>
      </c>
      <c r="M98" s="230">
        <v>1250</v>
      </c>
      <c r="N98" s="230">
        <v>1137</v>
      </c>
      <c r="O98" s="230">
        <v>930</v>
      </c>
      <c r="P98" s="230">
        <v>75</v>
      </c>
      <c r="Q98" s="230">
        <v>34</v>
      </c>
      <c r="R98" s="230">
        <v>6</v>
      </c>
      <c r="S98" s="230">
        <v>0</v>
      </c>
      <c r="T98" s="230">
        <v>6</v>
      </c>
      <c r="U98" s="340"/>
      <c r="V98" s="256">
        <f t="shared" si="28"/>
        <v>3438</v>
      </c>
      <c r="W98" s="248">
        <v>84</v>
      </c>
      <c r="X98" s="233"/>
      <c r="Y98" s="233"/>
      <c r="Z98" s="247">
        <f t="shared" si="30"/>
        <v>6797</v>
      </c>
      <c r="AA98" s="215">
        <f t="shared" si="29"/>
        <v>4309</v>
      </c>
    </row>
    <row r="99" spans="1:27" ht="14.1" customHeight="1" x14ac:dyDescent="0.25">
      <c r="A99" s="136" t="s">
        <v>135</v>
      </c>
      <c r="B99" s="137" t="s">
        <v>351</v>
      </c>
      <c r="C99" s="230">
        <v>1007</v>
      </c>
      <c r="D99" s="230">
        <v>863</v>
      </c>
      <c r="E99" s="230">
        <v>582</v>
      </c>
      <c r="F99" s="230">
        <v>66</v>
      </c>
      <c r="G99" s="230">
        <v>31</v>
      </c>
      <c r="H99" s="230">
        <v>0</v>
      </c>
      <c r="I99" s="230">
        <v>0</v>
      </c>
      <c r="J99" s="230">
        <v>105</v>
      </c>
      <c r="K99" s="230">
        <v>0</v>
      </c>
      <c r="L99" s="232">
        <f t="shared" si="27"/>
        <v>2654</v>
      </c>
      <c r="M99" s="230">
        <v>751</v>
      </c>
      <c r="N99" s="230">
        <v>1746</v>
      </c>
      <c r="O99" s="230">
        <v>792</v>
      </c>
      <c r="P99" s="230">
        <v>70</v>
      </c>
      <c r="Q99" s="230">
        <v>20</v>
      </c>
      <c r="R99" s="230">
        <v>60</v>
      </c>
      <c r="S99" s="230">
        <v>0</v>
      </c>
      <c r="T99" s="230">
        <v>1</v>
      </c>
      <c r="U99" s="340"/>
      <c r="V99" s="256">
        <f t="shared" si="28"/>
        <v>3440</v>
      </c>
      <c r="W99" s="248">
        <v>1149</v>
      </c>
      <c r="X99" s="233"/>
      <c r="Y99" s="233"/>
      <c r="Z99" s="247">
        <f t="shared" si="30"/>
        <v>7243</v>
      </c>
      <c r="AA99" s="215">
        <f t="shared" si="29"/>
        <v>4503</v>
      </c>
    </row>
    <row r="100" spans="1:27" ht="14.1" customHeight="1" x14ac:dyDescent="0.25">
      <c r="A100" s="136" t="s">
        <v>144</v>
      </c>
      <c r="B100" s="137" t="s">
        <v>352</v>
      </c>
      <c r="C100" s="230">
        <v>973</v>
      </c>
      <c r="D100" s="230">
        <v>355</v>
      </c>
      <c r="E100" s="230">
        <v>327</v>
      </c>
      <c r="F100" s="230">
        <v>64</v>
      </c>
      <c r="G100" s="230">
        <v>33</v>
      </c>
      <c r="H100" s="230">
        <v>0</v>
      </c>
      <c r="I100" s="230">
        <v>0</v>
      </c>
      <c r="J100" s="230">
        <v>164</v>
      </c>
      <c r="K100" s="230">
        <v>2</v>
      </c>
      <c r="L100" s="232">
        <f t="shared" si="27"/>
        <v>1918</v>
      </c>
      <c r="M100" s="230">
        <v>1015</v>
      </c>
      <c r="N100" s="230">
        <v>822</v>
      </c>
      <c r="O100" s="230">
        <v>604</v>
      </c>
      <c r="P100" s="230">
        <v>20</v>
      </c>
      <c r="Q100" s="230">
        <v>17</v>
      </c>
      <c r="R100" s="230">
        <v>0</v>
      </c>
      <c r="S100" s="230">
        <v>0</v>
      </c>
      <c r="T100" s="230">
        <v>62</v>
      </c>
      <c r="U100" s="340"/>
      <c r="V100" s="256">
        <f t="shared" si="28"/>
        <v>2540</v>
      </c>
      <c r="W100" s="248">
        <v>664</v>
      </c>
      <c r="X100" s="233"/>
      <c r="Y100" s="233"/>
      <c r="Z100" s="247">
        <f t="shared" si="30"/>
        <v>5122</v>
      </c>
      <c r="AA100" s="215">
        <f t="shared" si="29"/>
        <v>3251</v>
      </c>
    </row>
    <row r="101" spans="1:27" ht="14.1" customHeight="1" x14ac:dyDescent="0.25">
      <c r="A101" s="136" t="s">
        <v>176</v>
      </c>
      <c r="B101" s="137" t="s">
        <v>354</v>
      </c>
      <c r="C101" s="230">
        <v>974</v>
      </c>
      <c r="D101" s="230">
        <v>818</v>
      </c>
      <c r="E101" s="230">
        <v>301</v>
      </c>
      <c r="F101" s="230">
        <v>84</v>
      </c>
      <c r="G101" s="230">
        <v>35</v>
      </c>
      <c r="H101" s="230">
        <v>0</v>
      </c>
      <c r="I101" s="230">
        <v>0</v>
      </c>
      <c r="J101" s="230">
        <v>223</v>
      </c>
      <c r="K101" s="230">
        <v>0</v>
      </c>
      <c r="L101" s="232">
        <f t="shared" si="27"/>
        <v>2435</v>
      </c>
      <c r="M101" s="230">
        <v>907</v>
      </c>
      <c r="N101" s="230">
        <v>819</v>
      </c>
      <c r="O101" s="230">
        <v>705</v>
      </c>
      <c r="P101" s="230">
        <v>34</v>
      </c>
      <c r="Q101" s="230">
        <v>22</v>
      </c>
      <c r="R101" s="230">
        <v>0</v>
      </c>
      <c r="S101" s="230">
        <v>0</v>
      </c>
      <c r="T101" s="230">
        <v>4</v>
      </c>
      <c r="U101" s="340"/>
      <c r="V101" s="256">
        <f t="shared" si="28"/>
        <v>2491</v>
      </c>
      <c r="W101" s="248">
        <v>332</v>
      </c>
      <c r="X101" s="233"/>
      <c r="Y101" s="233"/>
      <c r="Z101" s="247">
        <f t="shared" si="30"/>
        <v>5258</v>
      </c>
      <c r="AA101" s="215">
        <f t="shared" si="29"/>
        <v>3636</v>
      </c>
    </row>
    <row r="102" spans="1:27" ht="14.1" customHeight="1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27"/>
        <v>0</v>
      </c>
      <c r="M102" s="147"/>
      <c r="N102" s="147"/>
      <c r="O102" s="147"/>
      <c r="P102" s="147"/>
      <c r="Q102" s="147"/>
      <c r="R102" s="147"/>
      <c r="S102" s="147"/>
      <c r="T102" s="147"/>
      <c r="U102" s="147"/>
      <c r="V102" s="256">
        <f t="shared" si="28"/>
        <v>0</v>
      </c>
      <c r="W102" s="248">
        <f>0+1177+1811+2542+8855+6789+1048+1238+1389</f>
        <v>24849</v>
      </c>
      <c r="X102" s="233"/>
      <c r="Y102" s="233"/>
      <c r="Z102" s="247">
        <f t="shared" si="30"/>
        <v>24849</v>
      </c>
      <c r="AA102" s="215">
        <f t="shared" si="29"/>
        <v>0</v>
      </c>
    </row>
    <row r="103" spans="1:27" ht="14.1" customHeight="1" x14ac:dyDescent="0.25">
      <c r="A103" s="136" t="s">
        <v>177</v>
      </c>
      <c r="B103" s="137" t="s">
        <v>302</v>
      </c>
      <c r="C103" s="230">
        <v>3230</v>
      </c>
      <c r="D103" s="230">
        <v>4030</v>
      </c>
      <c r="E103" s="230">
        <v>1691</v>
      </c>
      <c r="F103" s="230">
        <v>94</v>
      </c>
      <c r="G103" s="230">
        <v>98</v>
      </c>
      <c r="H103" s="230">
        <v>14</v>
      </c>
      <c r="I103" s="230">
        <v>73</v>
      </c>
      <c r="J103" s="230">
        <v>235</v>
      </c>
      <c r="K103" s="230">
        <v>0</v>
      </c>
      <c r="L103" s="232">
        <f t="shared" si="27"/>
        <v>9465</v>
      </c>
      <c r="M103" s="230">
        <v>1739</v>
      </c>
      <c r="N103" s="230">
        <v>2293</v>
      </c>
      <c r="O103" s="230">
        <v>1744</v>
      </c>
      <c r="P103" s="230">
        <v>74</v>
      </c>
      <c r="Q103" s="230">
        <v>49</v>
      </c>
      <c r="R103" s="230">
        <v>105</v>
      </c>
      <c r="S103" s="230">
        <v>0</v>
      </c>
      <c r="T103" s="230">
        <v>74</v>
      </c>
      <c r="U103" s="230">
        <v>0</v>
      </c>
      <c r="V103" s="256">
        <f t="shared" si="28"/>
        <v>6078</v>
      </c>
      <c r="W103" s="248">
        <v>1569</v>
      </c>
      <c r="X103" s="233"/>
      <c r="Y103" s="233"/>
      <c r="Z103" s="247">
        <f t="shared" si="30"/>
        <v>17112</v>
      </c>
      <c r="AA103" s="215">
        <f t="shared" si="29"/>
        <v>11460</v>
      </c>
    </row>
    <row r="104" spans="1:27" ht="14.1" customHeight="1" x14ac:dyDescent="0.25">
      <c r="A104" s="136" t="s">
        <v>178</v>
      </c>
      <c r="B104" s="137" t="s">
        <v>304</v>
      </c>
      <c r="C104" s="230">
        <v>1694</v>
      </c>
      <c r="D104" s="230">
        <v>1273</v>
      </c>
      <c r="E104" s="230">
        <v>470</v>
      </c>
      <c r="F104" s="230">
        <v>108</v>
      </c>
      <c r="G104" s="230">
        <v>17</v>
      </c>
      <c r="H104" s="230">
        <v>21</v>
      </c>
      <c r="I104" s="230">
        <v>0</v>
      </c>
      <c r="J104" s="230">
        <v>215</v>
      </c>
      <c r="K104" s="230">
        <v>0</v>
      </c>
      <c r="L104" s="232">
        <f t="shared" si="27"/>
        <v>3798</v>
      </c>
      <c r="M104" s="230">
        <v>1453</v>
      </c>
      <c r="N104" s="230">
        <v>2150</v>
      </c>
      <c r="O104" s="230">
        <v>1448</v>
      </c>
      <c r="P104" s="230">
        <v>35</v>
      </c>
      <c r="Q104" s="230">
        <v>52</v>
      </c>
      <c r="R104" s="230">
        <v>0</v>
      </c>
      <c r="S104" s="230">
        <v>0</v>
      </c>
      <c r="T104" s="230">
        <v>0</v>
      </c>
      <c r="U104" s="230">
        <v>0</v>
      </c>
      <c r="V104" s="256">
        <f t="shared" si="28"/>
        <v>5138</v>
      </c>
      <c r="W104" s="252">
        <v>875</v>
      </c>
      <c r="X104" s="235"/>
      <c r="Y104" s="235"/>
      <c r="Z104" s="247">
        <f t="shared" si="30"/>
        <v>9811</v>
      </c>
      <c r="AA104" s="217">
        <f t="shared" si="29"/>
        <v>6713</v>
      </c>
    </row>
    <row r="105" spans="1:27" ht="14.1" customHeight="1" thickBot="1" x14ac:dyDescent="0.3">
      <c r="A105" s="136" t="s">
        <v>190</v>
      </c>
      <c r="B105" s="143" t="s">
        <v>364</v>
      </c>
      <c r="C105" s="265">
        <v>2356</v>
      </c>
      <c r="D105" s="265">
        <v>1514</v>
      </c>
      <c r="E105" s="265">
        <v>962</v>
      </c>
      <c r="F105" s="265">
        <v>86</v>
      </c>
      <c r="G105" s="265">
        <v>69</v>
      </c>
      <c r="H105" s="265">
        <v>0</v>
      </c>
      <c r="I105" s="265">
        <v>30</v>
      </c>
      <c r="J105" s="265">
        <v>396</v>
      </c>
      <c r="K105" s="265">
        <v>0</v>
      </c>
      <c r="L105" s="232">
        <f t="shared" si="27"/>
        <v>5413</v>
      </c>
      <c r="M105" s="265">
        <v>1724</v>
      </c>
      <c r="N105" s="265">
        <v>2521</v>
      </c>
      <c r="O105" s="265">
        <v>1428</v>
      </c>
      <c r="P105" s="265">
        <v>184</v>
      </c>
      <c r="Q105" s="265">
        <v>71</v>
      </c>
      <c r="R105" s="265">
        <v>0</v>
      </c>
      <c r="S105" s="265">
        <v>0</v>
      </c>
      <c r="T105" s="265">
        <v>6</v>
      </c>
      <c r="U105" s="265">
        <v>0</v>
      </c>
      <c r="V105" s="256">
        <f t="shared" si="28"/>
        <v>5934</v>
      </c>
      <c r="W105" s="252">
        <v>891</v>
      </c>
      <c r="X105" s="209"/>
      <c r="Y105" s="209"/>
      <c r="Z105" s="247">
        <f t="shared" si="30"/>
        <v>12238</v>
      </c>
      <c r="AA105" s="217">
        <f t="shared" si="29"/>
        <v>8385</v>
      </c>
    </row>
    <row r="106" spans="1:27" s="109" customFormat="1" ht="14.4" thickBot="1" x14ac:dyDescent="0.3">
      <c r="A106" s="134"/>
      <c r="B106" s="159" t="s">
        <v>462</v>
      </c>
      <c r="C106" s="293">
        <f t="shared" ref="C106:AA106" si="31">SUM(C90:C105)</f>
        <v>21125</v>
      </c>
      <c r="D106" s="157">
        <f t="shared" si="31"/>
        <v>16987</v>
      </c>
      <c r="E106" s="157">
        <f t="shared" si="31"/>
        <v>8249</v>
      </c>
      <c r="F106" s="166">
        <f t="shared" si="31"/>
        <v>977</v>
      </c>
      <c r="G106" s="362">
        <f t="shared" si="31"/>
        <v>703</v>
      </c>
      <c r="H106" s="157">
        <f t="shared" si="31"/>
        <v>94</v>
      </c>
      <c r="I106" s="166">
        <f t="shared" si="31"/>
        <v>1149</v>
      </c>
      <c r="J106" s="362">
        <f t="shared" si="31"/>
        <v>4073</v>
      </c>
      <c r="K106" s="259">
        <f t="shared" si="31"/>
        <v>263</v>
      </c>
      <c r="L106" s="260">
        <f t="shared" ref="L106" si="32">SUM(L90:L105)</f>
        <v>53620</v>
      </c>
      <c r="M106" s="262">
        <f t="shared" si="31"/>
        <v>18026</v>
      </c>
      <c r="N106" s="158">
        <f t="shared" si="31"/>
        <v>20739</v>
      </c>
      <c r="O106" s="158">
        <f t="shared" si="31"/>
        <v>13863</v>
      </c>
      <c r="P106" s="158">
        <f t="shared" si="31"/>
        <v>893</v>
      </c>
      <c r="Q106" s="158">
        <f t="shared" si="31"/>
        <v>515</v>
      </c>
      <c r="R106" s="158">
        <f t="shared" si="31"/>
        <v>393</v>
      </c>
      <c r="S106" s="158">
        <f t="shared" si="31"/>
        <v>0</v>
      </c>
      <c r="T106" s="158">
        <f t="shared" si="31"/>
        <v>340</v>
      </c>
      <c r="U106" s="264">
        <f t="shared" si="31"/>
        <v>0</v>
      </c>
      <c r="V106" s="401">
        <f t="shared" si="31"/>
        <v>54769</v>
      </c>
      <c r="W106" s="261">
        <f t="shared" si="31"/>
        <v>36923</v>
      </c>
      <c r="X106" s="210">
        <f>SUM(X90:X105)</f>
        <v>939</v>
      </c>
      <c r="Y106" s="210">
        <f>SUM(Y90:Y105)</f>
        <v>0</v>
      </c>
      <c r="Z106" s="210">
        <f t="shared" si="31"/>
        <v>146251</v>
      </c>
      <c r="AA106" s="210">
        <f t="shared" si="31"/>
        <v>79010</v>
      </c>
    </row>
    <row r="107" spans="1:27" ht="18" thickBot="1" x14ac:dyDescent="0.35">
      <c r="A107" s="135"/>
      <c r="B107" s="169" t="s">
        <v>463</v>
      </c>
      <c r="C107" s="186">
        <f t="shared" ref="C107:AA107" si="33">C106+C89+C72+C55+C37+C23</f>
        <v>127773</v>
      </c>
      <c r="D107" s="162">
        <f t="shared" si="33"/>
        <v>67368</v>
      </c>
      <c r="E107" s="162">
        <f t="shared" si="33"/>
        <v>41769</v>
      </c>
      <c r="F107" s="162">
        <f t="shared" si="33"/>
        <v>4927</v>
      </c>
      <c r="G107" s="162">
        <f t="shared" si="33"/>
        <v>3641</v>
      </c>
      <c r="H107" s="162">
        <f t="shared" si="33"/>
        <v>429</v>
      </c>
      <c r="I107" s="162">
        <f t="shared" si="33"/>
        <v>9650</v>
      </c>
      <c r="J107" s="162">
        <f t="shared" si="33"/>
        <v>43449</v>
      </c>
      <c r="K107" s="163">
        <f t="shared" si="33"/>
        <v>1557</v>
      </c>
      <c r="L107" s="187">
        <f t="shared" si="33"/>
        <v>300563</v>
      </c>
      <c r="M107" s="186">
        <f t="shared" si="33"/>
        <v>63785</v>
      </c>
      <c r="N107" s="162">
        <f t="shared" si="33"/>
        <v>71959</v>
      </c>
      <c r="O107" s="162">
        <f t="shared" si="33"/>
        <v>44944</v>
      </c>
      <c r="P107" s="162">
        <f t="shared" si="33"/>
        <v>3637</v>
      </c>
      <c r="Q107" s="162">
        <f t="shared" si="33"/>
        <v>2586</v>
      </c>
      <c r="R107" s="162">
        <f t="shared" si="33"/>
        <v>2296</v>
      </c>
      <c r="S107" s="162">
        <f t="shared" si="33"/>
        <v>444</v>
      </c>
      <c r="T107" s="162">
        <f t="shared" si="33"/>
        <v>5181</v>
      </c>
      <c r="U107" s="163">
        <f t="shared" si="33"/>
        <v>250</v>
      </c>
      <c r="V107" s="187">
        <f t="shared" si="33"/>
        <v>195082</v>
      </c>
      <c r="W107" s="212">
        <f t="shared" si="33"/>
        <v>120751</v>
      </c>
      <c r="X107" s="212">
        <f t="shared" si="33"/>
        <v>4354</v>
      </c>
      <c r="Y107" s="212">
        <f>+Y89+Y72+Y55+Y37+Y23</f>
        <v>674</v>
      </c>
      <c r="Z107" s="212">
        <f t="shared" si="33"/>
        <v>621424</v>
      </c>
      <c r="AA107" s="212">
        <f t="shared" si="33"/>
        <v>341256</v>
      </c>
    </row>
    <row r="109" spans="1:27" x14ac:dyDescent="0.25">
      <c r="C109" s="122">
        <f>C107</f>
        <v>127773</v>
      </c>
      <c r="D109" s="122">
        <f t="shared" ref="D109:AA109" si="34">D107</f>
        <v>67368</v>
      </c>
      <c r="E109" s="122">
        <f t="shared" si="34"/>
        <v>41769</v>
      </c>
      <c r="F109" s="122">
        <f t="shared" si="34"/>
        <v>4927</v>
      </c>
      <c r="G109" s="122">
        <f t="shared" si="34"/>
        <v>3641</v>
      </c>
      <c r="H109" s="122">
        <f t="shared" si="34"/>
        <v>429</v>
      </c>
      <c r="I109" s="122">
        <f t="shared" si="34"/>
        <v>9650</v>
      </c>
      <c r="J109" s="122">
        <f t="shared" si="34"/>
        <v>43449</v>
      </c>
      <c r="K109" s="122">
        <f t="shared" si="34"/>
        <v>1557</v>
      </c>
      <c r="L109" s="122">
        <f t="shared" si="34"/>
        <v>300563</v>
      </c>
      <c r="M109" s="122">
        <f t="shared" si="34"/>
        <v>63785</v>
      </c>
      <c r="N109" s="122">
        <f t="shared" si="34"/>
        <v>71959</v>
      </c>
      <c r="O109" s="122">
        <f t="shared" si="34"/>
        <v>44944</v>
      </c>
      <c r="P109" s="122">
        <f t="shared" si="34"/>
        <v>3637</v>
      </c>
      <c r="Q109" s="122">
        <f t="shared" si="34"/>
        <v>2586</v>
      </c>
      <c r="R109" s="122">
        <f t="shared" si="34"/>
        <v>2296</v>
      </c>
      <c r="S109" s="122">
        <f t="shared" si="34"/>
        <v>444</v>
      </c>
      <c r="T109" s="122">
        <f t="shared" si="34"/>
        <v>5181</v>
      </c>
      <c r="U109" s="122">
        <f t="shared" si="34"/>
        <v>250</v>
      </c>
      <c r="V109" s="122">
        <f t="shared" si="34"/>
        <v>195082</v>
      </c>
      <c r="W109" s="122">
        <f t="shared" si="34"/>
        <v>120751</v>
      </c>
      <c r="X109" s="122">
        <f t="shared" si="34"/>
        <v>4354</v>
      </c>
      <c r="Y109" s="122">
        <f t="shared" si="34"/>
        <v>674</v>
      </c>
      <c r="Z109" s="122">
        <f t="shared" si="34"/>
        <v>621424</v>
      </c>
      <c r="AA109" s="122">
        <f t="shared" si="34"/>
        <v>341256</v>
      </c>
    </row>
    <row r="110" spans="1:27" x14ac:dyDescent="0.25">
      <c r="L110" s="122"/>
      <c r="V110" s="122"/>
    </row>
    <row r="111" spans="1:27" x14ac:dyDescent="0.25">
      <c r="O111" s="122"/>
      <c r="V111" s="122"/>
    </row>
    <row r="113" spans="9:9" x14ac:dyDescent="0.25">
      <c r="I113" s="122"/>
    </row>
  </sheetData>
  <mergeCells count="6">
    <mergeCell ref="B1:B3"/>
    <mergeCell ref="C4:L4"/>
    <mergeCell ref="M4:V4"/>
    <mergeCell ref="C1:Z1"/>
    <mergeCell ref="C2:Z2"/>
    <mergeCell ref="X4:Y4"/>
  </mergeCells>
  <conditionalFormatting sqref="W38:W49 W56:W71 W73:W88 W24:W36 W6:W22 W52:W54">
    <cfRule type="cellIs" dxfId="85" priority="6" stopIfTrue="1" operator="notBetween">
      <formula>-2000</formula>
      <formula>2000</formula>
    </cfRule>
  </conditionalFormatting>
  <conditionalFormatting sqref="V3">
    <cfRule type="cellIs" dxfId="84" priority="9" stopIfTrue="1" operator="greaterThan">
      <formula>10</formula>
    </cfRule>
    <cfRule type="cellIs" dxfId="83" priority="10" stopIfTrue="1" operator="lessThan">
      <formula>10</formula>
    </cfRule>
  </conditionalFormatting>
  <conditionalFormatting sqref="W90:W105">
    <cfRule type="cellIs" dxfId="82" priority="8" stopIfTrue="1" operator="notBetween">
      <formula>-2000</formula>
      <formula>2000</formula>
    </cfRule>
  </conditionalFormatting>
  <conditionalFormatting sqref="W18">
    <cfRule type="cellIs" dxfId="81" priority="7" stopIfTrue="1" operator="notBetween">
      <formula>-2000</formula>
      <formula>2000</formula>
    </cfRule>
  </conditionalFormatting>
  <conditionalFormatting sqref="X24:Y28 X56:Y71 X38:Y54 X6:Y22 X29:X33">
    <cfRule type="cellIs" dxfId="80" priority="3" stopIfTrue="1" operator="notBetween">
      <formula>-2000</formula>
      <formula>2000</formula>
    </cfRule>
  </conditionalFormatting>
  <conditionalFormatting sqref="X90:Y105">
    <cfRule type="cellIs" dxfId="79" priority="5" stopIfTrue="1" operator="notBetween">
      <formula>-2000</formula>
      <formula>2000</formula>
    </cfRule>
  </conditionalFormatting>
  <conditionalFormatting sqref="X18:Y18">
    <cfRule type="cellIs" dxfId="78" priority="4" stopIfTrue="1" operator="notBetween">
      <formula>-2000</formula>
      <formula>2000</formula>
    </cfRule>
  </conditionalFormatting>
  <conditionalFormatting sqref="Y29:Y35">
    <cfRule type="cellIs" dxfId="77" priority="2" stopIfTrue="1" operator="notBetween">
      <formula>-2000</formula>
      <formula>2000</formula>
    </cfRule>
  </conditionalFormatting>
  <conditionalFormatting sqref="Y73:Y88">
    <cfRule type="cellIs" dxfId="76" priority="1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30" fitToHeight="4" orientation="landscape" r:id="rId1"/>
  <headerFooter alignWithMargins="0">
    <oddFooter xml:space="preserve">&amp;L&amp;8&amp;Z&amp;F&amp;A&amp;10
</oddFooter>
  </headerFooter>
  <ignoredErrors>
    <ignoredError sqref="L55 L72 L106 L23 L37 V89 V72 Z23:AA23 Z37:AA37 Z55:AA55 Z72:AA72 Z89:AA89 Y107 L89 V23 V37 V5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AB111"/>
  <sheetViews>
    <sheetView showZeros="0" zoomScale="90" zoomScaleNormal="90" zoomScaleSheetLayoutView="50" workbookViewId="0">
      <pane xSplit="2" ySplit="5" topLeftCell="L6" activePane="bottomRight" state="frozen"/>
      <selection activeCell="B33" sqref="B33"/>
      <selection pane="topRight" activeCell="B33" sqref="B33"/>
      <selection pane="bottomLeft" activeCell="B33" sqref="B33"/>
      <selection pane="bottomRight" activeCell="S19" sqref="S19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4.44140625" customWidth="1"/>
    <col min="24" max="24" width="14.6640625" customWidth="1"/>
    <col min="25" max="25" width="14.88671875" customWidth="1"/>
    <col min="26" max="26" width="15.5546875" customWidth="1"/>
    <col min="27" max="27" width="13.109375" customWidth="1"/>
    <col min="28" max="28" width="3.88671875" customWidth="1"/>
  </cols>
  <sheetData>
    <row r="1" spans="1:27" s="111" customFormat="1" ht="22.8" x14ac:dyDescent="0.35">
      <c r="B1" s="544"/>
      <c r="C1" s="546" t="s">
        <v>263</v>
      </c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6"/>
      <c r="S1" s="546"/>
      <c r="T1" s="546"/>
      <c r="U1" s="546"/>
      <c r="V1" s="546"/>
      <c r="W1" s="546"/>
      <c r="X1" s="546"/>
      <c r="Y1" s="546"/>
      <c r="Z1" s="546"/>
    </row>
    <row r="2" spans="1:27" s="111" customFormat="1" ht="22.8" x14ac:dyDescent="0.35">
      <c r="B2" s="544"/>
      <c r="C2" s="550"/>
      <c r="D2" s="550"/>
      <c r="E2" s="550"/>
      <c r="F2" s="550"/>
      <c r="G2" s="550"/>
      <c r="H2" s="550"/>
      <c r="I2" s="550"/>
      <c r="J2" s="550"/>
      <c r="K2" s="550"/>
      <c r="L2" s="550"/>
      <c r="M2" s="550"/>
      <c r="N2" s="550"/>
      <c r="O2" s="550"/>
      <c r="P2" s="550"/>
      <c r="Q2" s="550"/>
      <c r="R2" s="550"/>
      <c r="S2" s="550"/>
      <c r="T2" s="550"/>
      <c r="U2" s="550"/>
      <c r="V2" s="550"/>
      <c r="W2" s="550"/>
      <c r="X2" s="550"/>
      <c r="Y2" s="550"/>
      <c r="Z2" s="550"/>
    </row>
    <row r="3" spans="1:27" s="111" customFormat="1" ht="21" thickBot="1" x14ac:dyDescent="0.4">
      <c r="B3" s="545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7" ht="21" customHeight="1" thickTop="1" thickBot="1" x14ac:dyDescent="0.3">
      <c r="A4" s="145"/>
      <c r="B4" s="167"/>
      <c r="C4" s="547" t="s">
        <v>253</v>
      </c>
      <c r="D4" s="548"/>
      <c r="E4" s="548"/>
      <c r="F4" s="548"/>
      <c r="G4" s="548"/>
      <c r="H4" s="548"/>
      <c r="I4" s="548"/>
      <c r="J4" s="548"/>
      <c r="K4" s="548"/>
      <c r="L4" s="549"/>
      <c r="M4" s="547" t="s">
        <v>262</v>
      </c>
      <c r="N4" s="548"/>
      <c r="O4" s="548"/>
      <c r="P4" s="548"/>
      <c r="Q4" s="548"/>
      <c r="R4" s="548"/>
      <c r="S4" s="548"/>
      <c r="T4" s="548"/>
      <c r="U4" s="548"/>
      <c r="V4" s="549"/>
      <c r="W4" s="202"/>
      <c r="X4" s="553" t="s">
        <v>472</v>
      </c>
      <c r="Y4" s="554"/>
      <c r="Z4" s="202"/>
      <c r="AA4" s="202"/>
    </row>
    <row r="5" spans="1:27" ht="45" customHeight="1" thickBot="1" x14ac:dyDescent="0.3">
      <c r="A5" s="146" t="s">
        <v>360</v>
      </c>
      <c r="B5" s="168" t="s">
        <v>456</v>
      </c>
      <c r="C5" s="395" t="s">
        <v>254</v>
      </c>
      <c r="D5" s="316" t="s">
        <v>219</v>
      </c>
      <c r="E5" s="318" t="s">
        <v>255</v>
      </c>
      <c r="F5" s="318" t="s">
        <v>256</v>
      </c>
      <c r="G5" s="318" t="s">
        <v>257</v>
      </c>
      <c r="H5" s="318" t="s">
        <v>258</v>
      </c>
      <c r="I5" s="318" t="s">
        <v>259</v>
      </c>
      <c r="J5" s="318" t="s">
        <v>260</v>
      </c>
      <c r="K5" s="460" t="s">
        <v>261</v>
      </c>
      <c r="L5" s="467" t="s">
        <v>208</v>
      </c>
      <c r="M5" s="397" t="s">
        <v>254</v>
      </c>
      <c r="N5" s="316" t="s">
        <v>219</v>
      </c>
      <c r="O5" s="317" t="s">
        <v>255</v>
      </c>
      <c r="P5" s="318" t="s">
        <v>256</v>
      </c>
      <c r="Q5" s="318" t="s">
        <v>257</v>
      </c>
      <c r="R5" s="318" t="s">
        <v>258</v>
      </c>
      <c r="S5" s="318" t="s">
        <v>259</v>
      </c>
      <c r="T5" s="318" t="s">
        <v>260</v>
      </c>
      <c r="U5" s="152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87" t="s">
        <v>267</v>
      </c>
    </row>
    <row r="6" spans="1:27" ht="12.75" customHeight="1" x14ac:dyDescent="0.25">
      <c r="A6" s="136" t="s">
        <v>68</v>
      </c>
      <c r="B6" s="279" t="s">
        <v>268</v>
      </c>
      <c r="C6" s="230">
        <v>566</v>
      </c>
      <c r="D6" s="230">
        <v>363</v>
      </c>
      <c r="E6" s="230">
        <v>126</v>
      </c>
      <c r="F6" s="230">
        <v>17</v>
      </c>
      <c r="G6" s="230">
        <v>23</v>
      </c>
      <c r="H6" s="230">
        <v>0</v>
      </c>
      <c r="I6" s="230">
        <v>0</v>
      </c>
      <c r="J6" s="230">
        <v>278</v>
      </c>
      <c r="K6" s="230">
        <v>0</v>
      </c>
      <c r="L6" s="464">
        <f>SUM(C6:K6)</f>
        <v>1373</v>
      </c>
      <c r="M6" s="230">
        <v>0</v>
      </c>
      <c r="N6" s="230">
        <v>0</v>
      </c>
      <c r="O6" s="230">
        <v>0</v>
      </c>
      <c r="P6" s="230">
        <v>0</v>
      </c>
      <c r="Q6" s="230">
        <v>0</v>
      </c>
      <c r="R6" s="230">
        <v>0</v>
      </c>
      <c r="S6" s="230">
        <v>0</v>
      </c>
      <c r="T6" s="230">
        <v>0</v>
      </c>
      <c r="U6" s="404"/>
      <c r="V6" s="354">
        <f t="shared" ref="V6:V22" si="0">SUM(M6:U6)</f>
        <v>0</v>
      </c>
      <c r="W6" s="240">
        <v>450</v>
      </c>
      <c r="X6" s="211"/>
      <c r="Y6" s="211"/>
      <c r="Z6" s="281">
        <f t="shared" ref="Z6:Z22" si="1">L6+V6+W6+X6+Y6</f>
        <v>1823</v>
      </c>
      <c r="AA6" s="218">
        <f t="shared" ref="AA6:AA22" si="2">C6+D6+F6+K6+M6+N6+P6+U6</f>
        <v>946</v>
      </c>
    </row>
    <row r="7" spans="1:27" x14ac:dyDescent="0.25">
      <c r="A7" s="136" t="s">
        <v>69</v>
      </c>
      <c r="B7" s="137" t="s">
        <v>269</v>
      </c>
      <c r="C7" s="230">
        <v>669</v>
      </c>
      <c r="D7" s="230">
        <v>448</v>
      </c>
      <c r="E7" s="230">
        <v>117</v>
      </c>
      <c r="F7" s="230">
        <v>23</v>
      </c>
      <c r="G7" s="230">
        <v>10</v>
      </c>
      <c r="H7" s="230">
        <v>0</v>
      </c>
      <c r="I7" s="230">
        <v>42</v>
      </c>
      <c r="J7" s="230">
        <v>499</v>
      </c>
      <c r="K7" s="230">
        <v>0</v>
      </c>
      <c r="L7" s="434">
        <f t="shared" ref="L7:L18" si="3">SUM(C7:K7)</f>
        <v>1808</v>
      </c>
      <c r="M7" s="230">
        <v>391</v>
      </c>
      <c r="N7" s="230">
        <v>359</v>
      </c>
      <c r="O7" s="230">
        <v>131</v>
      </c>
      <c r="P7" s="230">
        <v>9</v>
      </c>
      <c r="Q7" s="230">
        <v>5</v>
      </c>
      <c r="R7" s="230">
        <v>0</v>
      </c>
      <c r="S7" s="230">
        <v>32</v>
      </c>
      <c r="T7" s="230">
        <v>31</v>
      </c>
      <c r="U7" s="341"/>
      <c r="V7" s="321">
        <f t="shared" si="0"/>
        <v>958</v>
      </c>
      <c r="W7" s="270"/>
      <c r="X7" s="248"/>
      <c r="Y7" s="248"/>
      <c r="Z7" s="247">
        <f t="shared" si="1"/>
        <v>2766</v>
      </c>
      <c r="AA7" s="215">
        <f t="shared" si="2"/>
        <v>1899</v>
      </c>
    </row>
    <row r="8" spans="1:27" x14ac:dyDescent="0.25">
      <c r="A8" s="136" t="s">
        <v>73</v>
      </c>
      <c r="B8" s="137" t="s">
        <v>270</v>
      </c>
      <c r="C8" s="230">
        <v>28</v>
      </c>
      <c r="D8" s="230">
        <v>23</v>
      </c>
      <c r="E8" s="230">
        <v>2</v>
      </c>
      <c r="F8" s="230">
        <v>1</v>
      </c>
      <c r="G8" s="230">
        <v>0</v>
      </c>
      <c r="H8" s="230">
        <v>0</v>
      </c>
      <c r="I8" s="230">
        <v>0</v>
      </c>
      <c r="J8" s="230">
        <v>12</v>
      </c>
      <c r="K8" s="230">
        <v>0</v>
      </c>
      <c r="L8" s="434">
        <f t="shared" si="3"/>
        <v>66</v>
      </c>
      <c r="M8" s="230">
        <v>302</v>
      </c>
      <c r="N8" s="230">
        <v>357</v>
      </c>
      <c r="O8" s="230">
        <v>80</v>
      </c>
      <c r="P8" s="230">
        <v>6</v>
      </c>
      <c r="Q8" s="230">
        <v>30</v>
      </c>
      <c r="R8" s="230">
        <v>0</v>
      </c>
      <c r="S8" s="230">
        <v>0</v>
      </c>
      <c r="T8" s="230">
        <v>49</v>
      </c>
      <c r="U8" s="341"/>
      <c r="V8" s="321">
        <f t="shared" si="0"/>
        <v>824</v>
      </c>
      <c r="W8" s="270"/>
      <c r="X8" s="204"/>
      <c r="Y8" s="204"/>
      <c r="Z8" s="247">
        <f t="shared" si="1"/>
        <v>890</v>
      </c>
      <c r="AA8" s="215">
        <f t="shared" si="2"/>
        <v>717</v>
      </c>
    </row>
    <row r="9" spans="1:27" x14ac:dyDescent="0.25">
      <c r="A9" s="136" t="s">
        <v>74</v>
      </c>
      <c r="B9" s="137" t="s">
        <v>358</v>
      </c>
      <c r="C9" s="230"/>
      <c r="D9" s="230"/>
      <c r="E9" s="230"/>
      <c r="F9" s="230"/>
      <c r="G9" s="230"/>
      <c r="H9" s="230"/>
      <c r="I9" s="230"/>
      <c r="J9" s="230"/>
      <c r="K9" s="230"/>
      <c r="L9" s="241">
        <f t="shared" si="3"/>
        <v>0</v>
      </c>
      <c r="M9" s="147"/>
      <c r="N9" s="147"/>
      <c r="O9" s="147"/>
      <c r="P9" s="147"/>
      <c r="Q9" s="147"/>
      <c r="R9" s="147"/>
      <c r="S9" s="147"/>
      <c r="T9" s="147"/>
      <c r="U9" s="335"/>
      <c r="V9" s="321">
        <f t="shared" si="0"/>
        <v>0</v>
      </c>
      <c r="W9" s="248">
        <v>7085</v>
      </c>
      <c r="X9" s="204"/>
      <c r="Y9" s="204"/>
      <c r="Z9" s="247">
        <f t="shared" si="1"/>
        <v>7085</v>
      </c>
      <c r="AA9" s="215">
        <f t="shared" si="2"/>
        <v>0</v>
      </c>
    </row>
    <row r="10" spans="1:27" x14ac:dyDescent="0.25">
      <c r="A10" s="136" t="s">
        <v>94</v>
      </c>
      <c r="B10" s="137" t="s">
        <v>271</v>
      </c>
      <c r="C10" s="230">
        <v>1072</v>
      </c>
      <c r="D10" s="230">
        <v>650</v>
      </c>
      <c r="E10" s="230">
        <v>262</v>
      </c>
      <c r="F10" s="230">
        <v>90</v>
      </c>
      <c r="G10" s="230">
        <v>25</v>
      </c>
      <c r="H10" s="230">
        <v>0</v>
      </c>
      <c r="I10" s="230">
        <v>0</v>
      </c>
      <c r="J10" s="230">
        <v>154</v>
      </c>
      <c r="K10" s="230">
        <v>0</v>
      </c>
      <c r="L10" s="241">
        <f t="shared" si="3"/>
        <v>2253</v>
      </c>
      <c r="M10" s="230">
        <v>1066</v>
      </c>
      <c r="N10" s="230">
        <v>2370</v>
      </c>
      <c r="O10" s="230">
        <v>592</v>
      </c>
      <c r="P10" s="230">
        <v>182</v>
      </c>
      <c r="Q10" s="230">
        <v>68</v>
      </c>
      <c r="R10" s="230">
        <v>120</v>
      </c>
      <c r="S10" s="230">
        <v>0</v>
      </c>
      <c r="T10" s="230">
        <v>12</v>
      </c>
      <c r="U10" s="340"/>
      <c r="V10" s="321">
        <f t="shared" si="0"/>
        <v>4410</v>
      </c>
      <c r="W10" s="245">
        <v>1513</v>
      </c>
      <c r="X10" s="204"/>
      <c r="Y10" s="204"/>
      <c r="Z10" s="247">
        <f t="shared" si="1"/>
        <v>8176</v>
      </c>
      <c r="AA10" s="215">
        <f t="shared" si="2"/>
        <v>5430</v>
      </c>
    </row>
    <row r="11" spans="1:27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11</v>
      </c>
      <c r="F11" s="230">
        <v>0</v>
      </c>
      <c r="G11" s="230">
        <v>0</v>
      </c>
      <c r="H11" s="230">
        <v>0</v>
      </c>
      <c r="I11" s="230">
        <v>0</v>
      </c>
      <c r="J11" s="230">
        <v>70</v>
      </c>
      <c r="K11" s="230">
        <v>0</v>
      </c>
      <c r="L11" s="241">
        <f t="shared" si="3"/>
        <v>81</v>
      </c>
      <c r="M11" s="230">
        <v>0</v>
      </c>
      <c r="N11" s="230">
        <v>0</v>
      </c>
      <c r="O11" s="230">
        <v>6</v>
      </c>
      <c r="P11" s="230">
        <v>0</v>
      </c>
      <c r="Q11" s="230">
        <v>0</v>
      </c>
      <c r="R11" s="230">
        <v>0</v>
      </c>
      <c r="S11" s="230">
        <v>0</v>
      </c>
      <c r="T11" s="230">
        <v>168</v>
      </c>
      <c r="U11" s="314"/>
      <c r="V11" s="321">
        <f t="shared" si="0"/>
        <v>174</v>
      </c>
      <c r="W11" s="251"/>
      <c r="X11" s="248"/>
      <c r="Y11" s="204"/>
      <c r="Z11" s="247">
        <f t="shared" si="1"/>
        <v>255</v>
      </c>
      <c r="AA11" s="215">
        <f t="shared" si="2"/>
        <v>0</v>
      </c>
    </row>
    <row r="12" spans="1:27" x14ac:dyDescent="0.25">
      <c r="A12" s="136" t="s">
        <v>361</v>
      </c>
      <c r="B12" s="137" t="s">
        <v>355</v>
      </c>
      <c r="C12" s="230"/>
      <c r="D12" s="230"/>
      <c r="E12" s="230"/>
      <c r="F12" s="230"/>
      <c r="G12" s="230"/>
      <c r="H12" s="230"/>
      <c r="I12" s="230"/>
      <c r="J12" s="230"/>
      <c r="K12" s="128"/>
      <c r="L12" s="241">
        <f t="shared" si="3"/>
        <v>0</v>
      </c>
      <c r="M12" s="128"/>
      <c r="N12" s="128"/>
      <c r="O12" s="128"/>
      <c r="P12" s="128"/>
      <c r="Q12" s="128"/>
      <c r="R12" s="128"/>
      <c r="S12" s="128"/>
      <c r="T12" s="128"/>
      <c r="U12" s="336"/>
      <c r="V12" s="321">
        <f t="shared" si="0"/>
        <v>0</v>
      </c>
      <c r="W12" s="251"/>
      <c r="X12" s="248"/>
      <c r="Y12" s="248"/>
      <c r="Z12" s="247">
        <f t="shared" si="1"/>
        <v>0</v>
      </c>
      <c r="AA12" s="215">
        <f t="shared" si="2"/>
        <v>0</v>
      </c>
    </row>
    <row r="13" spans="1:27" x14ac:dyDescent="0.25">
      <c r="A13" s="136" t="s">
        <v>106</v>
      </c>
      <c r="B13" s="137" t="s">
        <v>273</v>
      </c>
      <c r="C13" s="230">
        <v>204</v>
      </c>
      <c r="D13" s="230">
        <v>101</v>
      </c>
      <c r="E13" s="230">
        <v>17</v>
      </c>
      <c r="F13" s="230">
        <v>9</v>
      </c>
      <c r="G13" s="230">
        <v>1</v>
      </c>
      <c r="H13" s="230">
        <v>0</v>
      </c>
      <c r="I13" s="230">
        <v>7</v>
      </c>
      <c r="J13" s="230">
        <v>169</v>
      </c>
      <c r="K13" s="230">
        <v>0</v>
      </c>
      <c r="L13" s="241">
        <f t="shared" si="3"/>
        <v>508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340"/>
      <c r="V13" s="321">
        <f t="shared" si="0"/>
        <v>0</v>
      </c>
      <c r="W13" s="251"/>
      <c r="X13" s="204"/>
      <c r="Y13" s="204"/>
      <c r="Z13" s="247">
        <f t="shared" si="1"/>
        <v>508</v>
      </c>
      <c r="AA13" s="215">
        <f t="shared" si="2"/>
        <v>314</v>
      </c>
    </row>
    <row r="14" spans="1:27" x14ac:dyDescent="0.25">
      <c r="A14" s="136" t="s">
        <v>110</v>
      </c>
      <c r="B14" s="137" t="s">
        <v>274</v>
      </c>
      <c r="C14" s="230">
        <v>3959</v>
      </c>
      <c r="D14" s="230">
        <v>1218</v>
      </c>
      <c r="E14" s="230">
        <v>1017</v>
      </c>
      <c r="F14" s="230">
        <v>20</v>
      </c>
      <c r="G14" s="230">
        <v>74</v>
      </c>
      <c r="H14" s="230">
        <v>0</v>
      </c>
      <c r="I14" s="230">
        <v>238</v>
      </c>
      <c r="J14" s="230">
        <v>458</v>
      </c>
      <c r="K14" s="230">
        <v>0</v>
      </c>
      <c r="L14" s="241">
        <f t="shared" si="3"/>
        <v>6984</v>
      </c>
      <c r="M14" s="230">
        <v>100</v>
      </c>
      <c r="N14" s="230">
        <v>87</v>
      </c>
      <c r="O14" s="230">
        <v>35</v>
      </c>
      <c r="P14" s="230">
        <v>1</v>
      </c>
      <c r="Q14" s="230">
        <v>35</v>
      </c>
      <c r="R14" s="230">
        <v>0</v>
      </c>
      <c r="S14" s="230">
        <v>0</v>
      </c>
      <c r="T14" s="230">
        <v>2</v>
      </c>
      <c r="U14" s="340"/>
      <c r="V14" s="321">
        <f t="shared" si="0"/>
        <v>260</v>
      </c>
      <c r="W14" s="251"/>
      <c r="X14" s="204"/>
      <c r="Y14" s="204"/>
      <c r="Z14" s="247">
        <f t="shared" si="1"/>
        <v>7244</v>
      </c>
      <c r="AA14" s="215">
        <f t="shared" si="2"/>
        <v>5385</v>
      </c>
    </row>
    <row r="15" spans="1:27" x14ac:dyDescent="0.25">
      <c r="A15" s="136" t="s">
        <v>119</v>
      </c>
      <c r="B15" s="137" t="s">
        <v>275</v>
      </c>
      <c r="C15" s="230">
        <v>1094</v>
      </c>
      <c r="D15" s="230">
        <v>695</v>
      </c>
      <c r="E15" s="230">
        <v>301</v>
      </c>
      <c r="F15" s="230">
        <v>12</v>
      </c>
      <c r="G15" s="230">
        <v>11</v>
      </c>
      <c r="H15" s="230">
        <v>0</v>
      </c>
      <c r="I15" s="230">
        <v>20</v>
      </c>
      <c r="J15" s="230">
        <v>145</v>
      </c>
      <c r="K15" s="230">
        <v>0</v>
      </c>
      <c r="L15" s="241">
        <f t="shared" si="3"/>
        <v>2278</v>
      </c>
      <c r="M15" s="230">
        <v>238</v>
      </c>
      <c r="N15" s="230">
        <v>212</v>
      </c>
      <c r="O15" s="230">
        <v>82</v>
      </c>
      <c r="P15" s="230">
        <v>10</v>
      </c>
      <c r="Q15" s="230">
        <v>6</v>
      </c>
      <c r="R15" s="230">
        <v>0</v>
      </c>
      <c r="S15" s="230">
        <v>0</v>
      </c>
      <c r="T15" s="230">
        <v>3</v>
      </c>
      <c r="U15" s="340"/>
      <c r="V15" s="321">
        <f t="shared" si="0"/>
        <v>551</v>
      </c>
      <c r="W15" s="251"/>
      <c r="X15" s="248">
        <v>658</v>
      </c>
      <c r="Y15" s="248">
        <v>0</v>
      </c>
      <c r="Z15" s="247">
        <f t="shared" si="1"/>
        <v>3487</v>
      </c>
      <c r="AA15" s="215">
        <f t="shared" si="2"/>
        <v>2261</v>
      </c>
    </row>
    <row r="16" spans="1:27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1503</v>
      </c>
      <c r="K16" s="230">
        <v>0</v>
      </c>
      <c r="L16" s="241">
        <f t="shared" si="3"/>
        <v>1503</v>
      </c>
      <c r="M16" s="230">
        <v>0</v>
      </c>
      <c r="N16" s="230">
        <v>0</v>
      </c>
      <c r="O16" s="230">
        <v>0</v>
      </c>
      <c r="P16" s="230">
        <v>0</v>
      </c>
      <c r="Q16" s="230">
        <v>0</v>
      </c>
      <c r="R16" s="230">
        <v>0</v>
      </c>
      <c r="S16" s="230">
        <v>0</v>
      </c>
      <c r="T16" s="230">
        <v>0</v>
      </c>
      <c r="U16" s="340"/>
      <c r="V16" s="321">
        <f t="shared" si="0"/>
        <v>0</v>
      </c>
      <c r="W16" s="251"/>
      <c r="X16" s="204"/>
      <c r="Y16" s="204"/>
      <c r="Z16" s="247">
        <f t="shared" si="1"/>
        <v>1503</v>
      </c>
      <c r="AA16" s="215">
        <f t="shared" si="2"/>
        <v>0</v>
      </c>
    </row>
    <row r="17" spans="1:27" x14ac:dyDescent="0.25">
      <c r="A17" s="136" t="s">
        <v>123</v>
      </c>
      <c r="B17" s="137" t="s">
        <v>277</v>
      </c>
      <c r="C17" s="230">
        <v>40</v>
      </c>
      <c r="D17" s="230">
        <v>43</v>
      </c>
      <c r="E17" s="230">
        <v>17</v>
      </c>
      <c r="F17" s="230">
        <v>2</v>
      </c>
      <c r="G17" s="230">
        <v>2</v>
      </c>
      <c r="H17" s="230">
        <v>4</v>
      </c>
      <c r="I17" s="230">
        <v>0</v>
      </c>
      <c r="J17" s="230">
        <v>10</v>
      </c>
      <c r="K17" s="230">
        <v>0</v>
      </c>
      <c r="L17" s="241">
        <f t="shared" si="3"/>
        <v>118</v>
      </c>
      <c r="M17" s="230">
        <v>111</v>
      </c>
      <c r="N17" s="230">
        <v>108</v>
      </c>
      <c r="O17" s="230">
        <v>75</v>
      </c>
      <c r="P17" s="230">
        <v>6</v>
      </c>
      <c r="Q17" s="230">
        <v>6</v>
      </c>
      <c r="R17" s="230">
        <v>18</v>
      </c>
      <c r="S17" s="230">
        <v>0</v>
      </c>
      <c r="T17" s="230">
        <v>6</v>
      </c>
      <c r="U17" s="340"/>
      <c r="V17" s="321">
        <f t="shared" si="0"/>
        <v>330</v>
      </c>
      <c r="W17" s="248">
        <v>10</v>
      </c>
      <c r="X17" s="204">
        <v>53</v>
      </c>
      <c r="Y17" s="204">
        <v>24</v>
      </c>
      <c r="Z17" s="247">
        <f t="shared" si="1"/>
        <v>535</v>
      </c>
      <c r="AA17" s="215">
        <f t="shared" si="2"/>
        <v>310</v>
      </c>
    </row>
    <row r="18" spans="1:27" x14ac:dyDescent="0.25">
      <c r="A18" s="136" t="s">
        <v>128</v>
      </c>
      <c r="B18" s="137" t="s">
        <v>332</v>
      </c>
      <c r="C18" s="230">
        <v>76</v>
      </c>
      <c r="D18" s="230">
        <v>48</v>
      </c>
      <c r="E18" s="230">
        <v>32</v>
      </c>
      <c r="F18" s="230">
        <v>3</v>
      </c>
      <c r="G18" s="230">
        <v>0</v>
      </c>
      <c r="H18" s="230">
        <v>0</v>
      </c>
      <c r="I18" s="230">
        <v>0</v>
      </c>
      <c r="J18" s="230">
        <v>25</v>
      </c>
      <c r="K18" s="230">
        <v>0</v>
      </c>
      <c r="L18" s="241">
        <f t="shared" si="3"/>
        <v>184</v>
      </c>
      <c r="M18" s="230">
        <v>225</v>
      </c>
      <c r="N18" s="230">
        <v>349</v>
      </c>
      <c r="O18" s="230">
        <v>104</v>
      </c>
      <c r="P18" s="230">
        <v>27</v>
      </c>
      <c r="Q18" s="230">
        <v>8</v>
      </c>
      <c r="R18" s="230">
        <v>0</v>
      </c>
      <c r="S18" s="230">
        <v>0</v>
      </c>
      <c r="T18" s="230">
        <v>2</v>
      </c>
      <c r="U18" s="340"/>
      <c r="V18" s="321">
        <f t="shared" si="0"/>
        <v>715</v>
      </c>
      <c r="W18" s="251"/>
      <c r="X18" s="204"/>
      <c r="Y18" s="204"/>
      <c r="Z18" s="247">
        <f t="shared" si="1"/>
        <v>899</v>
      </c>
      <c r="AA18" s="215">
        <f t="shared" si="2"/>
        <v>728</v>
      </c>
    </row>
    <row r="19" spans="1:27" x14ac:dyDescent="0.25">
      <c r="A19" s="136" t="s">
        <v>150</v>
      </c>
      <c r="B19" s="137" t="s">
        <v>278</v>
      </c>
      <c r="C19" s="230">
        <v>1320</v>
      </c>
      <c r="D19" s="230">
        <v>262</v>
      </c>
      <c r="E19" s="230">
        <v>587</v>
      </c>
      <c r="F19" s="230">
        <v>24</v>
      </c>
      <c r="G19" s="230">
        <v>11</v>
      </c>
      <c r="H19" s="230">
        <v>17</v>
      </c>
      <c r="I19" s="230">
        <v>0</v>
      </c>
      <c r="J19" s="230">
        <v>76</v>
      </c>
      <c r="K19" s="230">
        <v>0</v>
      </c>
      <c r="L19" s="241">
        <f>SUM(C19:K19)</f>
        <v>2297</v>
      </c>
      <c r="M19" s="230">
        <v>384</v>
      </c>
      <c r="N19" s="230">
        <v>300</v>
      </c>
      <c r="O19" s="230">
        <v>119</v>
      </c>
      <c r="P19" s="230">
        <v>16</v>
      </c>
      <c r="Q19" s="230">
        <v>5</v>
      </c>
      <c r="R19" s="230">
        <v>0</v>
      </c>
      <c r="S19" s="230">
        <v>0</v>
      </c>
      <c r="T19" s="230">
        <v>4</v>
      </c>
      <c r="U19" s="340"/>
      <c r="V19" s="321">
        <f t="shared" si="0"/>
        <v>828</v>
      </c>
      <c r="W19" s="248">
        <v>291</v>
      </c>
      <c r="X19" s="204"/>
      <c r="Y19" s="204"/>
      <c r="Z19" s="247">
        <f t="shared" si="1"/>
        <v>3416</v>
      </c>
      <c r="AA19" s="215">
        <f t="shared" si="2"/>
        <v>2306</v>
      </c>
    </row>
    <row r="20" spans="1:27" x14ac:dyDescent="0.25">
      <c r="A20" s="136" t="s">
        <v>181</v>
      </c>
      <c r="B20" s="137" t="s">
        <v>335</v>
      </c>
      <c r="C20" s="230">
        <v>578</v>
      </c>
      <c r="D20" s="230">
        <v>898</v>
      </c>
      <c r="E20" s="230">
        <v>95</v>
      </c>
      <c r="F20" s="230">
        <v>46</v>
      </c>
      <c r="G20" s="230">
        <v>25</v>
      </c>
      <c r="H20" s="230">
        <v>0</v>
      </c>
      <c r="I20" s="230">
        <v>0</v>
      </c>
      <c r="J20" s="230">
        <v>272</v>
      </c>
      <c r="K20" s="230">
        <v>68</v>
      </c>
      <c r="L20" s="241">
        <f>SUM(C20:K20)</f>
        <v>1982</v>
      </c>
      <c r="M20" s="230">
        <v>637</v>
      </c>
      <c r="N20" s="230">
        <v>1258</v>
      </c>
      <c r="O20" s="230">
        <v>277</v>
      </c>
      <c r="P20" s="230">
        <v>68</v>
      </c>
      <c r="Q20" s="230">
        <v>47</v>
      </c>
      <c r="R20" s="230">
        <v>0</v>
      </c>
      <c r="S20" s="230">
        <v>0</v>
      </c>
      <c r="T20" s="230">
        <v>2</v>
      </c>
      <c r="U20" s="340"/>
      <c r="V20" s="321">
        <f t="shared" si="0"/>
        <v>2289</v>
      </c>
      <c r="W20" s="249"/>
      <c r="X20" s="209"/>
      <c r="Y20" s="209"/>
      <c r="Z20" s="247">
        <f t="shared" si="1"/>
        <v>4271</v>
      </c>
      <c r="AA20" s="215">
        <f t="shared" si="2"/>
        <v>3553</v>
      </c>
    </row>
    <row r="21" spans="1:27" x14ac:dyDescent="0.25">
      <c r="A21" s="137" t="s">
        <v>184</v>
      </c>
      <c r="B21" s="418" t="s">
        <v>279</v>
      </c>
      <c r="C21" s="230">
        <v>371</v>
      </c>
      <c r="D21" s="230">
        <v>169</v>
      </c>
      <c r="E21" s="230">
        <v>75</v>
      </c>
      <c r="F21" s="230">
        <v>23</v>
      </c>
      <c r="G21" s="230">
        <v>9</v>
      </c>
      <c r="H21" s="230">
        <v>0</v>
      </c>
      <c r="I21" s="230">
        <v>23</v>
      </c>
      <c r="J21" s="230">
        <v>21</v>
      </c>
      <c r="K21" s="230">
        <v>0</v>
      </c>
      <c r="L21" s="241">
        <f>SUM(C21:K21)</f>
        <v>691</v>
      </c>
      <c r="M21" s="230">
        <v>521</v>
      </c>
      <c r="N21" s="230">
        <v>870</v>
      </c>
      <c r="O21" s="230">
        <v>154</v>
      </c>
      <c r="P21" s="230">
        <v>37</v>
      </c>
      <c r="Q21" s="230">
        <v>21</v>
      </c>
      <c r="R21" s="230">
        <v>0</v>
      </c>
      <c r="S21" s="230">
        <v>0</v>
      </c>
      <c r="T21" s="230">
        <v>70</v>
      </c>
      <c r="U21" s="340"/>
      <c r="V21" s="321">
        <f t="shared" si="0"/>
        <v>1673</v>
      </c>
      <c r="W21" s="248">
        <v>270</v>
      </c>
      <c r="X21" s="204"/>
      <c r="Y21" s="204"/>
      <c r="Z21" s="247">
        <f t="shared" si="1"/>
        <v>2634</v>
      </c>
      <c r="AA21" s="215">
        <f t="shared" si="2"/>
        <v>1991</v>
      </c>
    </row>
    <row r="22" spans="1:27" ht="17.25" customHeight="1" thickBot="1" x14ac:dyDescent="0.3">
      <c r="A22" s="137" t="s">
        <v>194</v>
      </c>
      <c r="B22" s="500" t="s">
        <v>280</v>
      </c>
      <c r="C22" s="265">
        <v>0</v>
      </c>
      <c r="D22" s="265">
        <v>0</v>
      </c>
      <c r="E22" s="265">
        <v>851</v>
      </c>
      <c r="F22" s="265">
        <v>0</v>
      </c>
      <c r="G22" s="265">
        <v>0</v>
      </c>
      <c r="H22" s="265">
        <v>0</v>
      </c>
      <c r="I22" s="265">
        <v>0</v>
      </c>
      <c r="J22" s="265">
        <v>3565</v>
      </c>
      <c r="K22" s="265">
        <v>0</v>
      </c>
      <c r="L22" s="268">
        <f>SUM(C22:K22)</f>
        <v>4416</v>
      </c>
      <c r="M22" s="265">
        <v>0</v>
      </c>
      <c r="N22" s="265">
        <v>0</v>
      </c>
      <c r="O22" s="265">
        <v>0</v>
      </c>
      <c r="P22" s="265">
        <v>0</v>
      </c>
      <c r="Q22" s="265">
        <v>0</v>
      </c>
      <c r="R22" s="265">
        <v>0</v>
      </c>
      <c r="S22" s="265">
        <v>0</v>
      </c>
      <c r="T22" s="265">
        <v>0</v>
      </c>
      <c r="U22" s="375"/>
      <c r="V22" s="353">
        <f t="shared" si="0"/>
        <v>0</v>
      </c>
      <c r="W22" s="254"/>
      <c r="X22" s="227"/>
      <c r="Y22" s="227"/>
      <c r="Z22" s="247">
        <f t="shared" si="1"/>
        <v>4416</v>
      </c>
      <c r="AA22" s="215">
        <f t="shared" si="2"/>
        <v>0</v>
      </c>
    </row>
    <row r="23" spans="1:27" s="110" customFormat="1" ht="14.4" thickBot="1" x14ac:dyDescent="0.3">
      <c r="A23" s="134"/>
      <c r="B23" s="450" t="s">
        <v>457</v>
      </c>
      <c r="C23" s="258">
        <f t="shared" ref="C23:AA23" si="4">SUM(C6:C22)</f>
        <v>9977</v>
      </c>
      <c r="D23" s="157">
        <f t="shared" si="4"/>
        <v>4918</v>
      </c>
      <c r="E23" s="157">
        <f t="shared" si="4"/>
        <v>3510</v>
      </c>
      <c r="F23" s="157">
        <f t="shared" si="4"/>
        <v>270</v>
      </c>
      <c r="G23" s="157">
        <f t="shared" si="4"/>
        <v>191</v>
      </c>
      <c r="H23" s="157">
        <f t="shared" si="4"/>
        <v>21</v>
      </c>
      <c r="I23" s="157">
        <f t="shared" si="4"/>
        <v>330</v>
      </c>
      <c r="J23" s="157">
        <f t="shared" si="4"/>
        <v>7257</v>
      </c>
      <c r="K23" s="259">
        <f t="shared" si="4"/>
        <v>68</v>
      </c>
      <c r="L23" s="263">
        <f t="shared" si="4"/>
        <v>26542</v>
      </c>
      <c r="M23" s="262">
        <f t="shared" si="4"/>
        <v>3975</v>
      </c>
      <c r="N23" s="158">
        <f t="shared" si="4"/>
        <v>6270</v>
      </c>
      <c r="O23" s="158">
        <f t="shared" si="4"/>
        <v>1655</v>
      </c>
      <c r="P23" s="158">
        <f t="shared" si="4"/>
        <v>362</v>
      </c>
      <c r="Q23" s="158">
        <f t="shared" si="4"/>
        <v>231</v>
      </c>
      <c r="R23" s="158">
        <f t="shared" si="4"/>
        <v>138</v>
      </c>
      <c r="S23" s="158">
        <f t="shared" si="4"/>
        <v>32</v>
      </c>
      <c r="T23" s="264">
        <f t="shared" si="4"/>
        <v>349</v>
      </c>
      <c r="U23" s="401">
        <f t="shared" si="4"/>
        <v>0</v>
      </c>
      <c r="V23" s="263">
        <f t="shared" si="4"/>
        <v>13012</v>
      </c>
      <c r="W23" s="274">
        <f t="shared" si="4"/>
        <v>9619</v>
      </c>
      <c r="X23" s="208">
        <f t="shared" si="4"/>
        <v>711</v>
      </c>
      <c r="Y23" s="208">
        <f>SUM(Y6:Y22)</f>
        <v>24</v>
      </c>
      <c r="Z23" s="208">
        <f t="shared" si="4"/>
        <v>49908</v>
      </c>
      <c r="AA23" s="208">
        <f t="shared" si="4"/>
        <v>25840</v>
      </c>
    </row>
    <row r="24" spans="1:27" x14ac:dyDescent="0.25">
      <c r="A24" s="136" t="s">
        <v>72</v>
      </c>
      <c r="B24" s="137" t="s">
        <v>356</v>
      </c>
      <c r="C24" s="280">
        <v>742</v>
      </c>
      <c r="D24" s="280">
        <v>994</v>
      </c>
      <c r="E24" s="280">
        <v>149</v>
      </c>
      <c r="F24" s="280">
        <v>41</v>
      </c>
      <c r="G24" s="280">
        <v>14</v>
      </c>
      <c r="H24" s="280">
        <v>18</v>
      </c>
      <c r="I24" s="280">
        <v>0</v>
      </c>
      <c r="J24" s="280">
        <v>236</v>
      </c>
      <c r="K24" s="280">
        <v>167</v>
      </c>
      <c r="L24" s="234">
        <f>SUM(C24:K24)</f>
        <v>2361</v>
      </c>
      <c r="M24" s="280">
        <v>7</v>
      </c>
      <c r="N24" s="280">
        <v>8</v>
      </c>
      <c r="O24" s="280">
        <v>0</v>
      </c>
      <c r="P24" s="280">
        <v>0</v>
      </c>
      <c r="Q24" s="280">
        <v>0</v>
      </c>
      <c r="R24" s="280">
        <v>0</v>
      </c>
      <c r="S24" s="280">
        <v>0</v>
      </c>
      <c r="T24" s="280">
        <v>2</v>
      </c>
      <c r="U24" s="280">
        <v>0</v>
      </c>
      <c r="V24" s="354">
        <f t="shared" ref="V24:V36" si="5">SUM(M24:U24)</f>
        <v>17</v>
      </c>
      <c r="W24" s="270"/>
      <c r="X24" s="204"/>
      <c r="Y24" s="204"/>
      <c r="Z24" s="247">
        <f t="shared" ref="Z24:Z36" si="6">L24+V24+W24+X24+Y24</f>
        <v>2378</v>
      </c>
      <c r="AA24" s="215">
        <f t="shared" ref="AA24:AA36" si="7">C24+D24+F24+K24+M24+N24+P24+U24</f>
        <v>1959</v>
      </c>
    </row>
    <row r="25" spans="1:27" x14ac:dyDescent="0.25">
      <c r="A25" s="136" t="s">
        <v>85</v>
      </c>
      <c r="B25" s="137" t="s">
        <v>281</v>
      </c>
      <c r="C25" s="230">
        <v>1068</v>
      </c>
      <c r="D25" s="230">
        <v>750</v>
      </c>
      <c r="E25" s="230">
        <v>197</v>
      </c>
      <c r="F25" s="230">
        <v>73</v>
      </c>
      <c r="G25" s="230">
        <v>73</v>
      </c>
      <c r="H25" s="230">
        <v>0</v>
      </c>
      <c r="I25" s="230">
        <v>0</v>
      </c>
      <c r="J25" s="230">
        <v>90</v>
      </c>
      <c r="K25" s="230">
        <v>0</v>
      </c>
      <c r="L25" s="234">
        <f t="shared" ref="L25:L36" si="8">SUM(C25:K25)</f>
        <v>2251</v>
      </c>
      <c r="M25" s="230">
        <v>728</v>
      </c>
      <c r="N25" s="230">
        <v>1221</v>
      </c>
      <c r="O25" s="230">
        <v>484</v>
      </c>
      <c r="P25" s="230">
        <v>75</v>
      </c>
      <c r="Q25" s="230">
        <v>45</v>
      </c>
      <c r="R25" s="230">
        <v>0</v>
      </c>
      <c r="S25" s="230">
        <v>0</v>
      </c>
      <c r="T25" s="230">
        <v>1</v>
      </c>
      <c r="U25" s="230">
        <v>0</v>
      </c>
      <c r="V25" s="321">
        <f t="shared" si="5"/>
        <v>2554</v>
      </c>
      <c r="W25" s="245">
        <v>342</v>
      </c>
      <c r="X25" s="204"/>
      <c r="Y25" s="204"/>
      <c r="Z25" s="247">
        <f t="shared" si="6"/>
        <v>5147</v>
      </c>
      <c r="AA25" s="215">
        <f t="shared" si="7"/>
        <v>3915</v>
      </c>
    </row>
    <row r="26" spans="1:27" x14ac:dyDescent="0.25">
      <c r="A26" s="136" t="s">
        <v>214</v>
      </c>
      <c r="B26" s="137" t="s">
        <v>282</v>
      </c>
      <c r="C26">
        <v>939</v>
      </c>
      <c r="D26">
        <v>713</v>
      </c>
      <c r="E26">
        <v>193</v>
      </c>
      <c r="F26">
        <v>46</v>
      </c>
      <c r="G26">
        <v>9</v>
      </c>
      <c r="H26">
        <v>0</v>
      </c>
      <c r="I26">
        <v>0</v>
      </c>
      <c r="J26">
        <v>81</v>
      </c>
      <c r="K26">
        <v>1</v>
      </c>
      <c r="L26" s="234">
        <f t="shared" si="8"/>
        <v>1982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230">
        <v>0</v>
      </c>
      <c r="V26" s="321">
        <f t="shared" si="5"/>
        <v>0</v>
      </c>
      <c r="W26" s="270"/>
      <c r="X26" s="204"/>
      <c r="Y26" s="204"/>
      <c r="Z26" s="247">
        <f t="shared" si="6"/>
        <v>1982</v>
      </c>
      <c r="AA26" s="215">
        <f t="shared" si="7"/>
        <v>1699</v>
      </c>
    </row>
    <row r="27" spans="1:27" x14ac:dyDescent="0.25">
      <c r="A27" s="136" t="s">
        <v>101</v>
      </c>
      <c r="B27" s="137" t="s">
        <v>283</v>
      </c>
      <c r="C27" s="230">
        <v>1301</v>
      </c>
      <c r="D27" s="230">
        <v>591</v>
      </c>
      <c r="E27" s="230">
        <v>212</v>
      </c>
      <c r="F27" s="230">
        <v>62</v>
      </c>
      <c r="G27" s="230">
        <v>23</v>
      </c>
      <c r="H27" s="230">
        <v>0</v>
      </c>
      <c r="I27" s="230">
        <v>0</v>
      </c>
      <c r="J27" s="230">
        <v>159</v>
      </c>
      <c r="K27" s="230">
        <v>0</v>
      </c>
      <c r="L27" s="234">
        <f t="shared" si="8"/>
        <v>2348</v>
      </c>
      <c r="M27" s="230">
        <v>134</v>
      </c>
      <c r="N27" s="230">
        <v>544</v>
      </c>
      <c r="O27" s="230">
        <v>70</v>
      </c>
      <c r="P27" s="230">
        <v>21</v>
      </c>
      <c r="Q27" s="230">
        <v>12</v>
      </c>
      <c r="R27" s="230">
        <v>0</v>
      </c>
      <c r="S27" s="230">
        <v>0</v>
      </c>
      <c r="T27" s="230">
        <v>0</v>
      </c>
      <c r="U27" s="230">
        <v>0</v>
      </c>
      <c r="V27" s="321">
        <f t="shared" si="5"/>
        <v>781</v>
      </c>
      <c r="W27" s="245">
        <v>943</v>
      </c>
      <c r="X27" s="204"/>
      <c r="Y27" s="204"/>
      <c r="Z27" s="247">
        <f t="shared" si="6"/>
        <v>4072</v>
      </c>
      <c r="AA27" s="215">
        <f t="shared" si="7"/>
        <v>2653</v>
      </c>
    </row>
    <row r="28" spans="1:27" x14ac:dyDescent="0.25">
      <c r="A28" s="136" t="s">
        <v>114</v>
      </c>
      <c r="B28" s="137" t="s">
        <v>284</v>
      </c>
      <c r="C28" s="230">
        <v>686</v>
      </c>
      <c r="D28" s="230">
        <v>197</v>
      </c>
      <c r="E28" s="230">
        <v>185</v>
      </c>
      <c r="F28" s="230">
        <v>38</v>
      </c>
      <c r="G28" s="230">
        <v>61</v>
      </c>
      <c r="H28" s="230">
        <v>0</v>
      </c>
      <c r="I28" s="230">
        <v>1693</v>
      </c>
      <c r="J28" s="230">
        <v>102</v>
      </c>
      <c r="K28" s="230">
        <v>0</v>
      </c>
      <c r="L28" s="234">
        <f t="shared" si="8"/>
        <v>2962</v>
      </c>
      <c r="M28" s="230">
        <v>454</v>
      </c>
      <c r="N28" s="230">
        <v>765</v>
      </c>
      <c r="O28" s="230">
        <v>423</v>
      </c>
      <c r="P28" s="230">
        <v>38</v>
      </c>
      <c r="Q28" s="230">
        <v>61</v>
      </c>
      <c r="R28" s="230">
        <v>84</v>
      </c>
      <c r="S28" s="230">
        <v>0</v>
      </c>
      <c r="T28" s="230">
        <v>10</v>
      </c>
      <c r="U28" s="230">
        <v>0</v>
      </c>
      <c r="V28" s="321">
        <f t="shared" si="5"/>
        <v>1835</v>
      </c>
      <c r="W28" s="245">
        <v>487</v>
      </c>
      <c r="X28" s="204"/>
      <c r="Y28" s="204"/>
      <c r="Z28" s="247">
        <f t="shared" si="6"/>
        <v>5284</v>
      </c>
      <c r="AA28" s="215">
        <f t="shared" si="7"/>
        <v>2178</v>
      </c>
    </row>
    <row r="29" spans="1:27" x14ac:dyDescent="0.25">
      <c r="A29" s="136" t="s">
        <v>115</v>
      </c>
      <c r="B29" s="137" t="s">
        <v>285</v>
      </c>
      <c r="C29" s="230">
        <v>378</v>
      </c>
      <c r="D29" s="230">
        <v>715</v>
      </c>
      <c r="E29" s="230">
        <v>20</v>
      </c>
      <c r="F29" s="230">
        <v>9</v>
      </c>
      <c r="G29" s="230">
        <v>10</v>
      </c>
      <c r="H29" s="230">
        <v>11</v>
      </c>
      <c r="I29" s="230">
        <v>0</v>
      </c>
      <c r="J29" s="230">
        <v>11</v>
      </c>
      <c r="K29" s="230">
        <v>0</v>
      </c>
      <c r="L29" s="234">
        <f t="shared" si="8"/>
        <v>1154</v>
      </c>
      <c r="M29" s="230">
        <v>0</v>
      </c>
      <c r="N29" s="230">
        <v>0</v>
      </c>
      <c r="O29" s="230">
        <v>0</v>
      </c>
      <c r="P29" s="230">
        <v>0</v>
      </c>
      <c r="Q29" s="230">
        <v>0</v>
      </c>
      <c r="R29" s="230">
        <v>0</v>
      </c>
      <c r="S29" s="230">
        <v>0</v>
      </c>
      <c r="T29" s="230">
        <v>0</v>
      </c>
      <c r="U29" s="230">
        <v>0</v>
      </c>
      <c r="V29" s="321">
        <f t="shared" si="5"/>
        <v>0</v>
      </c>
      <c r="W29" s="245">
        <v>0</v>
      </c>
      <c r="X29" s="204"/>
      <c r="Y29" s="204"/>
      <c r="Z29" s="247">
        <f t="shared" si="6"/>
        <v>1154</v>
      </c>
      <c r="AA29" s="215">
        <f t="shared" si="7"/>
        <v>1102</v>
      </c>
    </row>
    <row r="30" spans="1:27" x14ac:dyDescent="0.25">
      <c r="A30" s="136" t="s">
        <v>127</v>
      </c>
      <c r="B30" s="137" t="s">
        <v>286</v>
      </c>
      <c r="C30" s="230">
        <v>4625</v>
      </c>
      <c r="D30" s="230">
        <v>1766</v>
      </c>
      <c r="E30" s="230">
        <v>2190</v>
      </c>
      <c r="F30" s="230">
        <v>48</v>
      </c>
      <c r="G30" s="230">
        <v>113</v>
      </c>
      <c r="H30" s="230">
        <v>0</v>
      </c>
      <c r="I30" s="230">
        <v>0</v>
      </c>
      <c r="J30" s="230">
        <v>469</v>
      </c>
      <c r="K30" s="230">
        <v>0</v>
      </c>
      <c r="L30" s="234">
        <f t="shared" si="8"/>
        <v>9211</v>
      </c>
      <c r="M30" s="230">
        <v>284</v>
      </c>
      <c r="N30" s="230">
        <v>502</v>
      </c>
      <c r="O30" s="230">
        <v>127</v>
      </c>
      <c r="P30" s="230">
        <v>0</v>
      </c>
      <c r="Q30" s="230">
        <v>57</v>
      </c>
      <c r="R30" s="230">
        <v>0</v>
      </c>
      <c r="S30" s="230">
        <v>0</v>
      </c>
      <c r="T30" s="230">
        <v>46</v>
      </c>
      <c r="U30" s="230">
        <v>0</v>
      </c>
      <c r="V30" s="321">
        <f t="shared" si="5"/>
        <v>1016</v>
      </c>
      <c r="W30" s="245">
        <v>128</v>
      </c>
      <c r="X30" s="236"/>
      <c r="Y30" s="204"/>
      <c r="Z30" s="247">
        <f t="shared" si="6"/>
        <v>10355</v>
      </c>
      <c r="AA30" s="215">
        <f t="shared" si="7"/>
        <v>7225</v>
      </c>
    </row>
    <row r="31" spans="1:27" x14ac:dyDescent="0.25">
      <c r="A31" s="136" t="s">
        <v>129</v>
      </c>
      <c r="B31" s="137" t="s">
        <v>287</v>
      </c>
      <c r="C31" s="230">
        <v>1240</v>
      </c>
      <c r="D31" s="230">
        <v>988</v>
      </c>
      <c r="E31" s="230">
        <v>617</v>
      </c>
      <c r="F31" s="230">
        <v>81</v>
      </c>
      <c r="G31" s="230">
        <v>77</v>
      </c>
      <c r="H31" s="230">
        <v>0</v>
      </c>
      <c r="I31" s="230">
        <v>0</v>
      </c>
      <c r="J31" s="230">
        <v>188</v>
      </c>
      <c r="K31" s="230">
        <v>0</v>
      </c>
      <c r="L31" s="234">
        <f t="shared" si="8"/>
        <v>3191</v>
      </c>
      <c r="M31" s="230">
        <v>829</v>
      </c>
      <c r="N31" s="230">
        <v>1874</v>
      </c>
      <c r="O31" s="230">
        <v>827</v>
      </c>
      <c r="P31" s="230">
        <v>60</v>
      </c>
      <c r="Q31" s="230">
        <v>37</v>
      </c>
      <c r="R31" s="230">
        <v>65</v>
      </c>
      <c r="S31" s="230">
        <v>0</v>
      </c>
      <c r="T31" s="230">
        <v>7</v>
      </c>
      <c r="U31" s="230">
        <v>0</v>
      </c>
      <c r="V31" s="321">
        <f t="shared" si="5"/>
        <v>3699</v>
      </c>
      <c r="W31" s="245">
        <v>296</v>
      </c>
      <c r="X31" s="236"/>
      <c r="Y31" s="204"/>
      <c r="Z31" s="247">
        <f t="shared" si="6"/>
        <v>7186</v>
      </c>
      <c r="AA31" s="215">
        <f t="shared" si="7"/>
        <v>5072</v>
      </c>
    </row>
    <row r="32" spans="1:27" x14ac:dyDescent="0.25">
      <c r="A32" s="136" t="s">
        <v>139</v>
      </c>
      <c r="B32" s="137" t="s">
        <v>321</v>
      </c>
      <c r="C32" s="230">
        <v>564</v>
      </c>
      <c r="D32" s="230">
        <v>984</v>
      </c>
      <c r="E32" s="230">
        <v>333</v>
      </c>
      <c r="F32" s="230">
        <v>29</v>
      </c>
      <c r="G32" s="230">
        <v>30</v>
      </c>
      <c r="H32" s="230">
        <v>0</v>
      </c>
      <c r="I32" s="230">
        <v>17</v>
      </c>
      <c r="J32" s="230">
        <v>194</v>
      </c>
      <c r="K32" s="230">
        <v>180</v>
      </c>
      <c r="L32" s="234">
        <f t="shared" si="8"/>
        <v>2331</v>
      </c>
      <c r="M32" s="230">
        <v>178</v>
      </c>
      <c r="N32" s="230">
        <v>538</v>
      </c>
      <c r="O32" s="230">
        <v>176</v>
      </c>
      <c r="P32" s="230">
        <v>15</v>
      </c>
      <c r="Q32" s="230">
        <v>17</v>
      </c>
      <c r="R32" s="230">
        <v>2</v>
      </c>
      <c r="S32" s="230">
        <v>0</v>
      </c>
      <c r="T32" s="230">
        <v>14</v>
      </c>
      <c r="U32" s="230">
        <v>4</v>
      </c>
      <c r="V32" s="321">
        <f t="shared" si="5"/>
        <v>944</v>
      </c>
      <c r="W32" s="245">
        <v>530</v>
      </c>
      <c r="X32" s="236"/>
      <c r="Y32" s="204"/>
      <c r="Z32" s="247">
        <f t="shared" si="6"/>
        <v>3805</v>
      </c>
      <c r="AA32" s="215">
        <f t="shared" si="7"/>
        <v>2492</v>
      </c>
    </row>
    <row r="33" spans="1:27" x14ac:dyDescent="0.25">
      <c r="A33" s="140" t="s">
        <v>151</v>
      </c>
      <c r="B33" s="161" t="s">
        <v>323</v>
      </c>
      <c r="C33" s="230">
        <v>0</v>
      </c>
      <c r="D33" s="230">
        <v>0</v>
      </c>
      <c r="E33" s="230">
        <v>312</v>
      </c>
      <c r="F33" s="230">
        <v>0</v>
      </c>
      <c r="G33" s="230">
        <v>0</v>
      </c>
      <c r="H33" s="230">
        <v>0</v>
      </c>
      <c r="I33" s="230">
        <v>65</v>
      </c>
      <c r="J33" s="230">
        <v>1363</v>
      </c>
      <c r="K33" s="230">
        <v>0</v>
      </c>
      <c r="L33" s="234">
        <f t="shared" si="8"/>
        <v>1740</v>
      </c>
      <c r="M33" s="147"/>
      <c r="N33" s="147"/>
      <c r="O33" s="147"/>
      <c r="P33" s="147"/>
      <c r="Q33" s="147"/>
      <c r="R33" s="147"/>
      <c r="S33" s="147"/>
      <c r="T33" s="147"/>
      <c r="U33" s="147"/>
      <c r="V33" s="321">
        <f t="shared" si="5"/>
        <v>0</v>
      </c>
      <c r="W33" s="249"/>
      <c r="X33" s="236"/>
      <c r="Y33" s="204"/>
      <c r="Z33" s="247">
        <f t="shared" si="6"/>
        <v>1740</v>
      </c>
      <c r="AA33" s="215">
        <f t="shared" si="7"/>
        <v>0</v>
      </c>
    </row>
    <row r="34" spans="1:27" x14ac:dyDescent="0.25">
      <c r="A34" s="136" t="s">
        <v>170</v>
      </c>
      <c r="B34" s="137" t="s">
        <v>288</v>
      </c>
      <c r="C34" s="230"/>
      <c r="D34" s="230"/>
      <c r="E34" s="230"/>
      <c r="F34" s="230"/>
      <c r="G34" s="230"/>
      <c r="H34" s="230"/>
      <c r="I34" s="230"/>
      <c r="J34" s="230"/>
      <c r="K34" s="230"/>
      <c r="L34" s="234">
        <f t="shared" si="8"/>
        <v>0</v>
      </c>
      <c r="M34" s="230"/>
      <c r="N34" s="230"/>
      <c r="O34" s="230"/>
      <c r="P34" s="230"/>
      <c r="Q34" s="230"/>
      <c r="R34" s="230"/>
      <c r="S34" s="230"/>
      <c r="T34" s="230"/>
      <c r="U34" s="230"/>
      <c r="V34" s="321">
        <f t="shared" si="5"/>
        <v>0</v>
      </c>
      <c r="W34" s="326">
        <v>0</v>
      </c>
      <c r="X34" s="230"/>
      <c r="Y34" s="204"/>
      <c r="Z34" s="247">
        <f t="shared" si="6"/>
        <v>0</v>
      </c>
      <c r="AA34" s="217">
        <f t="shared" si="7"/>
        <v>0</v>
      </c>
    </row>
    <row r="35" spans="1:27" x14ac:dyDescent="0.25">
      <c r="A35" s="136" t="s">
        <v>171</v>
      </c>
      <c r="B35" s="137" t="s">
        <v>324</v>
      </c>
      <c r="C35" s="230">
        <v>903</v>
      </c>
      <c r="D35" s="230">
        <v>564</v>
      </c>
      <c r="E35" s="230">
        <v>515</v>
      </c>
      <c r="F35" s="230">
        <v>50</v>
      </c>
      <c r="G35" s="230">
        <v>27</v>
      </c>
      <c r="H35" s="230">
        <v>0</v>
      </c>
      <c r="I35" s="230">
        <v>37</v>
      </c>
      <c r="J35" s="230">
        <v>291</v>
      </c>
      <c r="K35" s="230">
        <v>0</v>
      </c>
      <c r="L35" s="234">
        <f t="shared" si="8"/>
        <v>2387</v>
      </c>
      <c r="M35" s="230">
        <v>662</v>
      </c>
      <c r="N35" s="230">
        <v>788</v>
      </c>
      <c r="O35" s="230">
        <v>547</v>
      </c>
      <c r="P35" s="230">
        <v>12</v>
      </c>
      <c r="Q35" s="230">
        <v>25</v>
      </c>
      <c r="R35" s="230">
        <v>0</v>
      </c>
      <c r="S35" s="230">
        <v>0</v>
      </c>
      <c r="T35" s="230">
        <v>9</v>
      </c>
      <c r="U35" s="230"/>
      <c r="V35" s="321">
        <f t="shared" si="5"/>
        <v>2043</v>
      </c>
      <c r="W35" s="245">
        <f>1031+232</f>
        <v>1263</v>
      </c>
      <c r="X35" s="230"/>
      <c r="Y35" s="204"/>
      <c r="Z35" s="247">
        <f t="shared" si="6"/>
        <v>5693</v>
      </c>
      <c r="AA35" s="215">
        <f t="shared" si="7"/>
        <v>2979</v>
      </c>
    </row>
    <row r="36" spans="1:27" ht="13.8" thickBot="1" x14ac:dyDescent="0.3">
      <c r="A36" s="136" t="s">
        <v>362</v>
      </c>
      <c r="B36" s="137" t="s">
        <v>289</v>
      </c>
      <c r="C36" s="265">
        <v>514</v>
      </c>
      <c r="D36" s="265">
        <v>223</v>
      </c>
      <c r="E36" s="265">
        <v>113</v>
      </c>
      <c r="F36" s="265">
        <v>22</v>
      </c>
      <c r="G36" s="265">
        <v>20</v>
      </c>
      <c r="H36" s="265">
        <v>11</v>
      </c>
      <c r="I36" s="265">
        <v>0</v>
      </c>
      <c r="J36" s="265">
        <v>103</v>
      </c>
      <c r="K36" s="265">
        <v>7</v>
      </c>
      <c r="L36" s="234">
        <f t="shared" si="8"/>
        <v>1013</v>
      </c>
      <c r="M36" s="265">
        <v>0</v>
      </c>
      <c r="N36" s="265">
        <v>0</v>
      </c>
      <c r="O36" s="265">
        <v>0</v>
      </c>
      <c r="P36" s="265">
        <v>0</v>
      </c>
      <c r="Q36" s="265">
        <v>0</v>
      </c>
      <c r="R36" s="265">
        <v>0</v>
      </c>
      <c r="S36" s="265">
        <v>0</v>
      </c>
      <c r="T36" s="265">
        <v>40</v>
      </c>
      <c r="U36" s="265"/>
      <c r="V36" s="353">
        <f t="shared" si="5"/>
        <v>40</v>
      </c>
      <c r="W36" s="332"/>
      <c r="X36" s="230"/>
      <c r="Z36" s="247">
        <f t="shared" si="6"/>
        <v>1053</v>
      </c>
      <c r="AA36" s="217">
        <f t="shared" si="7"/>
        <v>766</v>
      </c>
    </row>
    <row r="37" spans="1:27" s="109" customFormat="1" ht="14.4" thickBot="1" x14ac:dyDescent="0.3">
      <c r="A37" s="134"/>
      <c r="B37" s="159" t="s">
        <v>458</v>
      </c>
      <c r="C37" s="258">
        <f t="shared" ref="C37:AA37" si="9">SUM(C24:C36)</f>
        <v>12960</v>
      </c>
      <c r="D37" s="157">
        <f t="shared" si="9"/>
        <v>8485</v>
      </c>
      <c r="E37" s="157">
        <f t="shared" si="9"/>
        <v>5036</v>
      </c>
      <c r="F37" s="157">
        <f t="shared" si="9"/>
        <v>499</v>
      </c>
      <c r="G37" s="157">
        <f t="shared" si="9"/>
        <v>457</v>
      </c>
      <c r="H37" s="157">
        <f t="shared" si="9"/>
        <v>40</v>
      </c>
      <c r="I37" s="157">
        <f t="shared" si="9"/>
        <v>1812</v>
      </c>
      <c r="J37" s="157">
        <f t="shared" si="9"/>
        <v>3287</v>
      </c>
      <c r="K37" s="259">
        <f t="shared" si="9"/>
        <v>355</v>
      </c>
      <c r="L37" s="260">
        <f t="shared" si="9"/>
        <v>32931</v>
      </c>
      <c r="M37" s="262">
        <f t="shared" si="9"/>
        <v>3276</v>
      </c>
      <c r="N37" s="158">
        <f t="shared" si="9"/>
        <v>6240</v>
      </c>
      <c r="O37" s="158">
        <f t="shared" si="9"/>
        <v>2654</v>
      </c>
      <c r="P37" s="158">
        <f t="shared" si="9"/>
        <v>221</v>
      </c>
      <c r="Q37" s="158">
        <f t="shared" si="9"/>
        <v>254</v>
      </c>
      <c r="R37" s="158">
        <f t="shared" si="9"/>
        <v>151</v>
      </c>
      <c r="S37" s="158">
        <f t="shared" si="9"/>
        <v>0</v>
      </c>
      <c r="T37" s="158">
        <f t="shared" si="9"/>
        <v>129</v>
      </c>
      <c r="U37" s="264">
        <f t="shared" si="9"/>
        <v>4</v>
      </c>
      <c r="V37" s="263">
        <f t="shared" si="9"/>
        <v>12929</v>
      </c>
      <c r="W37" s="400">
        <f t="shared" si="9"/>
        <v>3989</v>
      </c>
      <c r="X37" s="210">
        <f t="shared" si="9"/>
        <v>0</v>
      </c>
      <c r="Y37" s="210">
        <f>SUM(Y24:Y36)</f>
        <v>0</v>
      </c>
      <c r="Z37" s="210">
        <f t="shared" si="9"/>
        <v>49849</v>
      </c>
      <c r="AA37" s="210">
        <f t="shared" si="9"/>
        <v>32040</v>
      </c>
    </row>
    <row r="38" spans="1:27" x14ac:dyDescent="0.25">
      <c r="A38" s="136" t="s">
        <v>70</v>
      </c>
      <c r="B38" s="137" t="s">
        <v>313</v>
      </c>
      <c r="C38" s="280">
        <v>1061</v>
      </c>
      <c r="D38" s="280">
        <v>1328</v>
      </c>
      <c r="E38" s="280">
        <v>441</v>
      </c>
      <c r="F38" s="280">
        <v>36</v>
      </c>
      <c r="G38" s="280">
        <v>53</v>
      </c>
      <c r="H38" s="280">
        <v>0</v>
      </c>
      <c r="I38" s="280">
        <v>16</v>
      </c>
      <c r="J38" s="280">
        <v>351</v>
      </c>
      <c r="K38" s="280">
        <v>204</v>
      </c>
      <c r="L38" s="234">
        <f t="shared" ref="L38:L54" si="10">SUM(C38:K38)</f>
        <v>3490</v>
      </c>
      <c r="M38" s="280">
        <v>1166</v>
      </c>
      <c r="N38" s="280">
        <v>1495</v>
      </c>
      <c r="O38" s="280">
        <v>872</v>
      </c>
      <c r="P38" s="280">
        <v>32</v>
      </c>
      <c r="Q38" s="280">
        <v>34</v>
      </c>
      <c r="R38" s="280">
        <v>124</v>
      </c>
      <c r="S38" s="280">
        <v>0</v>
      </c>
      <c r="T38" s="280">
        <v>10</v>
      </c>
      <c r="U38" s="280">
        <v>14</v>
      </c>
      <c r="V38" s="354">
        <f t="shared" ref="V38:V54" si="11">SUM(M38:U38)</f>
        <v>3747</v>
      </c>
      <c r="W38" s="240">
        <v>597</v>
      </c>
      <c r="X38" s="240">
        <v>0</v>
      </c>
      <c r="Y38" s="240">
        <v>0</v>
      </c>
      <c r="Z38" s="247">
        <f t="shared" ref="Z38:Z54" si="12">L38+V38+W38+X38+Y38</f>
        <v>7834</v>
      </c>
      <c r="AA38" s="215">
        <f t="shared" ref="AA38:AA54" si="13">C38+D38+F38+K38+M38+N38+P38+U38</f>
        <v>5336</v>
      </c>
    </row>
    <row r="39" spans="1:27" x14ac:dyDescent="0.25">
      <c r="A39" s="136" t="s">
        <v>75</v>
      </c>
      <c r="B39" s="137" t="s">
        <v>336</v>
      </c>
      <c r="C39" s="230">
        <v>725</v>
      </c>
      <c r="D39" s="230">
        <v>1088</v>
      </c>
      <c r="E39" s="230">
        <v>402</v>
      </c>
      <c r="F39" s="230">
        <v>44</v>
      </c>
      <c r="G39" s="230">
        <v>60</v>
      </c>
      <c r="H39" s="230">
        <v>0</v>
      </c>
      <c r="I39" s="230">
        <v>0</v>
      </c>
      <c r="J39" s="230">
        <v>237</v>
      </c>
      <c r="K39" s="230">
        <v>0</v>
      </c>
      <c r="L39" s="232">
        <f t="shared" si="10"/>
        <v>2556</v>
      </c>
      <c r="M39" s="230">
        <v>396</v>
      </c>
      <c r="N39" s="230">
        <v>1015</v>
      </c>
      <c r="O39" s="230">
        <v>323</v>
      </c>
      <c r="P39" s="230">
        <v>68</v>
      </c>
      <c r="Q39" s="230">
        <v>29</v>
      </c>
      <c r="R39" s="230">
        <v>0</v>
      </c>
      <c r="S39" s="230">
        <v>0</v>
      </c>
      <c r="T39" s="230">
        <v>59</v>
      </c>
      <c r="U39" s="230">
        <v>0</v>
      </c>
      <c r="V39" s="321">
        <f t="shared" si="11"/>
        <v>1890</v>
      </c>
      <c r="W39" s="245">
        <v>585</v>
      </c>
      <c r="X39" s="233"/>
      <c r="Y39" s="233"/>
      <c r="Z39" s="247">
        <f t="shared" si="12"/>
        <v>5031</v>
      </c>
      <c r="AA39" s="215">
        <f t="shared" si="13"/>
        <v>3336</v>
      </c>
    </row>
    <row r="40" spans="1:27" x14ac:dyDescent="0.25">
      <c r="A40" s="136" t="s">
        <v>78</v>
      </c>
      <c r="B40" s="137" t="s">
        <v>314</v>
      </c>
      <c r="C40" s="230">
        <v>251</v>
      </c>
      <c r="D40" s="230">
        <v>450</v>
      </c>
      <c r="E40" s="230">
        <v>134</v>
      </c>
      <c r="F40" s="230">
        <v>7</v>
      </c>
      <c r="G40" s="230">
        <v>12</v>
      </c>
      <c r="H40" s="230">
        <v>0</v>
      </c>
      <c r="I40" s="230">
        <v>0</v>
      </c>
      <c r="J40" s="230">
        <v>93</v>
      </c>
      <c r="K40" s="230">
        <v>93</v>
      </c>
      <c r="L40" s="232">
        <f t="shared" si="10"/>
        <v>1040</v>
      </c>
      <c r="M40" s="230">
        <v>852</v>
      </c>
      <c r="N40" s="230">
        <v>737</v>
      </c>
      <c r="O40" s="230">
        <v>720</v>
      </c>
      <c r="P40" s="230">
        <v>8</v>
      </c>
      <c r="Q40" s="230">
        <v>25</v>
      </c>
      <c r="R40" s="230">
        <v>0</v>
      </c>
      <c r="S40" s="230">
        <v>0</v>
      </c>
      <c r="T40" s="230">
        <v>6</v>
      </c>
      <c r="U40" s="230">
        <v>1</v>
      </c>
      <c r="V40" s="321">
        <f t="shared" si="11"/>
        <v>2349</v>
      </c>
      <c r="W40" s="245">
        <v>889</v>
      </c>
      <c r="X40" s="233"/>
      <c r="Y40" s="233"/>
      <c r="Z40" s="247">
        <f t="shared" si="12"/>
        <v>4278</v>
      </c>
      <c r="AA40" s="215">
        <f t="shared" si="13"/>
        <v>2399</v>
      </c>
    </row>
    <row r="41" spans="1:27" x14ac:dyDescent="0.25">
      <c r="A41" s="136" t="s">
        <v>88</v>
      </c>
      <c r="B41" s="137" t="s">
        <v>337</v>
      </c>
      <c r="C41" s="230">
        <v>1865</v>
      </c>
      <c r="D41" s="230">
        <v>660</v>
      </c>
      <c r="E41" s="230">
        <v>414</v>
      </c>
      <c r="F41" s="230">
        <v>23</v>
      </c>
      <c r="G41" s="230">
        <v>47</v>
      </c>
      <c r="H41" s="230">
        <v>0</v>
      </c>
      <c r="I41" s="230">
        <v>0</v>
      </c>
      <c r="J41" s="230">
        <v>63</v>
      </c>
      <c r="K41" s="230">
        <v>0</v>
      </c>
      <c r="L41" s="232">
        <f t="shared" si="10"/>
        <v>3072</v>
      </c>
      <c r="M41" s="230">
        <v>1389</v>
      </c>
      <c r="N41" s="230">
        <v>630</v>
      </c>
      <c r="O41" s="230">
        <v>585</v>
      </c>
      <c r="P41" s="230">
        <v>14</v>
      </c>
      <c r="Q41" s="230">
        <v>22</v>
      </c>
      <c r="R41" s="230">
        <v>0</v>
      </c>
      <c r="S41" s="230">
        <v>10</v>
      </c>
      <c r="T41" s="230">
        <v>4</v>
      </c>
      <c r="U41" s="230">
        <v>0</v>
      </c>
      <c r="V41" s="321">
        <f t="shared" si="11"/>
        <v>2654</v>
      </c>
      <c r="W41" s="245">
        <v>0</v>
      </c>
      <c r="X41" s="233"/>
      <c r="Y41" s="233"/>
      <c r="Z41" s="247">
        <f t="shared" si="12"/>
        <v>5726</v>
      </c>
      <c r="AA41" s="215">
        <f t="shared" si="13"/>
        <v>4581</v>
      </c>
    </row>
    <row r="42" spans="1:27" x14ac:dyDescent="0.25">
      <c r="A42" s="136" t="s">
        <v>99</v>
      </c>
      <c r="B42" s="137" t="s">
        <v>338</v>
      </c>
      <c r="C42" s="230">
        <v>13806</v>
      </c>
      <c r="D42" s="230">
        <v>3170</v>
      </c>
      <c r="E42" s="230">
        <v>3674</v>
      </c>
      <c r="F42" s="230">
        <v>198</v>
      </c>
      <c r="G42" s="230">
        <v>172</v>
      </c>
      <c r="H42" s="230">
        <v>53</v>
      </c>
      <c r="I42" s="230">
        <v>1030</v>
      </c>
      <c r="J42" s="230">
        <v>823</v>
      </c>
      <c r="K42" s="230">
        <v>0</v>
      </c>
      <c r="L42" s="232">
        <f t="shared" si="10"/>
        <v>22926</v>
      </c>
      <c r="M42" s="230">
        <v>988</v>
      </c>
      <c r="N42" s="230">
        <v>703</v>
      </c>
      <c r="O42" s="230">
        <v>761</v>
      </c>
      <c r="P42" s="230">
        <v>6</v>
      </c>
      <c r="Q42" s="230">
        <v>19</v>
      </c>
      <c r="R42" s="230">
        <v>385</v>
      </c>
      <c r="S42" s="230">
        <v>51</v>
      </c>
      <c r="T42" s="230">
        <v>6</v>
      </c>
      <c r="U42" s="230">
        <v>0</v>
      </c>
      <c r="V42" s="321">
        <f t="shared" si="11"/>
        <v>2919</v>
      </c>
      <c r="W42" s="245">
        <v>1933</v>
      </c>
      <c r="X42" s="245">
        <f>10+50</f>
        <v>60</v>
      </c>
      <c r="Y42" s="233">
        <f>39+12</f>
        <v>51</v>
      </c>
      <c r="Z42" s="247">
        <f t="shared" si="12"/>
        <v>27889</v>
      </c>
      <c r="AA42" s="215">
        <f t="shared" si="13"/>
        <v>18871</v>
      </c>
    </row>
    <row r="43" spans="1:27" x14ac:dyDescent="0.25">
      <c r="A43" s="136" t="s">
        <v>113</v>
      </c>
      <c r="B43" s="137" t="s">
        <v>339</v>
      </c>
      <c r="C43" s="230">
        <v>3044</v>
      </c>
      <c r="D43" s="230">
        <v>2133</v>
      </c>
      <c r="E43" s="230">
        <v>1264</v>
      </c>
      <c r="F43" s="230">
        <v>156</v>
      </c>
      <c r="G43" s="230">
        <v>79</v>
      </c>
      <c r="H43" s="230">
        <v>0</v>
      </c>
      <c r="I43" s="230">
        <v>0</v>
      </c>
      <c r="J43" s="230">
        <v>576</v>
      </c>
      <c r="K43" s="230">
        <v>0</v>
      </c>
      <c r="L43" s="232">
        <f t="shared" si="10"/>
        <v>7252</v>
      </c>
      <c r="M43" s="230">
        <v>5359</v>
      </c>
      <c r="N43" s="230">
        <v>8474</v>
      </c>
      <c r="O43" s="230">
        <v>5096</v>
      </c>
      <c r="P43" s="230">
        <v>193</v>
      </c>
      <c r="Q43" s="230">
        <v>251</v>
      </c>
      <c r="R43" s="230">
        <v>46</v>
      </c>
      <c r="S43" s="230">
        <v>22</v>
      </c>
      <c r="T43" s="230">
        <v>73</v>
      </c>
      <c r="U43" s="230">
        <v>0</v>
      </c>
      <c r="V43" s="321">
        <f t="shared" si="11"/>
        <v>19514</v>
      </c>
      <c r="W43" s="245">
        <v>877</v>
      </c>
      <c r="X43" s="233"/>
      <c r="Y43" s="233"/>
      <c r="Z43" s="247">
        <f t="shared" si="12"/>
        <v>27643</v>
      </c>
      <c r="AA43" s="215">
        <f t="shared" si="13"/>
        <v>19359</v>
      </c>
    </row>
    <row r="44" spans="1:27" x14ac:dyDescent="0.25">
      <c r="A44" s="136" t="s">
        <v>116</v>
      </c>
      <c r="B44" s="137" t="s">
        <v>316</v>
      </c>
      <c r="C44" s="230">
        <v>2646</v>
      </c>
      <c r="D44" s="230">
        <v>2426</v>
      </c>
      <c r="E44" s="230">
        <v>1243</v>
      </c>
      <c r="F44" s="230">
        <v>65</v>
      </c>
      <c r="G44" s="230">
        <v>192</v>
      </c>
      <c r="H44" s="230">
        <v>0</v>
      </c>
      <c r="I44" s="230">
        <v>0</v>
      </c>
      <c r="J44" s="230">
        <v>438</v>
      </c>
      <c r="K44" s="230">
        <v>192</v>
      </c>
      <c r="L44" s="232">
        <f t="shared" si="10"/>
        <v>7202</v>
      </c>
      <c r="M44" s="230">
        <v>231</v>
      </c>
      <c r="N44" s="230">
        <v>233</v>
      </c>
      <c r="O44" s="230">
        <v>234</v>
      </c>
      <c r="P44" s="230">
        <v>2</v>
      </c>
      <c r="Q44" s="230">
        <v>4</v>
      </c>
      <c r="R44" s="230">
        <v>56</v>
      </c>
      <c r="S44" s="230">
        <v>0</v>
      </c>
      <c r="T44" s="230">
        <v>0</v>
      </c>
      <c r="U44" s="230">
        <v>2</v>
      </c>
      <c r="V44" s="321">
        <f t="shared" si="11"/>
        <v>762</v>
      </c>
      <c r="W44" s="245">
        <v>1033</v>
      </c>
      <c r="X44" s="233"/>
      <c r="Y44" s="233"/>
      <c r="Z44" s="247">
        <f t="shared" si="12"/>
        <v>8997</v>
      </c>
      <c r="AA44" s="215">
        <f t="shared" si="13"/>
        <v>5797</v>
      </c>
    </row>
    <row r="45" spans="1:27" x14ac:dyDescent="0.25">
      <c r="A45" s="136" t="s">
        <v>117</v>
      </c>
      <c r="B45" s="137" t="s">
        <v>317</v>
      </c>
      <c r="C45" s="230">
        <v>1992</v>
      </c>
      <c r="D45" s="230">
        <v>1894</v>
      </c>
      <c r="E45" s="230">
        <v>1007</v>
      </c>
      <c r="F45" s="230">
        <v>115</v>
      </c>
      <c r="G45" s="230">
        <v>101</v>
      </c>
      <c r="H45" s="230">
        <v>11</v>
      </c>
      <c r="I45" s="230">
        <v>673</v>
      </c>
      <c r="J45" s="230">
        <v>540</v>
      </c>
      <c r="K45" s="230">
        <v>0</v>
      </c>
      <c r="L45" s="232">
        <f t="shared" si="10"/>
        <v>6333</v>
      </c>
      <c r="M45" s="230">
        <v>698</v>
      </c>
      <c r="N45" s="230">
        <v>1297</v>
      </c>
      <c r="O45" s="230">
        <v>694</v>
      </c>
      <c r="P45" s="230">
        <v>24</v>
      </c>
      <c r="Q45" s="230">
        <v>71</v>
      </c>
      <c r="R45" s="230">
        <v>0</v>
      </c>
      <c r="S45" s="230">
        <v>96</v>
      </c>
      <c r="T45" s="230">
        <v>2</v>
      </c>
      <c r="U45" s="230">
        <v>0</v>
      </c>
      <c r="V45" s="321">
        <f t="shared" si="11"/>
        <v>2882</v>
      </c>
      <c r="W45" s="245">
        <v>498</v>
      </c>
      <c r="X45" s="233"/>
      <c r="Y45" s="233"/>
      <c r="Z45" s="247">
        <f t="shared" si="12"/>
        <v>9713</v>
      </c>
      <c r="AA45" s="215">
        <f t="shared" si="13"/>
        <v>6020</v>
      </c>
    </row>
    <row r="46" spans="1:27" x14ac:dyDescent="0.25">
      <c r="A46" s="136" t="s">
        <v>118</v>
      </c>
      <c r="B46" s="137" t="s">
        <v>340</v>
      </c>
      <c r="C46" s="230">
        <v>573</v>
      </c>
      <c r="D46" s="230">
        <v>855</v>
      </c>
      <c r="E46" s="230">
        <v>211</v>
      </c>
      <c r="F46" s="230">
        <v>32</v>
      </c>
      <c r="G46" s="230">
        <v>19</v>
      </c>
      <c r="H46" s="230">
        <v>0</v>
      </c>
      <c r="I46" s="230">
        <v>0</v>
      </c>
      <c r="J46" s="230">
        <v>159</v>
      </c>
      <c r="K46" s="230">
        <v>0</v>
      </c>
      <c r="L46" s="232">
        <f t="shared" si="10"/>
        <v>1849</v>
      </c>
      <c r="M46" s="230">
        <v>333</v>
      </c>
      <c r="N46" s="230">
        <v>356</v>
      </c>
      <c r="O46" s="230">
        <v>131</v>
      </c>
      <c r="P46" s="230">
        <v>28</v>
      </c>
      <c r="Q46" s="230">
        <v>15</v>
      </c>
      <c r="R46" s="230">
        <v>0</v>
      </c>
      <c r="S46" s="230">
        <v>0</v>
      </c>
      <c r="T46" s="230">
        <v>18</v>
      </c>
      <c r="U46" s="230">
        <v>0</v>
      </c>
      <c r="V46" s="321">
        <f t="shared" si="11"/>
        <v>881</v>
      </c>
      <c r="W46" s="245">
        <v>8</v>
      </c>
      <c r="X46" s="245">
        <v>121</v>
      </c>
      <c r="Y46" s="245">
        <v>9</v>
      </c>
      <c r="Z46" s="247">
        <f t="shared" si="12"/>
        <v>2868</v>
      </c>
      <c r="AA46" s="215">
        <f t="shared" si="13"/>
        <v>2177</v>
      </c>
    </row>
    <row r="47" spans="1:27" x14ac:dyDescent="0.25">
      <c r="A47" s="136" t="s">
        <v>122</v>
      </c>
      <c r="B47" s="137" t="s">
        <v>341</v>
      </c>
      <c r="C47" s="230">
        <v>2071</v>
      </c>
      <c r="D47" s="230">
        <v>1527</v>
      </c>
      <c r="E47" s="230">
        <v>746</v>
      </c>
      <c r="F47" s="230">
        <v>98</v>
      </c>
      <c r="G47" s="230">
        <v>91</v>
      </c>
      <c r="H47" s="230">
        <v>4</v>
      </c>
      <c r="I47" s="230">
        <v>323</v>
      </c>
      <c r="J47" s="230">
        <v>782</v>
      </c>
      <c r="K47" s="230">
        <v>0</v>
      </c>
      <c r="L47" s="232">
        <f t="shared" si="10"/>
        <v>5642</v>
      </c>
      <c r="M47" s="230">
        <v>3026</v>
      </c>
      <c r="N47" s="230">
        <v>3933</v>
      </c>
      <c r="O47" s="230">
        <v>2564</v>
      </c>
      <c r="P47" s="230">
        <v>125</v>
      </c>
      <c r="Q47" s="230">
        <v>159</v>
      </c>
      <c r="R47" s="230">
        <v>94</v>
      </c>
      <c r="S47" s="230">
        <v>21</v>
      </c>
      <c r="T47" s="230">
        <v>12</v>
      </c>
      <c r="U47" s="230">
        <v>0</v>
      </c>
      <c r="V47" s="321">
        <f t="shared" si="11"/>
        <v>9934</v>
      </c>
      <c r="W47" s="245">
        <v>372</v>
      </c>
      <c r="X47" s="233"/>
      <c r="Y47" s="233"/>
      <c r="Z47" s="247">
        <f t="shared" si="12"/>
        <v>15948</v>
      </c>
      <c r="AA47" s="215">
        <f t="shared" si="13"/>
        <v>10780</v>
      </c>
    </row>
    <row r="48" spans="1:27" ht="16.5" customHeight="1" x14ac:dyDescent="0.25">
      <c r="A48" s="136" t="s">
        <v>140</v>
      </c>
      <c r="B48" s="137" t="s">
        <v>265</v>
      </c>
      <c r="C48" s="230"/>
      <c r="D48" s="128"/>
      <c r="E48" s="128"/>
      <c r="F48" s="128"/>
      <c r="G48" s="128"/>
      <c r="H48" s="128"/>
      <c r="I48" s="128"/>
      <c r="J48" s="128"/>
      <c r="K48" s="128"/>
      <c r="L48" s="232">
        <f t="shared" si="10"/>
        <v>0</v>
      </c>
      <c r="M48" s="403"/>
      <c r="N48" s="403"/>
      <c r="O48" s="403"/>
      <c r="P48" s="403"/>
      <c r="Q48" s="403"/>
      <c r="R48" s="403"/>
      <c r="S48" s="403"/>
      <c r="T48" s="403"/>
      <c r="U48" s="403"/>
      <c r="V48" s="321">
        <f t="shared" si="11"/>
        <v>0</v>
      </c>
      <c r="W48" s="251"/>
      <c r="X48" s="342"/>
      <c r="Y48" s="342"/>
      <c r="Z48" s="247">
        <f t="shared" si="12"/>
        <v>0</v>
      </c>
      <c r="AA48" s="215">
        <f t="shared" si="13"/>
        <v>0</v>
      </c>
    </row>
    <row r="49" spans="1:28" x14ac:dyDescent="0.25">
      <c r="A49" s="136" t="s">
        <v>141</v>
      </c>
      <c r="B49" s="137" t="s">
        <v>342</v>
      </c>
      <c r="C49" s="230">
        <v>11105</v>
      </c>
      <c r="D49" s="230">
        <v>5029</v>
      </c>
      <c r="E49" s="230">
        <v>2882</v>
      </c>
      <c r="F49" s="230">
        <v>1180</v>
      </c>
      <c r="G49" s="230">
        <v>358</v>
      </c>
      <c r="H49" s="230">
        <v>0</v>
      </c>
      <c r="I49" s="230">
        <v>104</v>
      </c>
      <c r="J49" s="230">
        <v>950</v>
      </c>
      <c r="K49" s="230">
        <v>0</v>
      </c>
      <c r="L49" s="267">
        <f>SUM(C49:K49)</f>
        <v>21608</v>
      </c>
      <c r="M49" s="230">
        <v>1002</v>
      </c>
      <c r="N49" s="230">
        <v>1394</v>
      </c>
      <c r="O49" s="230">
        <v>651</v>
      </c>
      <c r="P49" s="230">
        <v>67</v>
      </c>
      <c r="Q49" s="230">
        <v>55</v>
      </c>
      <c r="R49" s="230">
        <v>153</v>
      </c>
      <c r="S49" s="230">
        <v>0</v>
      </c>
      <c r="T49" s="230">
        <v>115</v>
      </c>
      <c r="U49" s="238"/>
      <c r="V49" s="321">
        <f t="shared" si="11"/>
        <v>3437</v>
      </c>
      <c r="W49" s="245">
        <v>3406</v>
      </c>
      <c r="X49" s="204"/>
      <c r="Y49" s="248"/>
      <c r="Z49" s="247">
        <f t="shared" si="12"/>
        <v>28451</v>
      </c>
      <c r="AA49" s="215">
        <f t="shared" si="13"/>
        <v>19777</v>
      </c>
    </row>
    <row r="50" spans="1:28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1512</v>
      </c>
      <c r="F50" s="230">
        <v>0</v>
      </c>
      <c r="G50" s="230">
        <v>0</v>
      </c>
      <c r="H50" s="230">
        <v>0</v>
      </c>
      <c r="I50" s="230">
        <v>0</v>
      </c>
      <c r="J50" s="230">
        <v>9329</v>
      </c>
      <c r="K50" s="230">
        <v>0</v>
      </c>
      <c r="L50" s="232">
        <f t="shared" si="10"/>
        <v>10841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238"/>
      <c r="V50" s="321">
        <f t="shared" si="11"/>
        <v>0</v>
      </c>
      <c r="W50" s="245">
        <f>412+939</f>
        <v>1351</v>
      </c>
      <c r="X50" s="204"/>
      <c r="Y50" s="248"/>
      <c r="Z50" s="247">
        <f t="shared" si="12"/>
        <v>12192</v>
      </c>
      <c r="AA50" s="215">
        <f t="shared" si="13"/>
        <v>0</v>
      </c>
    </row>
    <row r="51" spans="1:28" x14ac:dyDescent="0.25">
      <c r="A51" s="136" t="s">
        <v>147</v>
      </c>
      <c r="B51" s="137" t="s">
        <v>322</v>
      </c>
      <c r="C51" s="230">
        <v>7699</v>
      </c>
      <c r="D51" s="230">
        <v>3141</v>
      </c>
      <c r="E51" s="230">
        <v>2056</v>
      </c>
      <c r="F51" s="230">
        <v>125</v>
      </c>
      <c r="G51" s="230">
        <v>87</v>
      </c>
      <c r="H51" s="230">
        <v>0</v>
      </c>
      <c r="I51" s="230">
        <v>206</v>
      </c>
      <c r="J51" s="230">
        <v>2679</v>
      </c>
      <c r="K51" s="230">
        <v>0</v>
      </c>
      <c r="L51" s="232">
        <f t="shared" si="10"/>
        <v>15993</v>
      </c>
      <c r="M51" s="230">
        <v>1449</v>
      </c>
      <c r="N51" s="230">
        <v>2106</v>
      </c>
      <c r="O51" s="230">
        <v>918</v>
      </c>
      <c r="P51" s="230">
        <v>28</v>
      </c>
      <c r="Q51" s="230">
        <v>75</v>
      </c>
      <c r="R51" s="230">
        <v>0</v>
      </c>
      <c r="S51" s="230">
        <v>8</v>
      </c>
      <c r="T51" s="230">
        <v>20</v>
      </c>
      <c r="U51" s="238"/>
      <c r="V51" s="321">
        <f t="shared" si="11"/>
        <v>4604</v>
      </c>
      <c r="W51" s="245">
        <v>553</v>
      </c>
      <c r="X51" s="204"/>
      <c r="Y51" s="248"/>
      <c r="Z51" s="247">
        <f t="shared" si="12"/>
        <v>21150</v>
      </c>
      <c r="AA51" s="215">
        <f t="shared" si="13"/>
        <v>14548</v>
      </c>
    </row>
    <row r="52" spans="1:28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>
        <v>2693</v>
      </c>
      <c r="K52" s="128"/>
      <c r="L52" s="232">
        <f t="shared" si="10"/>
        <v>2693</v>
      </c>
      <c r="M52" s="403"/>
      <c r="N52" s="403"/>
      <c r="O52" s="403"/>
      <c r="P52" s="403"/>
      <c r="Q52" s="403"/>
      <c r="R52" s="403"/>
      <c r="S52" s="403"/>
      <c r="T52" s="403"/>
      <c r="U52" s="403">
        <v>561</v>
      </c>
      <c r="V52" s="321">
        <f t="shared" si="11"/>
        <v>561</v>
      </c>
      <c r="W52" s="251"/>
      <c r="X52" s="248"/>
      <c r="Y52" s="248"/>
      <c r="Z52" s="247">
        <f t="shared" si="12"/>
        <v>3254</v>
      </c>
      <c r="AA52" s="215">
        <f t="shared" si="13"/>
        <v>561</v>
      </c>
    </row>
    <row r="53" spans="1:28" x14ac:dyDescent="0.25">
      <c r="A53" s="136" t="s">
        <v>174</v>
      </c>
      <c r="B53" s="137" t="s">
        <v>344</v>
      </c>
      <c r="C53" s="230">
        <v>5633</v>
      </c>
      <c r="D53" s="230">
        <v>2881</v>
      </c>
      <c r="E53" s="230">
        <v>1669</v>
      </c>
      <c r="F53" s="230">
        <v>142</v>
      </c>
      <c r="G53" s="230">
        <v>74</v>
      </c>
      <c r="H53" s="230">
        <v>2</v>
      </c>
      <c r="I53" s="230">
        <v>751</v>
      </c>
      <c r="J53" s="230">
        <v>816</v>
      </c>
      <c r="K53" s="230">
        <v>0</v>
      </c>
      <c r="L53" s="232">
        <f t="shared" si="10"/>
        <v>11968</v>
      </c>
      <c r="M53" s="230">
        <v>925</v>
      </c>
      <c r="N53" s="230">
        <v>940</v>
      </c>
      <c r="O53" s="230">
        <v>569</v>
      </c>
      <c r="P53" s="230">
        <v>23</v>
      </c>
      <c r="Q53" s="230">
        <v>14</v>
      </c>
      <c r="R53" s="230">
        <v>285</v>
      </c>
      <c r="S53" s="230">
        <v>98</v>
      </c>
      <c r="T53" s="230">
        <v>0</v>
      </c>
      <c r="U53" s="238"/>
      <c r="V53" s="321">
        <f t="shared" si="11"/>
        <v>2854</v>
      </c>
      <c r="W53" s="245">
        <v>407</v>
      </c>
      <c r="X53" s="204"/>
      <c r="Y53" s="204"/>
      <c r="Z53" s="247">
        <f t="shared" si="12"/>
        <v>15229</v>
      </c>
      <c r="AA53" s="215">
        <f t="shared" si="13"/>
        <v>10544</v>
      </c>
    </row>
    <row r="54" spans="1:28" ht="13.8" thickBot="1" x14ac:dyDescent="0.3">
      <c r="A54" s="136" t="s">
        <v>186</v>
      </c>
      <c r="B54" s="137" t="s">
        <v>345</v>
      </c>
      <c r="C54" s="265">
        <v>205</v>
      </c>
      <c r="D54" s="265">
        <v>325</v>
      </c>
      <c r="E54" s="265">
        <v>106</v>
      </c>
      <c r="F54" s="265">
        <v>15</v>
      </c>
      <c r="G54" s="265">
        <v>7</v>
      </c>
      <c r="H54" s="265">
        <v>0</v>
      </c>
      <c r="I54" s="265">
        <v>44</v>
      </c>
      <c r="J54" s="265">
        <v>98</v>
      </c>
      <c r="K54" s="265">
        <v>0</v>
      </c>
      <c r="L54" s="239">
        <f t="shared" si="10"/>
        <v>800</v>
      </c>
      <c r="M54" s="265">
        <v>889</v>
      </c>
      <c r="N54" s="265">
        <v>1295</v>
      </c>
      <c r="O54" s="265">
        <v>775</v>
      </c>
      <c r="P54" s="265">
        <v>33</v>
      </c>
      <c r="Q54" s="265">
        <v>36</v>
      </c>
      <c r="R54" s="265">
        <v>0</v>
      </c>
      <c r="S54" s="265">
        <v>0</v>
      </c>
      <c r="T54" s="265">
        <v>29</v>
      </c>
      <c r="U54" s="466"/>
      <c r="V54" s="353">
        <f t="shared" si="11"/>
        <v>3057</v>
      </c>
      <c r="W54" s="326">
        <v>654</v>
      </c>
      <c r="X54" s="209"/>
      <c r="Y54" s="209"/>
      <c r="Z54" s="247">
        <f t="shared" si="12"/>
        <v>4511</v>
      </c>
      <c r="AA54" s="217">
        <f t="shared" si="13"/>
        <v>2762</v>
      </c>
    </row>
    <row r="55" spans="1:28" s="109" customFormat="1" ht="14.4" thickBot="1" x14ac:dyDescent="0.3">
      <c r="A55" s="134"/>
      <c r="B55" s="159" t="s">
        <v>459</v>
      </c>
      <c r="C55" s="258">
        <f t="shared" ref="C55:AA55" si="14">SUM(C38:C54)</f>
        <v>52676</v>
      </c>
      <c r="D55" s="157">
        <f t="shared" si="14"/>
        <v>26907</v>
      </c>
      <c r="E55" s="157">
        <f t="shared" si="14"/>
        <v>17761</v>
      </c>
      <c r="F55" s="157">
        <f t="shared" si="14"/>
        <v>2236</v>
      </c>
      <c r="G55" s="157">
        <f t="shared" si="14"/>
        <v>1352</v>
      </c>
      <c r="H55" s="157">
        <f t="shared" si="14"/>
        <v>70</v>
      </c>
      <c r="I55" s="157">
        <f t="shared" si="14"/>
        <v>3147</v>
      </c>
      <c r="J55" s="157">
        <f t="shared" si="14"/>
        <v>20627</v>
      </c>
      <c r="K55" s="259">
        <f t="shared" si="14"/>
        <v>489</v>
      </c>
      <c r="L55" s="260">
        <f t="shared" si="14"/>
        <v>125265</v>
      </c>
      <c r="M55" s="263">
        <f t="shared" si="14"/>
        <v>18703</v>
      </c>
      <c r="N55" s="363">
        <f t="shared" si="14"/>
        <v>24608</v>
      </c>
      <c r="O55" s="158">
        <f t="shared" si="14"/>
        <v>14893</v>
      </c>
      <c r="P55" s="158">
        <f t="shared" si="14"/>
        <v>651</v>
      </c>
      <c r="Q55" s="158">
        <f t="shared" si="14"/>
        <v>809</v>
      </c>
      <c r="R55" s="158">
        <f t="shared" si="14"/>
        <v>1143</v>
      </c>
      <c r="S55" s="158">
        <f t="shared" si="14"/>
        <v>306</v>
      </c>
      <c r="T55" s="158">
        <f t="shared" si="14"/>
        <v>354</v>
      </c>
      <c r="U55" s="264">
        <f t="shared" si="14"/>
        <v>578</v>
      </c>
      <c r="V55" s="263">
        <f t="shared" si="14"/>
        <v>62045</v>
      </c>
      <c r="W55" s="483">
        <f t="shared" si="14"/>
        <v>13163</v>
      </c>
      <c r="X55" s="261">
        <f t="shared" si="14"/>
        <v>181</v>
      </c>
      <c r="Y55" s="210">
        <f>SUM(Y38:Y54)</f>
        <v>60</v>
      </c>
      <c r="Z55" s="210">
        <f t="shared" si="14"/>
        <v>200714</v>
      </c>
      <c r="AA55" s="210">
        <f t="shared" si="14"/>
        <v>126848</v>
      </c>
    </row>
    <row r="56" spans="1:28" x14ac:dyDescent="0.25">
      <c r="A56" s="136" t="s">
        <v>71</v>
      </c>
      <c r="B56" s="137" t="s">
        <v>305</v>
      </c>
      <c r="C56" s="280">
        <v>2</v>
      </c>
      <c r="D56" s="280">
        <v>0</v>
      </c>
      <c r="E56" s="280">
        <v>0</v>
      </c>
      <c r="F56" s="280">
        <v>0</v>
      </c>
      <c r="G56" s="280">
        <v>0</v>
      </c>
      <c r="H56" s="280">
        <v>0</v>
      </c>
      <c r="I56" s="280">
        <v>0</v>
      </c>
      <c r="J56" s="280">
        <v>3020</v>
      </c>
      <c r="K56" s="280">
        <v>0</v>
      </c>
      <c r="L56" s="232">
        <f t="shared" ref="L56:L71" si="15">SUM(C56:K56)</f>
        <v>3022</v>
      </c>
      <c r="M56" s="280">
        <v>0</v>
      </c>
      <c r="N56" s="280">
        <v>0</v>
      </c>
      <c r="O56" s="280">
        <v>0</v>
      </c>
      <c r="P56" s="280">
        <v>0</v>
      </c>
      <c r="Q56" s="280">
        <v>0</v>
      </c>
      <c r="R56" s="280">
        <v>0</v>
      </c>
      <c r="S56" s="280">
        <v>0</v>
      </c>
      <c r="T56" s="280">
        <v>0</v>
      </c>
      <c r="U56" s="280">
        <v>0</v>
      </c>
      <c r="V56" s="280">
        <f>SUM(M56:U56)</f>
        <v>0</v>
      </c>
      <c r="W56" s="404">
        <f>17397+3123+9127</f>
        <v>29647</v>
      </c>
      <c r="X56" s="237"/>
      <c r="Y56" s="211"/>
      <c r="Z56" s="247">
        <f t="shared" ref="Z56:Z71" si="16">L56+V56+W56+X56+Y56</f>
        <v>32669</v>
      </c>
      <c r="AA56" s="215">
        <f t="shared" ref="AA56:AA71" si="17">C56+D56+F56+K56+M56+N56+P56+U56</f>
        <v>2</v>
      </c>
      <c r="AB56" s="142">
        <f>L56</f>
        <v>3022</v>
      </c>
    </row>
    <row r="57" spans="1:28" x14ac:dyDescent="0.25">
      <c r="A57" s="136" t="s">
        <v>77</v>
      </c>
      <c r="B57" s="137" t="s">
        <v>306</v>
      </c>
      <c r="C57" s="230">
        <v>5330</v>
      </c>
      <c r="D57" s="230">
        <v>3959</v>
      </c>
      <c r="E57" s="230">
        <v>3109</v>
      </c>
      <c r="F57" s="230">
        <v>291</v>
      </c>
      <c r="G57" s="230">
        <v>82</v>
      </c>
      <c r="H57" s="230">
        <v>1</v>
      </c>
      <c r="I57" s="230">
        <v>117</v>
      </c>
      <c r="J57" s="230">
        <v>1498</v>
      </c>
      <c r="K57" s="230">
        <v>2</v>
      </c>
      <c r="L57" s="232">
        <f t="shared" si="15"/>
        <v>14389</v>
      </c>
      <c r="M57" s="230">
        <v>824</v>
      </c>
      <c r="N57" s="230">
        <v>1482</v>
      </c>
      <c r="O57" s="230">
        <v>1004</v>
      </c>
      <c r="P57" s="230">
        <v>45</v>
      </c>
      <c r="Q57" s="230">
        <v>50</v>
      </c>
      <c r="R57" s="230">
        <v>84</v>
      </c>
      <c r="S57" s="230">
        <v>0</v>
      </c>
      <c r="T57" s="230">
        <v>31</v>
      </c>
      <c r="U57" s="230">
        <v>0</v>
      </c>
      <c r="V57" s="280">
        <f t="shared" ref="V57:V70" si="18">SUM(M57:U57)</f>
        <v>3520</v>
      </c>
      <c r="W57" s="245">
        <v>792</v>
      </c>
      <c r="X57" s="233"/>
      <c r="Y57" s="204"/>
      <c r="Z57" s="247">
        <f t="shared" si="16"/>
        <v>18701</v>
      </c>
      <c r="AA57" s="215">
        <f t="shared" si="17"/>
        <v>11933</v>
      </c>
    </row>
    <row r="58" spans="1:28" x14ac:dyDescent="0.25">
      <c r="A58" s="136" t="s">
        <v>102</v>
      </c>
      <c r="B58" s="137" t="s">
        <v>315</v>
      </c>
      <c r="C58" s="230">
        <v>0</v>
      </c>
      <c r="D58" s="230">
        <v>0</v>
      </c>
      <c r="E58" s="230">
        <v>0</v>
      </c>
      <c r="F58" s="230">
        <v>0</v>
      </c>
      <c r="G58" s="230">
        <v>0</v>
      </c>
      <c r="H58" s="230">
        <v>0</v>
      </c>
      <c r="I58" s="230">
        <v>0</v>
      </c>
      <c r="J58" s="230">
        <v>363</v>
      </c>
      <c r="K58" s="230">
        <v>0</v>
      </c>
      <c r="L58" s="232">
        <f t="shared" si="15"/>
        <v>363</v>
      </c>
      <c r="M58" s="230">
        <v>0</v>
      </c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230">
        <v>0</v>
      </c>
      <c r="V58" s="280">
        <f t="shared" si="18"/>
        <v>0</v>
      </c>
      <c r="W58" s="270"/>
      <c r="X58" s="233"/>
      <c r="Y58" s="204"/>
      <c r="Z58" s="247">
        <f t="shared" si="16"/>
        <v>363</v>
      </c>
      <c r="AA58" s="215">
        <f t="shared" si="17"/>
        <v>0</v>
      </c>
    </row>
    <row r="59" spans="1:28" x14ac:dyDescent="0.25">
      <c r="A59" s="136" t="s">
        <v>103</v>
      </c>
      <c r="B59" s="137" t="s">
        <v>297</v>
      </c>
      <c r="C59" s="230">
        <v>230</v>
      </c>
      <c r="D59" s="230">
        <v>94</v>
      </c>
      <c r="E59" s="230">
        <v>71</v>
      </c>
      <c r="F59" s="230">
        <v>12</v>
      </c>
      <c r="G59" s="230">
        <v>4</v>
      </c>
      <c r="H59" s="230">
        <v>0</v>
      </c>
      <c r="I59" s="230">
        <v>0</v>
      </c>
      <c r="J59" s="230">
        <v>54</v>
      </c>
      <c r="K59" s="230">
        <v>0</v>
      </c>
      <c r="L59" s="232">
        <f t="shared" si="15"/>
        <v>465</v>
      </c>
      <c r="M59" s="230">
        <v>100</v>
      </c>
      <c r="N59" s="230">
        <v>60</v>
      </c>
      <c r="O59" s="230">
        <v>73</v>
      </c>
      <c r="P59" s="230">
        <v>4</v>
      </c>
      <c r="Q59" s="230">
        <v>0</v>
      </c>
      <c r="R59" s="230">
        <v>0</v>
      </c>
      <c r="S59" s="230">
        <v>0</v>
      </c>
      <c r="T59" s="230">
        <v>8</v>
      </c>
      <c r="U59" s="230">
        <v>0</v>
      </c>
      <c r="V59" s="280">
        <f t="shared" si="18"/>
        <v>245</v>
      </c>
      <c r="W59" s="341">
        <v>621</v>
      </c>
      <c r="X59" s="204"/>
      <c r="Y59" s="204"/>
      <c r="Z59" s="247">
        <f t="shared" si="16"/>
        <v>1331</v>
      </c>
      <c r="AA59" s="215">
        <f t="shared" si="17"/>
        <v>500</v>
      </c>
    </row>
    <row r="60" spans="1:28" x14ac:dyDescent="0.25">
      <c r="A60" s="136" t="s">
        <v>112</v>
      </c>
      <c r="B60" s="137" t="s">
        <v>307</v>
      </c>
      <c r="C60" s="230">
        <v>1559</v>
      </c>
      <c r="D60" s="230">
        <v>1157</v>
      </c>
      <c r="E60" s="230">
        <v>604</v>
      </c>
      <c r="F60" s="230">
        <v>40</v>
      </c>
      <c r="G60" s="230">
        <v>49</v>
      </c>
      <c r="H60" s="230">
        <v>0</v>
      </c>
      <c r="I60" s="230">
        <v>373</v>
      </c>
      <c r="J60" s="230">
        <v>451</v>
      </c>
      <c r="K60" s="230">
        <v>0</v>
      </c>
      <c r="L60" s="232">
        <f t="shared" si="15"/>
        <v>4233</v>
      </c>
      <c r="M60" s="230">
        <v>1093</v>
      </c>
      <c r="N60" s="230">
        <v>1531</v>
      </c>
      <c r="O60" s="230">
        <v>333</v>
      </c>
      <c r="P60" s="230">
        <v>48</v>
      </c>
      <c r="Q60" s="230">
        <v>89</v>
      </c>
      <c r="R60" s="230">
        <v>46</v>
      </c>
      <c r="S60" s="230">
        <v>0</v>
      </c>
      <c r="T60" s="230">
        <v>13</v>
      </c>
      <c r="U60" s="230">
        <v>0</v>
      </c>
      <c r="V60" s="280">
        <f t="shared" si="18"/>
        <v>3153</v>
      </c>
      <c r="W60" s="341">
        <v>191</v>
      </c>
      <c r="X60" s="233"/>
      <c r="Y60" s="233"/>
      <c r="Z60" s="247">
        <f t="shared" si="16"/>
        <v>7577</v>
      </c>
      <c r="AA60" s="215">
        <f t="shared" si="17"/>
        <v>5428</v>
      </c>
    </row>
    <row r="61" spans="1:28" x14ac:dyDescent="0.25">
      <c r="A61" s="136" t="s">
        <v>120</v>
      </c>
      <c r="B61" s="137" t="s">
        <v>318</v>
      </c>
      <c r="C61" s="230">
        <v>4525</v>
      </c>
      <c r="D61" s="230">
        <v>1833</v>
      </c>
      <c r="E61" s="230">
        <v>1165</v>
      </c>
      <c r="F61" s="230">
        <v>113</v>
      </c>
      <c r="G61" s="230">
        <v>117</v>
      </c>
      <c r="H61" s="230">
        <v>0</v>
      </c>
      <c r="I61" s="230">
        <v>28</v>
      </c>
      <c r="J61" s="230">
        <v>1418</v>
      </c>
      <c r="K61" s="230">
        <v>491</v>
      </c>
      <c r="L61" s="232">
        <f t="shared" si="15"/>
        <v>9690</v>
      </c>
      <c r="M61" s="230">
        <v>2853</v>
      </c>
      <c r="N61" s="230">
        <v>2766</v>
      </c>
      <c r="O61" s="230">
        <v>1946</v>
      </c>
      <c r="P61" s="230">
        <v>110</v>
      </c>
      <c r="Q61" s="230">
        <v>81</v>
      </c>
      <c r="R61" s="230">
        <v>0</v>
      </c>
      <c r="S61" s="230">
        <v>0</v>
      </c>
      <c r="T61" s="230">
        <v>76</v>
      </c>
      <c r="U61" s="230">
        <v>9</v>
      </c>
      <c r="V61" s="280">
        <f t="shared" si="18"/>
        <v>7841</v>
      </c>
      <c r="W61" s="245">
        <v>542</v>
      </c>
      <c r="X61" s="233"/>
      <c r="Y61" s="233"/>
      <c r="Z61" s="247">
        <f t="shared" si="16"/>
        <v>18073</v>
      </c>
      <c r="AA61" s="215">
        <f t="shared" si="17"/>
        <v>12700</v>
      </c>
    </row>
    <row r="62" spans="1:28" x14ac:dyDescent="0.25">
      <c r="A62" s="136" t="s">
        <v>131</v>
      </c>
      <c r="B62" s="137" t="s">
        <v>308</v>
      </c>
      <c r="C62" s="230">
        <v>1767</v>
      </c>
      <c r="D62" s="230">
        <v>742</v>
      </c>
      <c r="E62" s="230">
        <v>716</v>
      </c>
      <c r="F62" s="230">
        <v>67</v>
      </c>
      <c r="G62" s="230">
        <v>62</v>
      </c>
      <c r="H62" s="230">
        <v>0</v>
      </c>
      <c r="I62" s="230">
        <v>35</v>
      </c>
      <c r="J62" s="230">
        <v>498</v>
      </c>
      <c r="K62" s="230">
        <v>0</v>
      </c>
      <c r="L62" s="232">
        <f t="shared" si="15"/>
        <v>3887</v>
      </c>
      <c r="M62" s="230">
        <v>2633</v>
      </c>
      <c r="N62" s="230">
        <v>2588</v>
      </c>
      <c r="O62" s="230">
        <v>2356</v>
      </c>
      <c r="P62" s="230">
        <v>87</v>
      </c>
      <c r="Q62" s="230">
        <v>45</v>
      </c>
      <c r="R62" s="230">
        <v>10</v>
      </c>
      <c r="S62" s="230">
        <v>0</v>
      </c>
      <c r="T62" s="230">
        <v>8</v>
      </c>
      <c r="U62" s="230">
        <v>0</v>
      </c>
      <c r="V62" s="280">
        <f t="shared" si="18"/>
        <v>7727</v>
      </c>
      <c r="W62" s="245">
        <v>808</v>
      </c>
      <c r="X62" s="233"/>
      <c r="Y62" s="233"/>
      <c r="Z62" s="247">
        <f t="shared" si="16"/>
        <v>12422</v>
      </c>
      <c r="AA62" s="215">
        <f t="shared" si="17"/>
        <v>7884</v>
      </c>
    </row>
    <row r="63" spans="1:28" x14ac:dyDescent="0.25">
      <c r="A63" s="136" t="s">
        <v>133</v>
      </c>
      <c r="B63" s="228" t="s">
        <v>319</v>
      </c>
      <c r="C63" s="230">
        <v>239</v>
      </c>
      <c r="D63" s="230">
        <v>269</v>
      </c>
      <c r="E63" s="230">
        <v>83</v>
      </c>
      <c r="F63" s="230">
        <v>17</v>
      </c>
      <c r="G63" s="230">
        <v>11</v>
      </c>
      <c r="H63" s="230">
        <v>1</v>
      </c>
      <c r="I63" s="230">
        <v>0</v>
      </c>
      <c r="J63" s="230">
        <v>138</v>
      </c>
      <c r="K63" s="230">
        <v>0</v>
      </c>
      <c r="L63" s="232">
        <f t="shared" si="15"/>
        <v>758</v>
      </c>
      <c r="M63" s="230">
        <v>420</v>
      </c>
      <c r="N63" s="230">
        <v>515</v>
      </c>
      <c r="O63" s="230">
        <v>353</v>
      </c>
      <c r="P63" s="230">
        <v>0</v>
      </c>
      <c r="Q63" s="230">
        <v>6</v>
      </c>
      <c r="R63" s="230">
        <v>0</v>
      </c>
      <c r="S63" s="230">
        <v>0</v>
      </c>
      <c r="T63" s="230">
        <v>6</v>
      </c>
      <c r="U63" s="230">
        <v>0</v>
      </c>
      <c r="V63" s="280">
        <f t="shared" si="18"/>
        <v>1300</v>
      </c>
      <c r="W63" s="245">
        <v>220</v>
      </c>
      <c r="X63" s="233"/>
      <c r="Y63" s="233"/>
      <c r="Z63" s="247">
        <f t="shared" si="16"/>
        <v>2278</v>
      </c>
      <c r="AA63" s="215">
        <f t="shared" si="17"/>
        <v>1460</v>
      </c>
    </row>
    <row r="64" spans="1:28" x14ac:dyDescent="0.25">
      <c r="A64" s="136" t="s">
        <v>134</v>
      </c>
      <c r="B64" s="137" t="s">
        <v>320</v>
      </c>
      <c r="C64" s="230">
        <v>524</v>
      </c>
      <c r="D64" s="230">
        <v>284</v>
      </c>
      <c r="E64" s="230">
        <v>102</v>
      </c>
      <c r="F64" s="230">
        <v>36</v>
      </c>
      <c r="G64" s="230">
        <v>14</v>
      </c>
      <c r="H64" s="230">
        <v>0</v>
      </c>
      <c r="I64" s="459">
        <v>0</v>
      </c>
      <c r="J64" s="230">
        <v>74</v>
      </c>
      <c r="K64" s="230">
        <v>0</v>
      </c>
      <c r="L64" s="232">
        <f t="shared" si="15"/>
        <v>1034</v>
      </c>
      <c r="M64" s="230">
        <v>432</v>
      </c>
      <c r="N64" s="230">
        <v>222</v>
      </c>
      <c r="O64" s="230">
        <v>280</v>
      </c>
      <c r="P64" s="230">
        <v>16</v>
      </c>
      <c r="Q64" s="230">
        <v>8</v>
      </c>
      <c r="R64" s="230">
        <v>0</v>
      </c>
      <c r="S64" s="230">
        <v>0</v>
      </c>
      <c r="T64" s="230">
        <v>4</v>
      </c>
      <c r="U64" s="230">
        <v>0</v>
      </c>
      <c r="V64" s="280">
        <f t="shared" si="18"/>
        <v>962</v>
      </c>
      <c r="W64" s="245">
        <v>287</v>
      </c>
      <c r="X64" s="233"/>
      <c r="Y64" s="233"/>
      <c r="Z64" s="247">
        <f t="shared" si="16"/>
        <v>2283</v>
      </c>
      <c r="AA64" s="215">
        <f t="shared" si="17"/>
        <v>1514</v>
      </c>
    </row>
    <row r="65" spans="1:28" x14ac:dyDescent="0.25">
      <c r="A65" s="136" t="s">
        <v>145</v>
      </c>
      <c r="B65" s="137" t="s">
        <v>309</v>
      </c>
      <c r="C65" s="230">
        <v>745</v>
      </c>
      <c r="D65" s="230">
        <v>362</v>
      </c>
      <c r="E65" s="230">
        <v>226</v>
      </c>
      <c r="F65" s="230">
        <v>49</v>
      </c>
      <c r="G65" s="230">
        <v>22</v>
      </c>
      <c r="H65" s="230">
        <v>0</v>
      </c>
      <c r="I65" s="230">
        <v>0</v>
      </c>
      <c r="J65" s="230">
        <v>162</v>
      </c>
      <c r="K65" s="230">
        <v>0</v>
      </c>
      <c r="L65" s="232">
        <f t="shared" si="15"/>
        <v>1566</v>
      </c>
      <c r="M65" s="230">
        <v>2946</v>
      </c>
      <c r="N65" s="230">
        <v>2194</v>
      </c>
      <c r="O65" s="230">
        <v>2485</v>
      </c>
      <c r="P65" s="230">
        <v>90</v>
      </c>
      <c r="Q65" s="230">
        <v>46</v>
      </c>
      <c r="R65" s="230">
        <v>101</v>
      </c>
      <c r="S65" s="230">
        <v>0</v>
      </c>
      <c r="T65" s="230">
        <v>261</v>
      </c>
      <c r="U65" s="230">
        <v>0</v>
      </c>
      <c r="V65" s="280">
        <f t="shared" si="18"/>
        <v>8123</v>
      </c>
      <c r="W65" s="245">
        <f>587+201</f>
        <v>788</v>
      </c>
      <c r="X65" s="233"/>
      <c r="Y65" s="233"/>
      <c r="Z65" s="247">
        <f t="shared" si="16"/>
        <v>10477</v>
      </c>
      <c r="AA65" s="215">
        <f t="shared" si="17"/>
        <v>6386</v>
      </c>
    </row>
    <row r="66" spans="1:28" x14ac:dyDescent="0.25">
      <c r="A66" s="136" t="s">
        <v>149</v>
      </c>
      <c r="B66" s="137" t="s">
        <v>353</v>
      </c>
      <c r="C66" s="230">
        <v>200</v>
      </c>
      <c r="D66" s="230">
        <v>80</v>
      </c>
      <c r="E66" s="230">
        <v>75</v>
      </c>
      <c r="F66" s="230">
        <v>33</v>
      </c>
      <c r="G66" s="230">
        <v>5</v>
      </c>
      <c r="H66" s="230">
        <v>0</v>
      </c>
      <c r="I66" s="230">
        <v>446</v>
      </c>
      <c r="J66" s="230">
        <v>42</v>
      </c>
      <c r="K66" s="230">
        <v>0</v>
      </c>
      <c r="L66" s="232">
        <f t="shared" si="15"/>
        <v>881</v>
      </c>
      <c r="M66" s="230">
        <v>316</v>
      </c>
      <c r="N66" s="230">
        <v>103</v>
      </c>
      <c r="O66" s="230">
        <v>216</v>
      </c>
      <c r="P66" s="230">
        <v>13</v>
      </c>
      <c r="Q66" s="230">
        <v>4</v>
      </c>
      <c r="R66" s="230">
        <v>26</v>
      </c>
      <c r="S66" s="230">
        <v>0</v>
      </c>
      <c r="T66" s="230">
        <v>0</v>
      </c>
      <c r="U66" s="230">
        <v>0</v>
      </c>
      <c r="V66" s="280">
        <f t="shared" si="18"/>
        <v>678</v>
      </c>
      <c r="W66" s="245">
        <v>543</v>
      </c>
      <c r="X66" s="233"/>
      <c r="Y66" s="233"/>
      <c r="Z66" s="247">
        <f t="shared" si="16"/>
        <v>2102</v>
      </c>
      <c r="AA66" s="215">
        <f t="shared" si="17"/>
        <v>745</v>
      </c>
    </row>
    <row r="67" spans="1:28" x14ac:dyDescent="0.25">
      <c r="A67" s="136" t="s">
        <v>182</v>
      </c>
      <c r="B67" s="137" t="s">
        <v>357</v>
      </c>
      <c r="C67" s="230">
        <v>651</v>
      </c>
      <c r="D67" s="230">
        <v>121</v>
      </c>
      <c r="E67" s="230">
        <v>202</v>
      </c>
      <c r="F67" s="230">
        <v>14</v>
      </c>
      <c r="G67" s="230">
        <v>10</v>
      </c>
      <c r="H67" s="230">
        <v>0</v>
      </c>
      <c r="I67" s="230">
        <v>0</v>
      </c>
      <c r="J67" s="230">
        <v>71</v>
      </c>
      <c r="K67" s="230">
        <v>0</v>
      </c>
      <c r="L67" s="232">
        <f t="shared" si="15"/>
        <v>1069</v>
      </c>
      <c r="M67" s="230">
        <v>220</v>
      </c>
      <c r="N67" s="230">
        <v>276</v>
      </c>
      <c r="O67" s="230">
        <v>102</v>
      </c>
      <c r="P67" s="230">
        <v>3</v>
      </c>
      <c r="Q67" s="230">
        <v>8</v>
      </c>
      <c r="R67" s="230">
        <v>0</v>
      </c>
      <c r="S67" s="230">
        <v>0</v>
      </c>
      <c r="T67" s="230">
        <v>6</v>
      </c>
      <c r="U67" s="230">
        <v>0</v>
      </c>
      <c r="V67" s="280">
        <f t="shared" si="18"/>
        <v>615</v>
      </c>
      <c r="W67" s="245">
        <v>775</v>
      </c>
      <c r="X67" s="233"/>
      <c r="Y67" s="233"/>
      <c r="Z67" s="247">
        <f t="shared" si="16"/>
        <v>2459</v>
      </c>
      <c r="AA67" s="215">
        <f t="shared" si="17"/>
        <v>1285</v>
      </c>
      <c r="AB67" s="142">
        <f>L67+V67</f>
        <v>1684</v>
      </c>
    </row>
    <row r="68" spans="1:28" x14ac:dyDescent="0.25">
      <c r="A68" s="136" t="s">
        <v>185</v>
      </c>
      <c r="B68" s="137" t="s">
        <v>310</v>
      </c>
      <c r="C68" s="230"/>
      <c r="D68" s="230"/>
      <c r="E68" s="230">
        <v>453</v>
      </c>
      <c r="F68" s="230"/>
      <c r="G68" s="230"/>
      <c r="H68" s="230"/>
      <c r="I68" s="230"/>
      <c r="J68" s="230">
        <v>1666</v>
      </c>
      <c r="K68" s="230"/>
      <c r="L68" s="232">
        <f t="shared" si="15"/>
        <v>2119</v>
      </c>
      <c r="M68" s="280"/>
      <c r="N68" s="280"/>
      <c r="O68" s="280"/>
      <c r="P68" s="280"/>
      <c r="Q68" s="280"/>
      <c r="R68" s="280"/>
      <c r="S68" s="280"/>
      <c r="T68" s="280"/>
      <c r="U68" s="280"/>
      <c r="V68" s="280">
        <f t="shared" si="18"/>
        <v>0</v>
      </c>
      <c r="W68" s="245">
        <v>3480</v>
      </c>
      <c r="X68" s="233"/>
      <c r="Y68" s="233"/>
      <c r="Z68" s="247">
        <f t="shared" si="16"/>
        <v>5599</v>
      </c>
      <c r="AA68" s="215">
        <f t="shared" si="17"/>
        <v>0</v>
      </c>
    </row>
    <row r="69" spans="1:28" x14ac:dyDescent="0.25">
      <c r="A69" s="136" t="s">
        <v>188</v>
      </c>
      <c r="B69" s="137" t="s">
        <v>311</v>
      </c>
      <c r="C69" s="230"/>
      <c r="D69" s="230"/>
      <c r="E69" s="230"/>
      <c r="F69" s="230"/>
      <c r="G69" s="230"/>
      <c r="H69" s="230"/>
      <c r="I69" s="230"/>
      <c r="J69" s="230"/>
      <c r="K69" s="230"/>
      <c r="L69" s="232">
        <f t="shared" si="15"/>
        <v>0</v>
      </c>
      <c r="M69" s="230"/>
      <c r="N69" s="230"/>
      <c r="O69" s="230"/>
      <c r="P69" s="230"/>
      <c r="Q69" s="230"/>
      <c r="R69" s="230"/>
      <c r="S69" s="230"/>
      <c r="T69" s="230"/>
      <c r="U69" s="230"/>
      <c r="V69" s="280">
        <f t="shared" si="18"/>
        <v>0</v>
      </c>
      <c r="W69" s="245">
        <v>0</v>
      </c>
      <c r="X69" s="235"/>
      <c r="Y69" s="235"/>
      <c r="Z69" s="247">
        <f t="shared" si="16"/>
        <v>0</v>
      </c>
      <c r="AA69" s="215">
        <f t="shared" si="17"/>
        <v>0</v>
      </c>
    </row>
    <row r="70" spans="1:28" x14ac:dyDescent="0.25">
      <c r="A70" s="136" t="s">
        <v>192</v>
      </c>
      <c r="B70" s="137" t="s">
        <v>312</v>
      </c>
      <c r="C70" s="230">
        <v>42</v>
      </c>
      <c r="D70" s="230">
        <v>4</v>
      </c>
      <c r="E70" s="230">
        <v>12</v>
      </c>
      <c r="F70" s="230">
        <v>2</v>
      </c>
      <c r="G70" s="230">
        <v>2</v>
      </c>
      <c r="H70" s="230">
        <v>0</v>
      </c>
      <c r="I70" s="230">
        <v>0</v>
      </c>
      <c r="J70" s="230">
        <v>15</v>
      </c>
      <c r="K70" s="230"/>
      <c r="L70" s="232">
        <f t="shared" si="15"/>
        <v>77</v>
      </c>
      <c r="M70" s="230">
        <v>495</v>
      </c>
      <c r="N70" s="230">
        <v>166</v>
      </c>
      <c r="O70" s="230">
        <v>174</v>
      </c>
      <c r="P70" s="230">
        <v>0</v>
      </c>
      <c r="Q70" s="230">
        <v>8</v>
      </c>
      <c r="R70" s="230">
        <v>12</v>
      </c>
      <c r="S70" s="230"/>
      <c r="T70" s="230"/>
      <c r="U70" s="230"/>
      <c r="V70" s="280">
        <f t="shared" si="18"/>
        <v>855</v>
      </c>
      <c r="W70" s="245">
        <v>368</v>
      </c>
      <c r="X70" s="235"/>
      <c r="Y70" s="235"/>
      <c r="Z70" s="247">
        <f t="shared" si="16"/>
        <v>1300</v>
      </c>
      <c r="AA70" s="217">
        <f t="shared" si="17"/>
        <v>709</v>
      </c>
    </row>
    <row r="71" spans="1:28" ht="14.4" thickBot="1" x14ac:dyDescent="0.3">
      <c r="A71" s="136" t="s">
        <v>193</v>
      </c>
      <c r="B71" s="137" t="s">
        <v>325</v>
      </c>
      <c r="C71" s="265">
        <v>0</v>
      </c>
      <c r="D71" s="265">
        <v>0</v>
      </c>
      <c r="E71" s="265">
        <v>0</v>
      </c>
      <c r="F71" s="265">
        <v>0</v>
      </c>
      <c r="G71" s="265">
        <v>0</v>
      </c>
      <c r="H71" s="265">
        <v>0</v>
      </c>
      <c r="I71" s="265">
        <v>896</v>
      </c>
      <c r="J71" s="265">
        <v>118</v>
      </c>
      <c r="K71" s="265"/>
      <c r="L71" s="232">
        <f t="shared" si="15"/>
        <v>1014</v>
      </c>
      <c r="M71" s="265">
        <v>0</v>
      </c>
      <c r="N71" s="265">
        <v>0</v>
      </c>
      <c r="O71" s="265">
        <v>0</v>
      </c>
      <c r="P71" s="265">
        <v>0</v>
      </c>
      <c r="Q71" s="265">
        <v>0</v>
      </c>
      <c r="R71" s="265">
        <v>0</v>
      </c>
      <c r="S71" s="265"/>
      <c r="T71" s="265"/>
      <c r="U71" s="265"/>
      <c r="V71" s="409">
        <f>SUM(M71:U71)</f>
        <v>0</v>
      </c>
      <c r="W71" s="333">
        <v>5159</v>
      </c>
      <c r="X71" s="235"/>
      <c r="Y71" s="235"/>
      <c r="Z71" s="247">
        <f t="shared" si="16"/>
        <v>6173</v>
      </c>
      <c r="AA71" s="217">
        <f t="shared" si="17"/>
        <v>0</v>
      </c>
      <c r="AB71" s="142">
        <f>L71+V71</f>
        <v>1014</v>
      </c>
    </row>
    <row r="72" spans="1:28" s="109" customFormat="1" ht="14.4" thickBot="1" x14ac:dyDescent="0.3">
      <c r="A72" s="134"/>
      <c r="B72" s="159" t="s">
        <v>460</v>
      </c>
      <c r="C72" s="258">
        <f t="shared" ref="C72:AA72" si="19">SUM(C56:C71)</f>
        <v>15814</v>
      </c>
      <c r="D72" s="157">
        <f t="shared" si="19"/>
        <v>8905</v>
      </c>
      <c r="E72" s="157">
        <f t="shared" si="19"/>
        <v>6818</v>
      </c>
      <c r="F72" s="157">
        <f t="shared" si="19"/>
        <v>674</v>
      </c>
      <c r="G72" s="157">
        <f t="shared" si="19"/>
        <v>378</v>
      </c>
      <c r="H72" s="157">
        <f t="shared" si="19"/>
        <v>2</v>
      </c>
      <c r="I72" s="157">
        <f t="shared" si="19"/>
        <v>1895</v>
      </c>
      <c r="J72" s="157">
        <f t="shared" si="19"/>
        <v>9588</v>
      </c>
      <c r="K72" s="259">
        <f t="shared" si="19"/>
        <v>493</v>
      </c>
      <c r="L72" s="260">
        <f t="shared" si="19"/>
        <v>44567</v>
      </c>
      <c r="M72" s="262">
        <f t="shared" si="19"/>
        <v>12332</v>
      </c>
      <c r="N72" s="158">
        <f t="shared" si="19"/>
        <v>11903</v>
      </c>
      <c r="O72" s="158">
        <f t="shared" si="19"/>
        <v>9322</v>
      </c>
      <c r="P72" s="158">
        <f t="shared" si="19"/>
        <v>416</v>
      </c>
      <c r="Q72" s="158">
        <f t="shared" si="19"/>
        <v>345</v>
      </c>
      <c r="R72" s="158">
        <f t="shared" si="19"/>
        <v>279</v>
      </c>
      <c r="S72" s="264">
        <f t="shared" si="19"/>
        <v>0</v>
      </c>
      <c r="T72" s="262">
        <f t="shared" si="19"/>
        <v>413</v>
      </c>
      <c r="U72" s="264">
        <f t="shared" si="19"/>
        <v>9</v>
      </c>
      <c r="V72" s="401">
        <f t="shared" si="19"/>
        <v>35019</v>
      </c>
      <c r="W72" s="405">
        <f>SUM(W56:W71)</f>
        <v>44221</v>
      </c>
      <c r="X72" s="275">
        <f t="shared" si="19"/>
        <v>0</v>
      </c>
      <c r="Y72" s="276">
        <f>SUM(Y56:Y71)</f>
        <v>0</v>
      </c>
      <c r="Z72" s="261">
        <f t="shared" si="19"/>
        <v>123807</v>
      </c>
      <c r="AA72" s="210">
        <f t="shared" si="19"/>
        <v>50546</v>
      </c>
    </row>
    <row r="73" spans="1:28" x14ac:dyDescent="0.25">
      <c r="A73" s="136" t="s">
        <v>65</v>
      </c>
      <c r="B73" s="137" t="s">
        <v>326</v>
      </c>
      <c r="C73" s="280">
        <v>569</v>
      </c>
      <c r="D73" s="280">
        <v>422</v>
      </c>
      <c r="E73" s="280">
        <v>439</v>
      </c>
      <c r="F73" s="280">
        <v>11</v>
      </c>
      <c r="G73" s="280">
        <v>41</v>
      </c>
      <c r="H73" s="280">
        <v>0</v>
      </c>
      <c r="I73" s="280">
        <v>571</v>
      </c>
      <c r="J73" s="280">
        <v>400</v>
      </c>
      <c r="K73" s="280">
        <v>0</v>
      </c>
      <c r="L73" s="234">
        <f>SUM(C73:K73)</f>
        <v>2453</v>
      </c>
      <c r="M73" s="280">
        <v>724</v>
      </c>
      <c r="N73" s="280">
        <v>1161</v>
      </c>
      <c r="O73" s="280">
        <v>491</v>
      </c>
      <c r="P73" s="280">
        <v>117</v>
      </c>
      <c r="Q73" s="280">
        <v>58</v>
      </c>
      <c r="R73" s="280">
        <v>8</v>
      </c>
      <c r="S73" s="280">
        <v>0</v>
      </c>
      <c r="T73" s="280">
        <v>3</v>
      </c>
      <c r="U73" s="280">
        <v>3</v>
      </c>
      <c r="V73" s="354">
        <f t="shared" ref="V73:V88" si="20">SUM(M73:U73)</f>
        <v>2565</v>
      </c>
      <c r="W73" s="240">
        <v>1398</v>
      </c>
      <c r="X73" s="280"/>
      <c r="Y73" s="237"/>
      <c r="Z73" s="247">
        <f t="shared" ref="Z73:Z88" si="21">L73+V73+W73+X73+Y73</f>
        <v>6416</v>
      </c>
      <c r="AA73" s="218">
        <f t="shared" ref="AA73:AA88" si="22">C73+D73+F73+K73+M73+N73+P73+U73</f>
        <v>3007</v>
      </c>
    </row>
    <row r="74" spans="1:28" x14ac:dyDescent="0.25">
      <c r="A74" s="136" t="s">
        <v>81</v>
      </c>
      <c r="B74" s="137" t="s">
        <v>327</v>
      </c>
      <c r="C74" s="230">
        <v>1105</v>
      </c>
      <c r="D74" s="230">
        <v>439</v>
      </c>
      <c r="E74" s="230">
        <v>278</v>
      </c>
      <c r="F74" s="230">
        <v>68</v>
      </c>
      <c r="G74" s="230">
        <v>26</v>
      </c>
      <c r="H74" s="230">
        <v>0</v>
      </c>
      <c r="I74" s="230">
        <v>32</v>
      </c>
      <c r="J74" s="230">
        <v>120</v>
      </c>
      <c r="K74" s="230">
        <v>0</v>
      </c>
      <c r="L74" s="232">
        <f>SUM(C74:K74)</f>
        <v>2068</v>
      </c>
      <c r="M74" s="230">
        <v>1340</v>
      </c>
      <c r="N74" s="230">
        <v>1419</v>
      </c>
      <c r="O74" s="230">
        <v>577</v>
      </c>
      <c r="P74" s="230">
        <v>11</v>
      </c>
      <c r="Q74" s="230">
        <v>49</v>
      </c>
      <c r="R74" s="230">
        <v>50</v>
      </c>
      <c r="S74" s="230">
        <v>24</v>
      </c>
      <c r="T74" s="230">
        <v>100</v>
      </c>
      <c r="U74" s="230">
        <v>0</v>
      </c>
      <c r="V74" s="354">
        <f t="shared" si="20"/>
        <v>3570</v>
      </c>
      <c r="W74" s="245">
        <v>3016</v>
      </c>
      <c r="X74" s="230"/>
      <c r="Y74" s="233"/>
      <c r="Z74" s="247">
        <f t="shared" si="21"/>
        <v>8654</v>
      </c>
      <c r="AA74" s="215">
        <f t="shared" si="22"/>
        <v>4382</v>
      </c>
    </row>
    <row r="75" spans="1:28" x14ac:dyDescent="0.25">
      <c r="A75" s="136" t="s">
        <v>87</v>
      </c>
      <c r="B75" s="137" t="s">
        <v>292</v>
      </c>
      <c r="C75" s="230">
        <v>904</v>
      </c>
      <c r="D75" s="230">
        <v>849</v>
      </c>
      <c r="E75" s="230">
        <v>454</v>
      </c>
      <c r="F75" s="230">
        <v>44</v>
      </c>
      <c r="G75" s="230">
        <v>34</v>
      </c>
      <c r="H75" s="230">
        <v>25</v>
      </c>
      <c r="I75" s="230">
        <v>38</v>
      </c>
      <c r="J75" s="230">
        <v>206</v>
      </c>
      <c r="K75" s="230">
        <v>0</v>
      </c>
      <c r="L75" s="232">
        <f t="shared" ref="L75:L88" si="23">SUM(C75:K75)</f>
        <v>2554</v>
      </c>
      <c r="M75" s="230">
        <v>867</v>
      </c>
      <c r="N75" s="230">
        <v>1213</v>
      </c>
      <c r="O75" s="230">
        <v>969</v>
      </c>
      <c r="P75" s="230">
        <v>46</v>
      </c>
      <c r="Q75" s="230">
        <v>14</v>
      </c>
      <c r="R75" s="230">
        <v>2</v>
      </c>
      <c r="S75" s="230">
        <v>6</v>
      </c>
      <c r="T75" s="230">
        <v>168</v>
      </c>
      <c r="U75" s="230">
        <v>0</v>
      </c>
      <c r="V75" s="354">
        <f t="shared" si="20"/>
        <v>3285</v>
      </c>
      <c r="W75" s="245">
        <v>458</v>
      </c>
      <c r="X75" s="230"/>
      <c r="Y75" s="233"/>
      <c r="Z75" s="247">
        <f t="shared" si="21"/>
        <v>6297</v>
      </c>
      <c r="AA75" s="215">
        <f t="shared" si="22"/>
        <v>3923</v>
      </c>
    </row>
    <row r="76" spans="1:28" x14ac:dyDescent="0.25">
      <c r="A76" s="136" t="s">
        <v>92</v>
      </c>
      <c r="B76" s="137" t="s">
        <v>328</v>
      </c>
      <c r="C76" s="230">
        <v>246</v>
      </c>
      <c r="D76" s="230">
        <v>69</v>
      </c>
      <c r="E76" s="230">
        <v>82</v>
      </c>
      <c r="F76" s="230">
        <v>13</v>
      </c>
      <c r="G76" s="230">
        <v>13</v>
      </c>
      <c r="H76" s="230">
        <v>0</v>
      </c>
      <c r="I76" s="230">
        <v>0</v>
      </c>
      <c r="J76" s="230">
        <v>23</v>
      </c>
      <c r="K76" s="230">
        <v>0</v>
      </c>
      <c r="L76" s="232">
        <f t="shared" si="23"/>
        <v>446</v>
      </c>
      <c r="M76" s="230">
        <v>511</v>
      </c>
      <c r="N76" s="230">
        <v>456</v>
      </c>
      <c r="O76" s="230">
        <v>248</v>
      </c>
      <c r="P76" s="230">
        <v>40</v>
      </c>
      <c r="Q76" s="230">
        <v>10</v>
      </c>
      <c r="R76" s="230">
        <v>0</v>
      </c>
      <c r="S76" s="230">
        <v>0</v>
      </c>
      <c r="T76" s="230">
        <v>3</v>
      </c>
      <c r="U76" s="230">
        <v>0</v>
      </c>
      <c r="V76" s="354">
        <f t="shared" si="20"/>
        <v>1268</v>
      </c>
      <c r="W76" s="245">
        <v>639</v>
      </c>
      <c r="X76" s="230"/>
      <c r="Y76" s="233"/>
      <c r="Z76" s="247">
        <f t="shared" si="21"/>
        <v>2353</v>
      </c>
      <c r="AA76" s="215">
        <f t="shared" si="22"/>
        <v>1335</v>
      </c>
    </row>
    <row r="77" spans="1:28" x14ac:dyDescent="0.25">
      <c r="A77" s="136" t="s">
        <v>96</v>
      </c>
      <c r="B77" s="137" t="s">
        <v>293</v>
      </c>
      <c r="C77" s="230">
        <v>4351</v>
      </c>
      <c r="D77" s="230">
        <v>1575</v>
      </c>
      <c r="E77" s="230">
        <v>2242</v>
      </c>
      <c r="F77" s="230">
        <v>128</v>
      </c>
      <c r="G77" s="230">
        <v>117</v>
      </c>
      <c r="H77" s="230">
        <v>0</v>
      </c>
      <c r="I77" s="230">
        <v>203</v>
      </c>
      <c r="J77" s="230">
        <v>854</v>
      </c>
      <c r="K77" s="230">
        <v>0</v>
      </c>
      <c r="L77" s="232">
        <f t="shared" si="23"/>
        <v>9470</v>
      </c>
      <c r="M77" s="230">
        <v>623</v>
      </c>
      <c r="N77" s="230">
        <v>849</v>
      </c>
      <c r="O77" s="230">
        <v>877</v>
      </c>
      <c r="P77" s="230">
        <v>32</v>
      </c>
      <c r="Q77" s="230">
        <v>20</v>
      </c>
      <c r="R77" s="230">
        <v>36</v>
      </c>
      <c r="S77" s="230">
        <v>16</v>
      </c>
      <c r="T77" s="230">
        <v>117</v>
      </c>
      <c r="U77" s="230">
        <v>0</v>
      </c>
      <c r="V77" s="354">
        <f t="shared" si="20"/>
        <v>2570</v>
      </c>
      <c r="W77" s="245">
        <v>928</v>
      </c>
      <c r="X77" s="230"/>
      <c r="Y77" s="233"/>
      <c r="Z77" s="247">
        <f t="shared" si="21"/>
        <v>12968</v>
      </c>
      <c r="AA77" s="215">
        <f t="shared" si="22"/>
        <v>7558</v>
      </c>
    </row>
    <row r="78" spans="1:28" x14ac:dyDescent="0.25">
      <c r="A78" s="136" t="s">
        <v>100</v>
      </c>
      <c r="B78" s="137" t="s">
        <v>295</v>
      </c>
      <c r="C78" s="230">
        <v>1001</v>
      </c>
      <c r="D78" s="230">
        <v>243</v>
      </c>
      <c r="E78" s="230">
        <v>198</v>
      </c>
      <c r="F78" s="230">
        <v>55</v>
      </c>
      <c r="G78" s="230">
        <v>22</v>
      </c>
      <c r="H78" s="230">
        <v>0</v>
      </c>
      <c r="I78" s="230">
        <v>0</v>
      </c>
      <c r="J78" s="230">
        <v>106</v>
      </c>
      <c r="K78" s="230">
        <v>0</v>
      </c>
      <c r="L78" s="232">
        <f t="shared" si="23"/>
        <v>1625</v>
      </c>
      <c r="M78" s="230">
        <v>812</v>
      </c>
      <c r="N78" s="230">
        <v>1113</v>
      </c>
      <c r="O78" s="230">
        <v>629</v>
      </c>
      <c r="P78" s="230">
        <v>54</v>
      </c>
      <c r="Q78" s="230">
        <v>20</v>
      </c>
      <c r="R78" s="230">
        <v>4</v>
      </c>
      <c r="S78" s="230">
        <v>0</v>
      </c>
      <c r="T78" s="230">
        <v>28</v>
      </c>
      <c r="U78" s="230">
        <v>0</v>
      </c>
      <c r="V78" s="354">
        <f t="shared" si="20"/>
        <v>2660</v>
      </c>
      <c r="W78" s="245">
        <v>706</v>
      </c>
      <c r="X78" s="230"/>
      <c r="Y78" s="233"/>
      <c r="Z78" s="247">
        <f t="shared" si="21"/>
        <v>4991</v>
      </c>
      <c r="AA78" s="215">
        <f t="shared" si="22"/>
        <v>3278</v>
      </c>
    </row>
    <row r="79" spans="1:28" x14ac:dyDescent="0.25">
      <c r="A79" s="136" t="s">
        <v>108</v>
      </c>
      <c r="B79" s="137" t="s">
        <v>296</v>
      </c>
      <c r="C79" s="230">
        <v>419</v>
      </c>
      <c r="D79" s="230">
        <v>248</v>
      </c>
      <c r="E79" s="230">
        <v>158</v>
      </c>
      <c r="F79" s="230">
        <v>38</v>
      </c>
      <c r="G79" s="230">
        <v>12</v>
      </c>
      <c r="H79" s="230">
        <v>0</v>
      </c>
      <c r="I79" s="230">
        <v>0</v>
      </c>
      <c r="J79" s="230">
        <v>137</v>
      </c>
      <c r="K79" s="230">
        <v>0</v>
      </c>
      <c r="L79" s="232">
        <f t="shared" si="23"/>
        <v>1012</v>
      </c>
      <c r="M79" s="230">
        <v>581</v>
      </c>
      <c r="N79" s="230">
        <v>669</v>
      </c>
      <c r="O79" s="230">
        <v>449</v>
      </c>
      <c r="P79" s="230">
        <v>42</v>
      </c>
      <c r="Q79" s="230">
        <v>12</v>
      </c>
      <c r="R79" s="230">
        <v>6</v>
      </c>
      <c r="S79" s="230">
        <v>0</v>
      </c>
      <c r="T79" s="230">
        <v>3</v>
      </c>
      <c r="U79" s="230">
        <v>0</v>
      </c>
      <c r="V79" s="354">
        <f t="shared" si="20"/>
        <v>1762</v>
      </c>
      <c r="W79" s="245">
        <v>361</v>
      </c>
      <c r="X79" s="230"/>
      <c r="Y79" s="233"/>
      <c r="Z79" s="247">
        <f t="shared" si="21"/>
        <v>3135</v>
      </c>
      <c r="AA79" s="215">
        <f t="shared" si="22"/>
        <v>1997</v>
      </c>
    </row>
    <row r="80" spans="1:28" x14ac:dyDescent="0.25">
      <c r="A80" s="136" t="s">
        <v>109</v>
      </c>
      <c r="B80" s="137" t="s">
        <v>329</v>
      </c>
      <c r="C80" s="230">
        <v>833</v>
      </c>
      <c r="D80" s="230">
        <v>409</v>
      </c>
      <c r="E80" s="230">
        <v>1059</v>
      </c>
      <c r="F80" s="230">
        <v>39</v>
      </c>
      <c r="G80" s="230">
        <v>11</v>
      </c>
      <c r="H80" s="230">
        <v>0</v>
      </c>
      <c r="I80" s="230">
        <v>60</v>
      </c>
      <c r="J80" s="230">
        <v>340</v>
      </c>
      <c r="K80" s="230">
        <v>0</v>
      </c>
      <c r="L80" s="232">
        <f t="shared" si="23"/>
        <v>2751</v>
      </c>
      <c r="M80" s="230">
        <v>607</v>
      </c>
      <c r="N80" s="230">
        <v>999</v>
      </c>
      <c r="O80" s="230">
        <v>687</v>
      </c>
      <c r="P80" s="230">
        <v>41</v>
      </c>
      <c r="Q80" s="230">
        <v>43</v>
      </c>
      <c r="R80" s="230">
        <v>6</v>
      </c>
      <c r="S80" s="230">
        <v>0</v>
      </c>
      <c r="T80" s="230">
        <v>4</v>
      </c>
      <c r="U80" s="230">
        <v>0</v>
      </c>
      <c r="V80" s="354">
        <f t="shared" si="20"/>
        <v>2387</v>
      </c>
      <c r="W80" s="245">
        <v>211</v>
      </c>
      <c r="X80" s="230"/>
      <c r="Y80" s="233"/>
      <c r="Z80" s="247">
        <f t="shared" si="21"/>
        <v>5349</v>
      </c>
      <c r="AA80" s="215">
        <f t="shared" si="22"/>
        <v>2928</v>
      </c>
    </row>
    <row r="81" spans="1:28" x14ac:dyDescent="0.25">
      <c r="A81" s="136" t="s">
        <v>124</v>
      </c>
      <c r="B81" s="137" t="s">
        <v>330</v>
      </c>
      <c r="C81" s="230">
        <v>863</v>
      </c>
      <c r="D81" s="230">
        <v>711</v>
      </c>
      <c r="E81" s="230">
        <v>193</v>
      </c>
      <c r="F81" s="230">
        <v>44</v>
      </c>
      <c r="G81" s="230">
        <v>73</v>
      </c>
      <c r="H81" s="230">
        <v>0</v>
      </c>
      <c r="I81" s="230">
        <v>17</v>
      </c>
      <c r="J81" s="230">
        <v>124</v>
      </c>
      <c r="K81" s="230">
        <v>0</v>
      </c>
      <c r="L81" s="232">
        <f t="shared" si="23"/>
        <v>2025</v>
      </c>
      <c r="M81" s="230">
        <v>470</v>
      </c>
      <c r="N81" s="230">
        <v>984</v>
      </c>
      <c r="O81" s="230">
        <v>312</v>
      </c>
      <c r="P81" s="230">
        <v>25</v>
      </c>
      <c r="Q81" s="230">
        <v>65</v>
      </c>
      <c r="R81" s="230">
        <v>0</v>
      </c>
      <c r="S81" s="230">
        <v>0</v>
      </c>
      <c r="T81" s="230">
        <v>0</v>
      </c>
      <c r="U81" s="230">
        <v>0</v>
      </c>
      <c r="V81" s="354">
        <f t="shared" si="20"/>
        <v>1856</v>
      </c>
      <c r="W81" s="245">
        <v>312</v>
      </c>
      <c r="X81" s="238"/>
      <c r="Y81" s="233"/>
      <c r="Z81" s="247">
        <f t="shared" si="21"/>
        <v>4193</v>
      </c>
      <c r="AA81" s="215">
        <f t="shared" si="22"/>
        <v>3097</v>
      </c>
    </row>
    <row r="82" spans="1:28" x14ac:dyDescent="0.25">
      <c r="A82" s="136" t="s">
        <v>126</v>
      </c>
      <c r="B82" s="137" t="s">
        <v>331</v>
      </c>
      <c r="C82" s="230">
        <v>450</v>
      </c>
      <c r="D82" s="230">
        <v>207</v>
      </c>
      <c r="E82" s="230">
        <v>143</v>
      </c>
      <c r="F82" s="230">
        <v>31</v>
      </c>
      <c r="G82" s="230">
        <v>12</v>
      </c>
      <c r="H82" s="230">
        <v>0</v>
      </c>
      <c r="I82" s="230">
        <v>0</v>
      </c>
      <c r="J82" s="230">
        <v>185</v>
      </c>
      <c r="K82" s="230">
        <v>0</v>
      </c>
      <c r="L82" s="232">
        <f t="shared" si="23"/>
        <v>1028</v>
      </c>
      <c r="M82" s="230">
        <v>1010</v>
      </c>
      <c r="N82" s="230">
        <v>1331</v>
      </c>
      <c r="O82" s="230">
        <v>499</v>
      </c>
      <c r="P82" s="230">
        <v>88</v>
      </c>
      <c r="Q82" s="230">
        <v>44</v>
      </c>
      <c r="R82" s="230">
        <v>0</v>
      </c>
      <c r="S82" s="230">
        <v>0</v>
      </c>
      <c r="T82" s="230">
        <v>210</v>
      </c>
      <c r="U82" s="230">
        <v>0</v>
      </c>
      <c r="V82" s="354">
        <f t="shared" si="20"/>
        <v>3182</v>
      </c>
      <c r="W82" s="245">
        <v>406</v>
      </c>
      <c r="X82" s="230"/>
      <c r="Y82" s="233"/>
      <c r="Z82" s="247">
        <f t="shared" si="21"/>
        <v>4616</v>
      </c>
      <c r="AA82" s="215">
        <f t="shared" si="22"/>
        <v>3117</v>
      </c>
    </row>
    <row r="83" spans="1:28" x14ac:dyDescent="0.25">
      <c r="A83" s="136" t="s">
        <v>132</v>
      </c>
      <c r="B83" s="137" t="s">
        <v>298</v>
      </c>
      <c r="C83" s="230">
        <v>1718</v>
      </c>
      <c r="D83" s="230">
        <v>2121</v>
      </c>
      <c r="E83" s="230">
        <v>704</v>
      </c>
      <c r="F83" s="230">
        <v>78</v>
      </c>
      <c r="G83" s="230">
        <v>69</v>
      </c>
      <c r="H83" s="230">
        <v>22</v>
      </c>
      <c r="I83" s="230">
        <v>92</v>
      </c>
      <c r="J83" s="230">
        <v>229</v>
      </c>
      <c r="K83" s="230">
        <v>0</v>
      </c>
      <c r="L83" s="232">
        <f t="shared" si="23"/>
        <v>5033</v>
      </c>
      <c r="M83" s="230">
        <v>1639</v>
      </c>
      <c r="N83" s="230">
        <v>2172</v>
      </c>
      <c r="O83" s="230">
        <v>1490</v>
      </c>
      <c r="P83" s="230">
        <v>57</v>
      </c>
      <c r="Q83" s="230">
        <v>65</v>
      </c>
      <c r="R83" s="230">
        <v>87</v>
      </c>
      <c r="S83" s="230">
        <v>28</v>
      </c>
      <c r="T83" s="230">
        <v>18</v>
      </c>
      <c r="U83" s="230">
        <v>0</v>
      </c>
      <c r="V83" s="354">
        <f t="shared" si="20"/>
        <v>5556</v>
      </c>
      <c r="W83" s="245">
        <v>561</v>
      </c>
      <c r="X83" s="230"/>
      <c r="Y83" s="233"/>
      <c r="Z83" s="247">
        <f t="shared" si="21"/>
        <v>11150</v>
      </c>
      <c r="AA83" s="215">
        <f t="shared" si="22"/>
        <v>7785</v>
      </c>
    </row>
    <row r="84" spans="1:28" x14ac:dyDescent="0.25">
      <c r="A84" s="136" t="s">
        <v>137</v>
      </c>
      <c r="B84" s="137" t="s">
        <v>299</v>
      </c>
      <c r="C84" s="230">
        <v>472</v>
      </c>
      <c r="D84" s="230">
        <v>447</v>
      </c>
      <c r="E84" s="230">
        <v>137</v>
      </c>
      <c r="F84" s="230">
        <v>32</v>
      </c>
      <c r="G84" s="230">
        <v>29</v>
      </c>
      <c r="H84" s="230">
        <v>0</v>
      </c>
      <c r="I84" s="230">
        <v>0</v>
      </c>
      <c r="J84" s="230">
        <v>191</v>
      </c>
      <c r="K84" s="230">
        <v>0</v>
      </c>
      <c r="L84" s="232">
        <f t="shared" si="23"/>
        <v>1308</v>
      </c>
      <c r="M84" s="230">
        <v>1441</v>
      </c>
      <c r="N84" s="230">
        <v>2093</v>
      </c>
      <c r="O84" s="230">
        <v>1025</v>
      </c>
      <c r="P84" s="230">
        <v>47</v>
      </c>
      <c r="Q84" s="230">
        <v>52</v>
      </c>
      <c r="R84" s="230">
        <v>82</v>
      </c>
      <c r="S84" s="230">
        <v>0</v>
      </c>
      <c r="T84" s="230">
        <v>9</v>
      </c>
      <c r="U84" s="230">
        <v>0</v>
      </c>
      <c r="V84" s="354">
        <f t="shared" si="20"/>
        <v>4749</v>
      </c>
      <c r="W84" s="245">
        <v>366</v>
      </c>
      <c r="X84" s="230"/>
      <c r="Y84" s="233"/>
      <c r="Z84" s="247">
        <f t="shared" si="21"/>
        <v>6423</v>
      </c>
      <c r="AA84" s="215">
        <f t="shared" si="22"/>
        <v>4532</v>
      </c>
    </row>
    <row r="85" spans="1:28" x14ac:dyDescent="0.25">
      <c r="A85" s="136" t="s">
        <v>148</v>
      </c>
      <c r="B85" s="137" t="s">
        <v>300</v>
      </c>
      <c r="C85" s="230">
        <v>334</v>
      </c>
      <c r="D85" s="230">
        <v>376</v>
      </c>
      <c r="E85" s="230">
        <v>156</v>
      </c>
      <c r="F85" s="230">
        <v>28</v>
      </c>
      <c r="G85" s="230">
        <v>13</v>
      </c>
      <c r="H85" s="230">
        <v>0</v>
      </c>
      <c r="I85" s="230">
        <v>0</v>
      </c>
      <c r="J85" s="230">
        <v>127</v>
      </c>
      <c r="K85" s="230">
        <v>0</v>
      </c>
      <c r="L85" s="232">
        <f t="shared" si="23"/>
        <v>1034</v>
      </c>
      <c r="M85" s="230">
        <v>717</v>
      </c>
      <c r="N85" s="230">
        <v>757</v>
      </c>
      <c r="O85" s="230">
        <v>506</v>
      </c>
      <c r="P85" s="230">
        <v>39</v>
      </c>
      <c r="Q85" s="230">
        <v>20</v>
      </c>
      <c r="R85" s="230">
        <v>26</v>
      </c>
      <c r="S85" s="230">
        <v>0</v>
      </c>
      <c r="T85" s="230">
        <v>1</v>
      </c>
      <c r="U85" s="230">
        <v>0</v>
      </c>
      <c r="V85" s="354">
        <f t="shared" si="20"/>
        <v>2066</v>
      </c>
      <c r="W85" s="245">
        <v>189</v>
      </c>
      <c r="X85" s="230"/>
      <c r="Y85" s="233"/>
      <c r="Z85" s="247">
        <f t="shared" si="21"/>
        <v>3289</v>
      </c>
      <c r="AA85" s="215">
        <f t="shared" si="22"/>
        <v>2251</v>
      </c>
    </row>
    <row r="86" spans="1:28" x14ac:dyDescent="0.25">
      <c r="A86" s="136" t="s">
        <v>169</v>
      </c>
      <c r="B86" s="137" t="s">
        <v>301</v>
      </c>
      <c r="C86" s="230">
        <v>592</v>
      </c>
      <c r="D86" s="230">
        <v>254</v>
      </c>
      <c r="E86" s="230">
        <v>270</v>
      </c>
      <c r="F86" s="230">
        <v>12</v>
      </c>
      <c r="G86" s="230">
        <v>59</v>
      </c>
      <c r="H86" s="230">
        <v>0</v>
      </c>
      <c r="I86" s="230">
        <v>0</v>
      </c>
      <c r="J86" s="230">
        <v>192</v>
      </c>
      <c r="K86" s="230">
        <v>0</v>
      </c>
      <c r="L86" s="232">
        <f t="shared" si="23"/>
        <v>1379</v>
      </c>
      <c r="M86" s="230">
        <v>261</v>
      </c>
      <c r="N86" s="230">
        <v>598</v>
      </c>
      <c r="O86" s="230">
        <v>216</v>
      </c>
      <c r="P86" s="230">
        <v>27</v>
      </c>
      <c r="Q86" s="230">
        <v>33</v>
      </c>
      <c r="R86" s="230">
        <v>0</v>
      </c>
      <c r="S86" s="230">
        <v>0</v>
      </c>
      <c r="T86" s="230">
        <v>0</v>
      </c>
      <c r="U86" s="230">
        <v>0</v>
      </c>
      <c r="V86" s="354">
        <f t="shared" si="20"/>
        <v>1135</v>
      </c>
      <c r="W86" s="270"/>
      <c r="X86" s="230"/>
      <c r="Y86" s="233"/>
      <c r="Z86" s="247">
        <f t="shared" si="21"/>
        <v>2514</v>
      </c>
      <c r="AA86" s="215">
        <f t="shared" si="22"/>
        <v>1744</v>
      </c>
    </row>
    <row r="87" spans="1:28" x14ac:dyDescent="0.25">
      <c r="A87" s="136" t="s">
        <v>172</v>
      </c>
      <c r="B87" s="137" t="s">
        <v>333</v>
      </c>
      <c r="C87" s="230">
        <v>13700</v>
      </c>
      <c r="D87" s="230">
        <v>3489</v>
      </c>
      <c r="E87" s="230">
        <v>2381</v>
      </c>
      <c r="F87" s="230">
        <v>225</v>
      </c>
      <c r="G87" s="230">
        <v>116</v>
      </c>
      <c r="H87" s="230">
        <v>0</v>
      </c>
      <c r="I87" s="230">
        <v>758</v>
      </c>
      <c r="J87" s="230">
        <v>1217</v>
      </c>
      <c r="K87" s="230">
        <v>0</v>
      </c>
      <c r="L87" s="232">
        <f t="shared" si="23"/>
        <v>21886</v>
      </c>
      <c r="M87" s="230">
        <v>2390</v>
      </c>
      <c r="N87" s="230">
        <v>2869</v>
      </c>
      <c r="O87" s="230">
        <v>893</v>
      </c>
      <c r="P87" s="230">
        <v>84</v>
      </c>
      <c r="Q87" s="230">
        <v>65</v>
      </c>
      <c r="R87" s="230">
        <v>0</v>
      </c>
      <c r="S87" s="230">
        <v>0</v>
      </c>
      <c r="T87" s="230">
        <v>6</v>
      </c>
      <c r="U87" s="230">
        <v>0</v>
      </c>
      <c r="V87" s="354">
        <f t="shared" si="20"/>
        <v>6307</v>
      </c>
      <c r="W87" s="326">
        <v>158</v>
      </c>
      <c r="X87" s="230"/>
      <c r="Y87" s="233"/>
      <c r="Z87" s="247">
        <f t="shared" si="21"/>
        <v>28351</v>
      </c>
      <c r="AA87" s="215">
        <f t="shared" si="22"/>
        <v>22757</v>
      </c>
    </row>
    <row r="88" spans="1:28" ht="13.8" thickBot="1" x14ac:dyDescent="0.3">
      <c r="A88" s="136" t="s">
        <v>175</v>
      </c>
      <c r="B88" s="137" t="s">
        <v>334</v>
      </c>
      <c r="C88" s="265">
        <v>189</v>
      </c>
      <c r="D88" s="265">
        <v>89</v>
      </c>
      <c r="E88" s="265">
        <v>58</v>
      </c>
      <c r="F88" s="265">
        <v>9</v>
      </c>
      <c r="G88" s="265">
        <v>7</v>
      </c>
      <c r="H88" s="265">
        <v>0</v>
      </c>
      <c r="I88" s="265">
        <v>0</v>
      </c>
      <c r="J88" s="265">
        <v>53</v>
      </c>
      <c r="K88" s="265">
        <v>0</v>
      </c>
      <c r="L88" s="239">
        <f t="shared" si="23"/>
        <v>405</v>
      </c>
      <c r="M88" s="265">
        <v>1473</v>
      </c>
      <c r="N88" s="265">
        <v>787</v>
      </c>
      <c r="O88" s="265">
        <v>708</v>
      </c>
      <c r="P88" s="265">
        <v>40</v>
      </c>
      <c r="Q88" s="265">
        <v>60</v>
      </c>
      <c r="R88" s="265">
        <v>8</v>
      </c>
      <c r="S88" s="265">
        <v>0</v>
      </c>
      <c r="T88" s="265">
        <v>0</v>
      </c>
      <c r="U88" s="265">
        <v>0</v>
      </c>
      <c r="V88" s="354">
        <f t="shared" si="20"/>
        <v>3076</v>
      </c>
      <c r="W88" s="326">
        <v>846</v>
      </c>
      <c r="X88" s="265"/>
      <c r="Y88" s="235"/>
      <c r="Z88" s="247">
        <f t="shared" si="21"/>
        <v>4327</v>
      </c>
      <c r="AA88" s="215">
        <f t="shared" si="22"/>
        <v>2587</v>
      </c>
    </row>
    <row r="89" spans="1:28" s="109" customFormat="1" ht="14.4" thickBot="1" x14ac:dyDescent="0.3">
      <c r="A89" s="134"/>
      <c r="B89" s="159" t="s">
        <v>461</v>
      </c>
      <c r="C89" s="258">
        <f t="shared" ref="C89:AA89" si="24">SUM(C73:C88)</f>
        <v>27746</v>
      </c>
      <c r="D89" s="157">
        <f t="shared" si="24"/>
        <v>11948</v>
      </c>
      <c r="E89" s="157">
        <f t="shared" si="24"/>
        <v>8952</v>
      </c>
      <c r="F89" s="157">
        <f t="shared" si="24"/>
        <v>855</v>
      </c>
      <c r="G89" s="157">
        <f t="shared" si="24"/>
        <v>654</v>
      </c>
      <c r="H89" s="157">
        <f t="shared" si="24"/>
        <v>47</v>
      </c>
      <c r="I89" s="157">
        <f t="shared" si="24"/>
        <v>1771</v>
      </c>
      <c r="J89" s="157">
        <f t="shared" si="24"/>
        <v>4504</v>
      </c>
      <c r="K89" s="259">
        <f t="shared" si="24"/>
        <v>0</v>
      </c>
      <c r="L89" s="263">
        <f t="shared" si="24"/>
        <v>56477</v>
      </c>
      <c r="M89" s="262">
        <f t="shared" si="24"/>
        <v>15466</v>
      </c>
      <c r="N89" s="158">
        <f t="shared" si="24"/>
        <v>19470</v>
      </c>
      <c r="O89" s="158">
        <f t="shared" si="24"/>
        <v>10576</v>
      </c>
      <c r="P89" s="158">
        <f t="shared" si="24"/>
        <v>790</v>
      </c>
      <c r="Q89" s="158">
        <f t="shared" si="24"/>
        <v>630</v>
      </c>
      <c r="R89" s="158">
        <f t="shared" si="24"/>
        <v>315</v>
      </c>
      <c r="S89" s="158">
        <f t="shared" si="24"/>
        <v>74</v>
      </c>
      <c r="T89" s="264">
        <f t="shared" si="24"/>
        <v>670</v>
      </c>
      <c r="U89" s="263">
        <f t="shared" si="24"/>
        <v>3</v>
      </c>
      <c r="V89" s="263">
        <f>SUM(V73:V88)</f>
        <v>47994</v>
      </c>
      <c r="W89" s="405">
        <f t="shared" si="24"/>
        <v>10555</v>
      </c>
      <c r="X89" s="275">
        <f t="shared" si="24"/>
        <v>0</v>
      </c>
      <c r="Y89" s="276">
        <f>SUM(Y73:Y88)</f>
        <v>0</v>
      </c>
      <c r="Z89" s="261">
        <f t="shared" si="24"/>
        <v>115026</v>
      </c>
      <c r="AA89" s="210">
        <f t="shared" si="24"/>
        <v>76278</v>
      </c>
    </row>
    <row r="90" spans="1:28" x14ac:dyDescent="0.25">
      <c r="A90" s="136" t="s">
        <v>67</v>
      </c>
      <c r="B90" s="137" t="s">
        <v>346</v>
      </c>
      <c r="C90" s="280">
        <v>135</v>
      </c>
      <c r="D90" s="280">
        <v>104</v>
      </c>
      <c r="E90" s="280">
        <v>39</v>
      </c>
      <c r="F90" s="280">
        <v>3</v>
      </c>
      <c r="G90" s="280">
        <v>6</v>
      </c>
      <c r="H90" s="280">
        <v>0</v>
      </c>
      <c r="I90" s="280">
        <v>0</v>
      </c>
      <c r="J90" s="280">
        <v>135</v>
      </c>
      <c r="K90" s="280">
        <v>0</v>
      </c>
      <c r="L90" s="234">
        <f t="shared" ref="L90:L105" si="25">SUM(C90:K90)</f>
        <v>422</v>
      </c>
      <c r="M90" s="280">
        <v>450</v>
      </c>
      <c r="N90" s="280">
        <v>560</v>
      </c>
      <c r="O90" s="280">
        <v>274</v>
      </c>
      <c r="P90" s="280">
        <v>14</v>
      </c>
      <c r="Q90" s="280">
        <v>32</v>
      </c>
      <c r="R90" s="280">
        <v>0</v>
      </c>
      <c r="S90" s="280">
        <v>0</v>
      </c>
      <c r="T90" s="280">
        <v>10</v>
      </c>
      <c r="U90" s="280"/>
      <c r="V90" s="354">
        <f t="shared" ref="V90:V105" si="26">SUM(M90:U90)</f>
        <v>1340</v>
      </c>
      <c r="W90" s="240">
        <v>96</v>
      </c>
      <c r="X90" s="237"/>
      <c r="Y90" s="237"/>
      <c r="Z90" s="247">
        <f t="shared" ref="Z90:Z105" si="27">L90+V90+W90+X90+Y90</f>
        <v>1858</v>
      </c>
      <c r="AA90" s="215">
        <f t="shared" ref="AA90:AA105" si="28">C90+D90+F90+K90+M90+N90+P90+U90</f>
        <v>1266</v>
      </c>
    </row>
    <row r="91" spans="1:28" x14ac:dyDescent="0.25">
      <c r="A91" s="136" t="s">
        <v>76</v>
      </c>
      <c r="B91" s="137" t="s">
        <v>290</v>
      </c>
      <c r="C91" s="230">
        <v>255</v>
      </c>
      <c r="D91" s="230">
        <v>189</v>
      </c>
      <c r="E91" s="230">
        <v>151</v>
      </c>
      <c r="F91" s="230">
        <v>10</v>
      </c>
      <c r="G91" s="230">
        <v>18</v>
      </c>
      <c r="H91" s="230">
        <v>3</v>
      </c>
      <c r="I91" s="230">
        <v>0</v>
      </c>
      <c r="J91" s="230">
        <v>69</v>
      </c>
      <c r="K91" s="230">
        <v>0</v>
      </c>
      <c r="L91" s="232">
        <f t="shared" si="25"/>
        <v>695</v>
      </c>
      <c r="M91" s="230">
        <v>251</v>
      </c>
      <c r="N91" s="230">
        <v>355</v>
      </c>
      <c r="O91" s="230">
        <v>233</v>
      </c>
      <c r="P91" s="230">
        <v>33</v>
      </c>
      <c r="Q91" s="230">
        <v>25</v>
      </c>
      <c r="R91" s="230">
        <v>52</v>
      </c>
      <c r="S91" s="230">
        <v>0</v>
      </c>
      <c r="T91" s="230">
        <v>62</v>
      </c>
      <c r="U91" s="230"/>
      <c r="V91" s="321">
        <f t="shared" si="26"/>
        <v>1011</v>
      </c>
      <c r="W91" s="245">
        <v>2427</v>
      </c>
      <c r="X91" s="233"/>
      <c r="Y91" s="233"/>
      <c r="Z91" s="247">
        <f t="shared" si="27"/>
        <v>4133</v>
      </c>
      <c r="AA91" s="215">
        <f t="shared" si="28"/>
        <v>1093</v>
      </c>
      <c r="AB91" s="142">
        <f>L91+V91</f>
        <v>1706</v>
      </c>
    </row>
    <row r="92" spans="1:28" x14ac:dyDescent="0.25">
      <c r="A92" s="136" t="s">
        <v>79</v>
      </c>
      <c r="B92" s="137" t="s">
        <v>347</v>
      </c>
      <c r="C92" s="230">
        <v>1332</v>
      </c>
      <c r="D92" s="230">
        <v>515</v>
      </c>
      <c r="E92" s="230">
        <v>346</v>
      </c>
      <c r="F92" s="230">
        <v>78</v>
      </c>
      <c r="G92" s="230">
        <v>26</v>
      </c>
      <c r="H92" s="230">
        <v>0</v>
      </c>
      <c r="I92" s="230">
        <v>13</v>
      </c>
      <c r="J92" s="230">
        <v>426</v>
      </c>
      <c r="K92" s="230">
        <v>0</v>
      </c>
      <c r="L92" s="232">
        <f t="shared" si="25"/>
        <v>2736</v>
      </c>
      <c r="M92" s="230">
        <v>937</v>
      </c>
      <c r="N92" s="230">
        <v>779</v>
      </c>
      <c r="O92" s="230">
        <v>408</v>
      </c>
      <c r="P92" s="230">
        <v>41</v>
      </c>
      <c r="Q92" s="230">
        <v>36</v>
      </c>
      <c r="R92" s="230">
        <v>34</v>
      </c>
      <c r="S92" s="230">
        <v>0</v>
      </c>
      <c r="T92" s="230">
        <v>0</v>
      </c>
      <c r="U92" s="230"/>
      <c r="V92" s="321">
        <f t="shared" si="26"/>
        <v>2235</v>
      </c>
      <c r="W92" s="245">
        <v>88</v>
      </c>
      <c r="X92" s="233"/>
      <c r="Y92" s="233"/>
      <c r="Z92" s="247">
        <f t="shared" si="27"/>
        <v>5059</v>
      </c>
      <c r="AA92" s="215">
        <f t="shared" si="28"/>
        <v>3682</v>
      </c>
    </row>
    <row r="93" spans="1:28" x14ac:dyDescent="0.25">
      <c r="A93" s="136" t="s">
        <v>83</v>
      </c>
      <c r="B93" s="137" t="s">
        <v>291</v>
      </c>
      <c r="C93" s="230">
        <v>3484</v>
      </c>
      <c r="D93" s="230">
        <v>3672</v>
      </c>
      <c r="E93" s="230">
        <v>1157</v>
      </c>
      <c r="F93" s="230">
        <v>86</v>
      </c>
      <c r="G93" s="230">
        <v>162</v>
      </c>
      <c r="H93" s="230">
        <v>0</v>
      </c>
      <c r="I93" s="230">
        <v>0</v>
      </c>
      <c r="J93" s="230">
        <v>428</v>
      </c>
      <c r="K93" s="230">
        <v>0</v>
      </c>
      <c r="L93" s="232">
        <f t="shared" si="25"/>
        <v>8989</v>
      </c>
      <c r="M93" s="230">
        <v>2117</v>
      </c>
      <c r="N93" s="230">
        <v>2742</v>
      </c>
      <c r="O93" s="230">
        <v>1397</v>
      </c>
      <c r="P93" s="230">
        <v>25</v>
      </c>
      <c r="Q93" s="230">
        <v>92</v>
      </c>
      <c r="R93" s="230">
        <v>12</v>
      </c>
      <c r="S93" s="230">
        <v>0</v>
      </c>
      <c r="T93" s="230">
        <v>2</v>
      </c>
      <c r="U93" s="230"/>
      <c r="V93" s="321">
        <f t="shared" si="26"/>
        <v>6387</v>
      </c>
      <c r="W93" s="270"/>
      <c r="X93" s="233"/>
      <c r="Y93" s="233"/>
      <c r="Z93" s="247">
        <f t="shared" si="27"/>
        <v>15376</v>
      </c>
      <c r="AA93" s="215">
        <f t="shared" si="28"/>
        <v>12126</v>
      </c>
    </row>
    <row r="94" spans="1:28" x14ac:dyDescent="0.25">
      <c r="A94" s="136" t="s">
        <v>89</v>
      </c>
      <c r="B94" s="137" t="s">
        <v>348</v>
      </c>
      <c r="C94" s="230">
        <v>132</v>
      </c>
      <c r="D94" s="230">
        <v>207</v>
      </c>
      <c r="E94" s="230">
        <v>70</v>
      </c>
      <c r="F94" s="230">
        <v>5</v>
      </c>
      <c r="G94" s="230">
        <v>5</v>
      </c>
      <c r="H94" s="230">
        <v>0</v>
      </c>
      <c r="I94" s="230">
        <v>0</v>
      </c>
      <c r="J94" s="230">
        <v>68</v>
      </c>
      <c r="K94" s="230">
        <v>0</v>
      </c>
      <c r="L94" s="232">
        <f t="shared" si="25"/>
        <v>487</v>
      </c>
      <c r="M94" s="230">
        <v>492</v>
      </c>
      <c r="N94" s="230">
        <v>634</v>
      </c>
      <c r="O94" s="230">
        <v>408</v>
      </c>
      <c r="P94" s="230">
        <v>34</v>
      </c>
      <c r="Q94" s="230">
        <v>17</v>
      </c>
      <c r="R94" s="230">
        <v>22</v>
      </c>
      <c r="S94" s="230">
        <v>0</v>
      </c>
      <c r="T94" s="230">
        <v>0</v>
      </c>
      <c r="U94" s="230"/>
      <c r="V94" s="321">
        <f t="shared" si="26"/>
        <v>1607</v>
      </c>
      <c r="W94" s="245">
        <v>444</v>
      </c>
      <c r="X94" s="233"/>
      <c r="Y94" s="233"/>
      <c r="Z94" s="247">
        <f t="shared" si="27"/>
        <v>2538</v>
      </c>
      <c r="AA94" s="215">
        <f t="shared" si="28"/>
        <v>1504</v>
      </c>
    </row>
    <row r="95" spans="1:28" x14ac:dyDescent="0.25">
      <c r="A95" s="136" t="s">
        <v>90</v>
      </c>
      <c r="B95" s="137" t="s">
        <v>349</v>
      </c>
      <c r="C95" s="230">
        <v>320</v>
      </c>
      <c r="D95" s="230">
        <v>321</v>
      </c>
      <c r="E95" s="230">
        <v>127</v>
      </c>
      <c r="F95" s="230">
        <v>38</v>
      </c>
      <c r="G95" s="230">
        <v>5</v>
      </c>
      <c r="H95" s="230">
        <v>0</v>
      </c>
      <c r="I95" s="230">
        <v>0</v>
      </c>
      <c r="J95" s="230">
        <v>156</v>
      </c>
      <c r="K95" s="230">
        <v>0</v>
      </c>
      <c r="L95" s="232">
        <f t="shared" si="25"/>
        <v>967</v>
      </c>
      <c r="M95" s="230">
        <v>1451</v>
      </c>
      <c r="N95" s="230">
        <v>1610</v>
      </c>
      <c r="O95" s="230">
        <v>1106</v>
      </c>
      <c r="P95" s="230">
        <v>48</v>
      </c>
      <c r="Q95" s="230">
        <v>29</v>
      </c>
      <c r="R95" s="230">
        <v>0</v>
      </c>
      <c r="S95" s="230">
        <v>0</v>
      </c>
      <c r="T95" s="230">
        <v>2</v>
      </c>
      <c r="U95" s="230"/>
      <c r="V95" s="321">
        <f t="shared" si="26"/>
        <v>4246</v>
      </c>
      <c r="W95" s="245">
        <v>746</v>
      </c>
      <c r="X95" s="233"/>
      <c r="Y95" s="233"/>
      <c r="Z95" s="247">
        <f t="shared" si="27"/>
        <v>5959</v>
      </c>
      <c r="AA95" s="215">
        <f t="shared" si="28"/>
        <v>3788</v>
      </c>
    </row>
    <row r="96" spans="1:28" x14ac:dyDescent="0.25">
      <c r="A96" s="136" t="s">
        <v>93</v>
      </c>
      <c r="B96" s="137" t="s">
        <v>359</v>
      </c>
      <c r="C96" s="230">
        <v>1042</v>
      </c>
      <c r="D96" s="230">
        <v>814</v>
      </c>
      <c r="E96" s="230">
        <v>576</v>
      </c>
      <c r="F96" s="230">
        <v>99</v>
      </c>
      <c r="G96" s="230">
        <v>19</v>
      </c>
      <c r="H96" s="230">
        <v>0</v>
      </c>
      <c r="I96" s="230">
        <v>5</v>
      </c>
      <c r="J96" s="230">
        <v>324</v>
      </c>
      <c r="K96" s="230">
        <v>0</v>
      </c>
      <c r="L96" s="232">
        <f t="shared" si="25"/>
        <v>2879</v>
      </c>
      <c r="M96" s="230">
        <v>656</v>
      </c>
      <c r="N96" s="230">
        <v>1113</v>
      </c>
      <c r="O96" s="230">
        <v>510</v>
      </c>
      <c r="P96" s="230">
        <v>68</v>
      </c>
      <c r="Q96" s="230">
        <v>24</v>
      </c>
      <c r="R96" s="230">
        <v>0</v>
      </c>
      <c r="S96" s="230">
        <v>0</v>
      </c>
      <c r="T96" s="230">
        <v>0</v>
      </c>
      <c r="U96" s="230"/>
      <c r="V96" s="321">
        <f t="shared" si="26"/>
        <v>2371</v>
      </c>
      <c r="W96" s="245">
        <v>445</v>
      </c>
      <c r="X96" s="233"/>
      <c r="Y96" s="233"/>
      <c r="Z96" s="247">
        <f t="shared" si="27"/>
        <v>5695</v>
      </c>
      <c r="AA96" s="215">
        <f t="shared" si="28"/>
        <v>3792</v>
      </c>
    </row>
    <row r="97" spans="1:27" x14ac:dyDescent="0.25">
      <c r="A97" s="136" t="s">
        <v>97</v>
      </c>
      <c r="B97" s="137" t="s">
        <v>294</v>
      </c>
      <c r="C97" s="230">
        <v>1369</v>
      </c>
      <c r="D97" s="230">
        <v>800</v>
      </c>
      <c r="E97" s="230">
        <v>407</v>
      </c>
      <c r="F97" s="230">
        <v>27</v>
      </c>
      <c r="G97" s="230">
        <v>39</v>
      </c>
      <c r="H97" s="230">
        <v>42</v>
      </c>
      <c r="I97" s="230">
        <v>0</v>
      </c>
      <c r="J97" s="230">
        <v>496</v>
      </c>
      <c r="K97" s="230">
        <v>2</v>
      </c>
      <c r="L97" s="232">
        <f t="shared" si="25"/>
        <v>3182</v>
      </c>
      <c r="M97" s="230">
        <v>2468</v>
      </c>
      <c r="N97" s="230">
        <v>2497</v>
      </c>
      <c r="O97" s="230">
        <v>1381</v>
      </c>
      <c r="P97" s="230">
        <v>38</v>
      </c>
      <c r="Q97" s="230">
        <v>58</v>
      </c>
      <c r="R97" s="230">
        <v>4</v>
      </c>
      <c r="S97" s="230">
        <v>30</v>
      </c>
      <c r="T97" s="230">
        <v>2</v>
      </c>
      <c r="U97" s="230"/>
      <c r="V97" s="321">
        <f t="shared" si="26"/>
        <v>6478</v>
      </c>
      <c r="W97" s="245">
        <v>659</v>
      </c>
      <c r="X97" s="233">
        <v>845</v>
      </c>
      <c r="Y97" s="233"/>
      <c r="Z97" s="247">
        <f t="shared" si="27"/>
        <v>11164</v>
      </c>
      <c r="AA97" s="215">
        <f t="shared" si="28"/>
        <v>7201</v>
      </c>
    </row>
    <row r="98" spans="1:27" x14ac:dyDescent="0.25">
      <c r="A98" s="136" t="s">
        <v>125</v>
      </c>
      <c r="B98" s="137" t="s">
        <v>350</v>
      </c>
      <c r="C98" s="230">
        <v>787</v>
      </c>
      <c r="D98" s="230">
        <v>412</v>
      </c>
      <c r="E98" s="230">
        <v>206</v>
      </c>
      <c r="F98" s="230">
        <v>81</v>
      </c>
      <c r="G98" s="230">
        <v>27</v>
      </c>
      <c r="H98" s="230">
        <v>0</v>
      </c>
      <c r="I98" s="230">
        <v>135</v>
      </c>
      <c r="J98" s="230">
        <v>208</v>
      </c>
      <c r="K98" s="230">
        <v>0</v>
      </c>
      <c r="L98" s="232">
        <f t="shared" si="25"/>
        <v>1856</v>
      </c>
      <c r="M98" s="230">
        <v>1392</v>
      </c>
      <c r="N98" s="230">
        <v>1107</v>
      </c>
      <c r="O98" s="230">
        <v>985</v>
      </c>
      <c r="P98" s="230">
        <v>27</v>
      </c>
      <c r="Q98" s="230">
        <v>16</v>
      </c>
      <c r="R98" s="230">
        <v>0</v>
      </c>
      <c r="S98" s="230">
        <v>0</v>
      </c>
      <c r="T98" s="230">
        <v>6</v>
      </c>
      <c r="U98" s="230"/>
      <c r="V98" s="321">
        <f t="shared" si="26"/>
        <v>3533</v>
      </c>
      <c r="W98" s="245">
        <v>622</v>
      </c>
      <c r="X98" s="233"/>
      <c r="Y98" s="233"/>
      <c r="Z98" s="247">
        <f t="shared" si="27"/>
        <v>6011</v>
      </c>
      <c r="AA98" s="215">
        <f t="shared" si="28"/>
        <v>3806</v>
      </c>
    </row>
    <row r="99" spans="1:27" x14ac:dyDescent="0.25">
      <c r="A99" s="136" t="s">
        <v>135</v>
      </c>
      <c r="B99" s="137" t="s">
        <v>351</v>
      </c>
      <c r="C99" s="230">
        <v>490</v>
      </c>
      <c r="D99" s="230">
        <v>576</v>
      </c>
      <c r="E99" s="230">
        <v>166</v>
      </c>
      <c r="F99" s="230">
        <v>31</v>
      </c>
      <c r="G99" s="230">
        <v>12</v>
      </c>
      <c r="H99" s="230">
        <v>0</v>
      </c>
      <c r="I99" s="230">
        <v>0</v>
      </c>
      <c r="J99" s="230">
        <v>83</v>
      </c>
      <c r="K99" s="230">
        <v>0</v>
      </c>
      <c r="L99" s="232">
        <f t="shared" si="25"/>
        <v>1358</v>
      </c>
      <c r="M99" s="230">
        <v>869</v>
      </c>
      <c r="N99" s="230">
        <v>1466</v>
      </c>
      <c r="O99" s="230">
        <v>581</v>
      </c>
      <c r="P99" s="230">
        <v>60</v>
      </c>
      <c r="Q99" s="230">
        <v>34</v>
      </c>
      <c r="R99" s="230">
        <v>16</v>
      </c>
      <c r="S99" s="230">
        <v>0</v>
      </c>
      <c r="T99" s="230">
        <v>0</v>
      </c>
      <c r="U99" s="230"/>
      <c r="V99" s="321">
        <f t="shared" si="26"/>
        <v>3026</v>
      </c>
      <c r="W99" s="245">
        <v>870</v>
      </c>
      <c r="X99" s="233"/>
      <c r="Y99" s="233"/>
      <c r="Z99" s="247">
        <f t="shared" si="27"/>
        <v>5254</v>
      </c>
      <c r="AA99" s="215">
        <f t="shared" si="28"/>
        <v>3492</v>
      </c>
    </row>
    <row r="100" spans="1:27" x14ac:dyDescent="0.25">
      <c r="A100" s="136" t="s">
        <v>144</v>
      </c>
      <c r="B100" s="137" t="s">
        <v>352</v>
      </c>
      <c r="C100" s="230">
        <v>1249</v>
      </c>
      <c r="D100" s="230">
        <v>298</v>
      </c>
      <c r="E100" s="230">
        <v>261</v>
      </c>
      <c r="F100" s="230">
        <v>57</v>
      </c>
      <c r="G100" s="230">
        <v>47</v>
      </c>
      <c r="H100" s="230">
        <v>0</v>
      </c>
      <c r="I100" s="230">
        <v>0</v>
      </c>
      <c r="J100" s="230">
        <v>245</v>
      </c>
      <c r="K100" s="230">
        <v>0</v>
      </c>
      <c r="L100" s="232">
        <f t="shared" si="25"/>
        <v>2157</v>
      </c>
      <c r="M100" s="230">
        <v>1001</v>
      </c>
      <c r="N100" s="230">
        <v>918</v>
      </c>
      <c r="O100" s="230">
        <v>527</v>
      </c>
      <c r="P100" s="230">
        <v>84</v>
      </c>
      <c r="Q100" s="230">
        <v>51</v>
      </c>
      <c r="R100" s="230">
        <v>8</v>
      </c>
      <c r="S100" s="230">
        <v>0</v>
      </c>
      <c r="T100" s="230">
        <v>172</v>
      </c>
      <c r="U100" s="230"/>
      <c r="V100" s="321">
        <f t="shared" si="26"/>
        <v>2761</v>
      </c>
      <c r="W100" s="245">
        <v>170</v>
      </c>
      <c r="X100" s="233"/>
      <c r="Y100" s="233"/>
      <c r="Z100" s="247">
        <f t="shared" si="27"/>
        <v>5088</v>
      </c>
      <c r="AA100" s="215">
        <f t="shared" si="28"/>
        <v>3607</v>
      </c>
    </row>
    <row r="101" spans="1:27" x14ac:dyDescent="0.25">
      <c r="A101" s="136" t="s">
        <v>176</v>
      </c>
      <c r="B101" s="137" t="s">
        <v>354</v>
      </c>
      <c r="C101" s="230">
        <v>817</v>
      </c>
      <c r="D101" s="230">
        <v>835</v>
      </c>
      <c r="E101" s="230">
        <v>334</v>
      </c>
      <c r="F101" s="230">
        <v>47</v>
      </c>
      <c r="G101" s="230">
        <v>29</v>
      </c>
      <c r="H101" s="230">
        <v>0</v>
      </c>
      <c r="I101" s="230">
        <v>0</v>
      </c>
      <c r="J101" s="230">
        <v>278</v>
      </c>
      <c r="K101" s="230">
        <v>0</v>
      </c>
      <c r="L101" s="232">
        <f t="shared" si="25"/>
        <v>2340</v>
      </c>
      <c r="M101" s="230">
        <v>723</v>
      </c>
      <c r="N101" s="230">
        <v>1289</v>
      </c>
      <c r="O101" s="230">
        <v>603</v>
      </c>
      <c r="P101" s="230">
        <v>22</v>
      </c>
      <c r="Q101" s="230">
        <v>21</v>
      </c>
      <c r="R101" s="230">
        <v>32</v>
      </c>
      <c r="S101" s="230">
        <v>0</v>
      </c>
      <c r="T101" s="230">
        <v>0</v>
      </c>
      <c r="U101" s="230"/>
      <c r="V101" s="321">
        <f t="shared" si="26"/>
        <v>2690</v>
      </c>
      <c r="W101" s="245">
        <v>181</v>
      </c>
      <c r="X101" s="233"/>
      <c r="Y101" s="233"/>
      <c r="Z101" s="247">
        <f t="shared" si="27"/>
        <v>5211</v>
      </c>
      <c r="AA101" s="215">
        <f t="shared" si="28"/>
        <v>3733</v>
      </c>
    </row>
    <row r="102" spans="1:27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25"/>
        <v>0</v>
      </c>
      <c r="M102" s="147"/>
      <c r="N102" s="147"/>
      <c r="O102" s="147"/>
      <c r="P102" s="147"/>
      <c r="Q102" s="147"/>
      <c r="R102" s="147"/>
      <c r="S102" s="147"/>
      <c r="T102" s="147"/>
      <c r="U102" s="147"/>
      <c r="V102" s="321">
        <f t="shared" si="26"/>
        <v>0</v>
      </c>
      <c r="W102" s="245">
        <f>0+857+1830+1655+29733+8283+1209+522+1199</f>
        <v>45288</v>
      </c>
      <c r="X102" s="233"/>
      <c r="Y102" s="233"/>
      <c r="Z102" s="247">
        <f t="shared" si="27"/>
        <v>45288</v>
      </c>
      <c r="AA102" s="215">
        <f t="shared" si="28"/>
        <v>0</v>
      </c>
    </row>
    <row r="103" spans="1:27" x14ac:dyDescent="0.25">
      <c r="A103" s="136" t="s">
        <v>177</v>
      </c>
      <c r="B103" s="137" t="s">
        <v>302</v>
      </c>
      <c r="C103" s="230">
        <v>2279</v>
      </c>
      <c r="D103" s="230">
        <v>3291</v>
      </c>
      <c r="E103" s="230">
        <v>1028</v>
      </c>
      <c r="F103" s="230">
        <v>79</v>
      </c>
      <c r="G103" s="230">
        <v>120</v>
      </c>
      <c r="H103" s="230">
        <v>0</v>
      </c>
      <c r="I103" s="230">
        <v>233</v>
      </c>
      <c r="J103" s="230">
        <v>661</v>
      </c>
      <c r="K103" s="230">
        <v>0</v>
      </c>
      <c r="L103" s="232">
        <f t="shared" si="25"/>
        <v>7691</v>
      </c>
      <c r="M103" s="230">
        <v>1854</v>
      </c>
      <c r="N103" s="230">
        <v>2954</v>
      </c>
      <c r="O103" s="230">
        <v>1497</v>
      </c>
      <c r="P103" s="230">
        <v>32</v>
      </c>
      <c r="Q103" s="230">
        <v>78</v>
      </c>
      <c r="R103" s="230">
        <v>19</v>
      </c>
      <c r="S103" s="230">
        <v>16</v>
      </c>
      <c r="T103" s="230">
        <v>26</v>
      </c>
      <c r="U103" s="230"/>
      <c r="V103" s="321">
        <f t="shared" si="26"/>
        <v>6476</v>
      </c>
      <c r="W103" s="245">
        <v>533</v>
      </c>
      <c r="X103" s="233"/>
      <c r="Y103" s="233"/>
      <c r="Z103" s="247">
        <f t="shared" si="27"/>
        <v>14700</v>
      </c>
      <c r="AA103" s="215">
        <f t="shared" si="28"/>
        <v>10489</v>
      </c>
    </row>
    <row r="104" spans="1:27" x14ac:dyDescent="0.25">
      <c r="A104" s="136" t="s">
        <v>178</v>
      </c>
      <c r="B104" s="137" t="s">
        <v>304</v>
      </c>
      <c r="C104" s="230">
        <v>993</v>
      </c>
      <c r="D104" s="230">
        <v>1068</v>
      </c>
      <c r="E104" s="230">
        <v>317</v>
      </c>
      <c r="F104" s="230">
        <v>100</v>
      </c>
      <c r="G104" s="230">
        <v>21</v>
      </c>
      <c r="H104" s="230">
        <v>0</v>
      </c>
      <c r="I104" s="230">
        <v>0</v>
      </c>
      <c r="J104" s="230">
        <v>321</v>
      </c>
      <c r="K104" s="230">
        <v>2</v>
      </c>
      <c r="L104" s="232">
        <f t="shared" si="25"/>
        <v>2822</v>
      </c>
      <c r="M104" s="230">
        <v>1177</v>
      </c>
      <c r="N104" s="230">
        <v>2226</v>
      </c>
      <c r="O104" s="230">
        <v>1185</v>
      </c>
      <c r="P104" s="230">
        <v>14</v>
      </c>
      <c r="Q104" s="230">
        <v>32</v>
      </c>
      <c r="R104" s="230">
        <v>76</v>
      </c>
      <c r="S104" s="230">
        <v>0</v>
      </c>
      <c r="T104" s="230">
        <v>6</v>
      </c>
      <c r="U104" s="230"/>
      <c r="V104" s="321">
        <f t="shared" si="26"/>
        <v>4716</v>
      </c>
      <c r="W104" s="326">
        <v>679</v>
      </c>
      <c r="X104" s="235"/>
      <c r="Y104" s="235"/>
      <c r="Z104" s="247">
        <f t="shared" si="27"/>
        <v>8217</v>
      </c>
      <c r="AA104" s="217">
        <f t="shared" si="28"/>
        <v>5580</v>
      </c>
    </row>
    <row r="105" spans="1:27" ht="13.8" thickBot="1" x14ac:dyDescent="0.3">
      <c r="A105" s="136" t="s">
        <v>190</v>
      </c>
      <c r="B105" s="143" t="s">
        <v>364</v>
      </c>
      <c r="C105" s="265">
        <v>2225</v>
      </c>
      <c r="D105" s="265">
        <v>1580</v>
      </c>
      <c r="E105" s="265">
        <v>829</v>
      </c>
      <c r="F105" s="265">
        <v>111</v>
      </c>
      <c r="G105" s="265">
        <v>62</v>
      </c>
      <c r="H105" s="265">
        <v>76</v>
      </c>
      <c r="I105" s="265">
        <v>18</v>
      </c>
      <c r="J105" s="265">
        <v>736</v>
      </c>
      <c r="K105" s="265">
        <v>0</v>
      </c>
      <c r="L105" s="239">
        <f t="shared" si="25"/>
        <v>5637</v>
      </c>
      <c r="M105" s="265">
        <v>1759</v>
      </c>
      <c r="N105" s="265">
        <v>2784</v>
      </c>
      <c r="O105" s="265">
        <v>1332</v>
      </c>
      <c r="P105" s="265">
        <v>112</v>
      </c>
      <c r="Q105" s="265">
        <v>149</v>
      </c>
      <c r="R105" s="265">
        <v>0</v>
      </c>
      <c r="S105" s="265">
        <v>0</v>
      </c>
      <c r="T105" s="265">
        <v>0</v>
      </c>
      <c r="U105" s="265"/>
      <c r="V105" s="321">
        <f t="shared" si="26"/>
        <v>6136</v>
      </c>
      <c r="W105" s="326">
        <v>1043</v>
      </c>
      <c r="X105" s="209"/>
      <c r="Y105" s="209"/>
      <c r="Z105" s="247">
        <f t="shared" si="27"/>
        <v>12816</v>
      </c>
      <c r="AA105" s="217">
        <f t="shared" si="28"/>
        <v>8571</v>
      </c>
    </row>
    <row r="106" spans="1:27" s="109" customFormat="1" ht="14.4" thickBot="1" x14ac:dyDescent="0.3">
      <c r="A106" s="134"/>
      <c r="B106" s="159" t="s">
        <v>462</v>
      </c>
      <c r="C106" s="293">
        <f t="shared" ref="C106:AA106" si="29">SUM(C90:C105)</f>
        <v>16909</v>
      </c>
      <c r="D106" s="157">
        <f t="shared" si="29"/>
        <v>14682</v>
      </c>
      <c r="E106" s="157">
        <f t="shared" si="29"/>
        <v>6014</v>
      </c>
      <c r="F106" s="157">
        <f t="shared" si="29"/>
        <v>852</v>
      </c>
      <c r="G106" s="157">
        <f t="shared" si="29"/>
        <v>598</v>
      </c>
      <c r="H106" s="157">
        <f t="shared" si="29"/>
        <v>121</v>
      </c>
      <c r="I106" s="157">
        <f t="shared" si="29"/>
        <v>404</v>
      </c>
      <c r="J106" s="157">
        <f t="shared" si="29"/>
        <v>4634</v>
      </c>
      <c r="K106" s="259">
        <f t="shared" si="29"/>
        <v>4</v>
      </c>
      <c r="L106" s="260">
        <f t="shared" si="29"/>
        <v>44218</v>
      </c>
      <c r="M106" s="262">
        <f t="shared" si="29"/>
        <v>17597</v>
      </c>
      <c r="N106" s="158">
        <f t="shared" si="29"/>
        <v>23034</v>
      </c>
      <c r="O106" s="158">
        <f t="shared" si="29"/>
        <v>12427</v>
      </c>
      <c r="P106" s="158">
        <f t="shared" si="29"/>
        <v>652</v>
      </c>
      <c r="Q106" s="158">
        <f t="shared" si="29"/>
        <v>694</v>
      </c>
      <c r="R106" s="158">
        <f t="shared" si="29"/>
        <v>275</v>
      </c>
      <c r="S106" s="158">
        <f t="shared" si="29"/>
        <v>46</v>
      </c>
      <c r="T106" s="264">
        <f t="shared" si="29"/>
        <v>288</v>
      </c>
      <c r="U106" s="401">
        <f t="shared" si="29"/>
        <v>0</v>
      </c>
      <c r="V106" s="465">
        <f t="shared" si="29"/>
        <v>55013</v>
      </c>
      <c r="W106" s="261">
        <f t="shared" si="29"/>
        <v>54291</v>
      </c>
      <c r="X106" s="210">
        <f>SUM(X90:X105)</f>
        <v>845</v>
      </c>
      <c r="Y106" s="210">
        <f>SUM(Y90:Y105)</f>
        <v>0</v>
      </c>
      <c r="Z106" s="210">
        <f t="shared" si="29"/>
        <v>154367</v>
      </c>
      <c r="AA106" s="210">
        <f t="shared" si="29"/>
        <v>73730</v>
      </c>
    </row>
    <row r="107" spans="1:27" ht="18" thickBot="1" x14ac:dyDescent="0.35">
      <c r="A107" s="135"/>
      <c r="B107" s="169" t="s">
        <v>463</v>
      </c>
      <c r="C107" s="186">
        <f t="shared" ref="C107:AA107" si="30">C106+C89+C72+C55+C37+C23</f>
        <v>136082</v>
      </c>
      <c r="D107" s="162">
        <f t="shared" si="30"/>
        <v>75845</v>
      </c>
      <c r="E107" s="162">
        <f t="shared" si="30"/>
        <v>48091</v>
      </c>
      <c r="F107" s="162">
        <f t="shared" si="30"/>
        <v>5386</v>
      </c>
      <c r="G107" s="162">
        <f t="shared" si="30"/>
        <v>3630</v>
      </c>
      <c r="H107" s="162">
        <f t="shared" si="30"/>
        <v>301</v>
      </c>
      <c r="I107" s="162">
        <f t="shared" si="30"/>
        <v>9359</v>
      </c>
      <c r="J107" s="162">
        <f t="shared" si="30"/>
        <v>49897</v>
      </c>
      <c r="K107" s="163">
        <f t="shared" si="30"/>
        <v>1409</v>
      </c>
      <c r="L107" s="187">
        <f t="shared" si="30"/>
        <v>330000</v>
      </c>
      <c r="M107" s="186">
        <f t="shared" si="30"/>
        <v>71349</v>
      </c>
      <c r="N107" s="162">
        <f t="shared" si="30"/>
        <v>91525</v>
      </c>
      <c r="O107" s="162">
        <f t="shared" si="30"/>
        <v>51527</v>
      </c>
      <c r="P107" s="162">
        <f t="shared" si="30"/>
        <v>3092</v>
      </c>
      <c r="Q107" s="162">
        <f t="shared" si="30"/>
        <v>2963</v>
      </c>
      <c r="R107" s="162">
        <f t="shared" si="30"/>
        <v>2301</v>
      </c>
      <c r="S107" s="162">
        <f t="shared" si="30"/>
        <v>458</v>
      </c>
      <c r="T107" s="162">
        <f t="shared" si="30"/>
        <v>2203</v>
      </c>
      <c r="U107" s="163">
        <f t="shared" si="30"/>
        <v>594</v>
      </c>
      <c r="V107" s="187">
        <f t="shared" si="30"/>
        <v>226012</v>
      </c>
      <c r="W107" s="212">
        <f t="shared" si="30"/>
        <v>135838</v>
      </c>
      <c r="X107" s="212">
        <f t="shared" si="30"/>
        <v>1737</v>
      </c>
      <c r="Y107" s="212">
        <f>+Y89+Y72+Y55+Y37+Y23</f>
        <v>84</v>
      </c>
      <c r="Z107" s="212">
        <f t="shared" si="30"/>
        <v>693671</v>
      </c>
      <c r="AA107" s="212">
        <f t="shared" si="30"/>
        <v>385282</v>
      </c>
    </row>
    <row r="109" spans="1:27" x14ac:dyDescent="0.25">
      <c r="C109" s="122">
        <f>C107</f>
        <v>136082</v>
      </c>
      <c r="D109" s="122">
        <f t="shared" ref="D109:AA109" si="31">D107</f>
        <v>75845</v>
      </c>
      <c r="E109" s="122">
        <f t="shared" si="31"/>
        <v>48091</v>
      </c>
      <c r="F109" s="122">
        <f t="shared" si="31"/>
        <v>5386</v>
      </c>
      <c r="G109" s="122">
        <f t="shared" si="31"/>
        <v>3630</v>
      </c>
      <c r="H109" s="122">
        <f t="shared" si="31"/>
        <v>301</v>
      </c>
      <c r="I109" s="122">
        <f t="shared" si="31"/>
        <v>9359</v>
      </c>
      <c r="J109" s="122">
        <f t="shared" si="31"/>
        <v>49897</v>
      </c>
      <c r="K109" s="122">
        <f t="shared" si="31"/>
        <v>1409</v>
      </c>
      <c r="L109" s="122">
        <f t="shared" si="31"/>
        <v>330000</v>
      </c>
      <c r="M109" s="122">
        <f t="shared" si="31"/>
        <v>71349</v>
      </c>
      <c r="N109" s="122">
        <f t="shared" si="31"/>
        <v>91525</v>
      </c>
      <c r="O109" s="122">
        <f t="shared" si="31"/>
        <v>51527</v>
      </c>
      <c r="P109" s="122">
        <f t="shared" si="31"/>
        <v>3092</v>
      </c>
      <c r="Q109" s="122">
        <f t="shared" si="31"/>
        <v>2963</v>
      </c>
      <c r="R109" s="122">
        <f t="shared" si="31"/>
        <v>2301</v>
      </c>
      <c r="S109" s="122">
        <f t="shared" si="31"/>
        <v>458</v>
      </c>
      <c r="T109" s="122">
        <f t="shared" si="31"/>
        <v>2203</v>
      </c>
      <c r="U109" s="122">
        <f t="shared" si="31"/>
        <v>594</v>
      </c>
      <c r="V109" s="122">
        <f t="shared" si="31"/>
        <v>226012</v>
      </c>
      <c r="W109" s="122">
        <f t="shared" si="31"/>
        <v>135838</v>
      </c>
      <c r="X109" s="122">
        <f t="shared" si="31"/>
        <v>1737</v>
      </c>
      <c r="Y109" s="122">
        <f t="shared" si="31"/>
        <v>84</v>
      </c>
      <c r="Z109" s="122">
        <f t="shared" si="31"/>
        <v>693671</v>
      </c>
      <c r="AA109" s="122">
        <f t="shared" si="31"/>
        <v>385282</v>
      </c>
    </row>
    <row r="111" spans="1:27" x14ac:dyDescent="0.25">
      <c r="S111" s="122"/>
    </row>
  </sheetData>
  <mergeCells count="6">
    <mergeCell ref="B1:B3"/>
    <mergeCell ref="C4:L4"/>
    <mergeCell ref="M4:V4"/>
    <mergeCell ref="C1:Z1"/>
    <mergeCell ref="C2:Z2"/>
    <mergeCell ref="X4:Y4"/>
  </mergeCells>
  <conditionalFormatting sqref="W6:W22 W38:W54 W73:W88 W24:W36 W61:W71">
    <cfRule type="cellIs" dxfId="75" priority="8" stopIfTrue="1" operator="notBetween">
      <formula>-2000</formula>
      <formula>2000</formula>
    </cfRule>
  </conditionalFormatting>
  <conditionalFormatting sqref="V3">
    <cfRule type="cellIs" dxfId="74" priority="11" stopIfTrue="1" operator="greaterThan">
      <formula>10</formula>
    </cfRule>
    <cfRule type="cellIs" dxfId="73" priority="12" stopIfTrue="1" operator="lessThan">
      <formula>10</formula>
    </cfRule>
  </conditionalFormatting>
  <conditionalFormatting sqref="W90:W105">
    <cfRule type="cellIs" dxfId="72" priority="10" stopIfTrue="1" operator="notBetween">
      <formula>-2000</formula>
      <formula>2000</formula>
    </cfRule>
  </conditionalFormatting>
  <conditionalFormatting sqref="W18">
    <cfRule type="cellIs" dxfId="71" priority="9" stopIfTrue="1" operator="notBetween">
      <formula>-2000</formula>
      <formula>2000</formula>
    </cfRule>
  </conditionalFormatting>
  <conditionalFormatting sqref="X24:Y28 X56:Y71 X38:Y54 X6:Y22 X29:X33">
    <cfRule type="cellIs" dxfId="70" priority="5" stopIfTrue="1" operator="notBetween">
      <formula>-2000</formula>
      <formula>2000</formula>
    </cfRule>
  </conditionalFormatting>
  <conditionalFormatting sqref="X90:Y105">
    <cfRule type="cellIs" dxfId="69" priority="7" stopIfTrue="1" operator="notBetween">
      <formula>-2000</formula>
      <formula>2000</formula>
    </cfRule>
  </conditionalFormatting>
  <conditionalFormatting sqref="X18:Y18">
    <cfRule type="cellIs" dxfId="68" priority="6" stopIfTrue="1" operator="notBetween">
      <formula>-2000</formula>
      <formula>2000</formula>
    </cfRule>
  </conditionalFormatting>
  <conditionalFormatting sqref="Y29:Y35">
    <cfRule type="cellIs" dxfId="67" priority="4" stopIfTrue="1" operator="notBetween">
      <formula>-2000</formula>
      <formula>2000</formula>
    </cfRule>
  </conditionalFormatting>
  <conditionalFormatting sqref="Y73:Y88">
    <cfRule type="cellIs" dxfId="66" priority="3" stopIfTrue="1" operator="notBetween">
      <formula>-2000</formula>
      <formula>2000</formula>
    </cfRule>
  </conditionalFormatting>
  <conditionalFormatting sqref="W58">
    <cfRule type="cellIs" dxfId="65" priority="2" stopIfTrue="1" operator="notBetween">
      <formula>-2000</formula>
      <formula>2000</formula>
    </cfRule>
  </conditionalFormatting>
  <conditionalFormatting sqref="W57">
    <cfRule type="cellIs" dxfId="64" priority="1" stopIfTrue="1" operator="notBetween">
      <formula>-2000</formula>
      <formula>2000</formula>
    </cfRule>
  </conditionalFormatting>
  <pageMargins left="0.39" right="0.17" top="0.41" bottom="0.49" header="0.21" footer="0.16"/>
  <pageSetup paperSize="5" scale="44" fitToHeight="4" orientation="landscape" r:id="rId1"/>
  <headerFooter alignWithMargins="0">
    <oddFooter xml:space="preserve">&amp;L&amp;8&amp;Z&amp;F&amp;A&amp;10
</oddFooter>
  </headerFooter>
  <ignoredErrors>
    <ignoredError sqref="L37 L55 L72 L89 V72 L23 Z37:AA37 Z23:AA23 V23 V37 V55 AA89 AA72 Z55:AA55 V8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B118"/>
  <sheetViews>
    <sheetView showZeros="0" zoomScaleNormal="100" zoomScaleSheetLayoutView="50" workbookViewId="0">
      <pane xSplit="2" ySplit="5" topLeftCell="O6" activePane="bottomRight" state="frozen"/>
      <selection activeCell="R34" sqref="R34"/>
      <selection pane="topRight" activeCell="R34" sqref="R34"/>
      <selection pane="bottomLeft" activeCell="R34" sqref="R34"/>
      <selection pane="bottomRight" activeCell="X7" sqref="X7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4.44140625" customWidth="1"/>
    <col min="24" max="24" width="14.6640625" customWidth="1"/>
    <col min="25" max="25" width="14.88671875" customWidth="1"/>
    <col min="26" max="26" width="15.5546875" customWidth="1"/>
    <col min="27" max="27" width="13.109375" customWidth="1"/>
    <col min="28" max="28" width="3.88671875" customWidth="1"/>
  </cols>
  <sheetData>
    <row r="1" spans="1:27" s="111" customFormat="1" ht="22.8" x14ac:dyDescent="0.35">
      <c r="B1" s="544"/>
      <c r="C1" s="546" t="s">
        <v>263</v>
      </c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6"/>
      <c r="S1" s="546"/>
      <c r="T1" s="546"/>
      <c r="U1" s="546"/>
      <c r="V1" s="546"/>
      <c r="W1" s="546"/>
      <c r="X1" s="546"/>
      <c r="Y1" s="546"/>
      <c r="Z1" s="546"/>
    </row>
    <row r="2" spans="1:27" s="111" customFormat="1" ht="22.8" x14ac:dyDescent="0.35">
      <c r="B2" s="544"/>
      <c r="C2" s="550"/>
      <c r="D2" s="550"/>
      <c r="E2" s="550"/>
      <c r="F2" s="550"/>
      <c r="G2" s="550"/>
      <c r="H2" s="550"/>
      <c r="I2" s="550"/>
      <c r="J2" s="550"/>
      <c r="K2" s="550"/>
      <c r="L2" s="550"/>
      <c r="M2" s="550"/>
      <c r="N2" s="550"/>
      <c r="O2" s="550"/>
      <c r="P2" s="550"/>
      <c r="Q2" s="550"/>
      <c r="R2" s="550"/>
      <c r="S2" s="550"/>
      <c r="T2" s="550"/>
      <c r="U2" s="550"/>
      <c r="V2" s="550"/>
      <c r="W2" s="550"/>
      <c r="X2" s="550"/>
      <c r="Y2" s="550"/>
      <c r="Z2" s="550"/>
    </row>
    <row r="3" spans="1:27" s="111" customFormat="1" ht="21" thickBot="1" x14ac:dyDescent="0.4">
      <c r="B3" s="545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7" ht="21" customHeight="1" thickTop="1" thickBot="1" x14ac:dyDescent="0.3">
      <c r="A4" s="145"/>
      <c r="B4" s="167"/>
      <c r="C4" s="547" t="s">
        <v>253</v>
      </c>
      <c r="D4" s="548"/>
      <c r="E4" s="548"/>
      <c r="F4" s="548"/>
      <c r="G4" s="548"/>
      <c r="H4" s="548"/>
      <c r="I4" s="548"/>
      <c r="J4" s="548"/>
      <c r="K4" s="548"/>
      <c r="L4" s="549"/>
      <c r="M4" s="547" t="s">
        <v>262</v>
      </c>
      <c r="N4" s="548"/>
      <c r="O4" s="548"/>
      <c r="P4" s="548"/>
      <c r="Q4" s="548"/>
      <c r="R4" s="548"/>
      <c r="S4" s="548"/>
      <c r="T4" s="548"/>
      <c r="U4" s="548"/>
      <c r="V4" s="549"/>
      <c r="W4" s="202"/>
      <c r="X4" s="553" t="s">
        <v>472</v>
      </c>
      <c r="Y4" s="554"/>
      <c r="Z4" s="202"/>
      <c r="AA4" s="202"/>
    </row>
    <row r="5" spans="1:27" ht="45" customHeight="1" thickBot="1" x14ac:dyDescent="0.3">
      <c r="A5" s="146" t="s">
        <v>360</v>
      </c>
      <c r="B5" s="168" t="s">
        <v>456</v>
      </c>
      <c r="C5" s="395" t="s">
        <v>254</v>
      </c>
      <c r="D5" s="316" t="s">
        <v>219</v>
      </c>
      <c r="E5" s="318" t="s">
        <v>255</v>
      </c>
      <c r="F5" s="318" t="s">
        <v>256</v>
      </c>
      <c r="G5" s="318" t="s">
        <v>257</v>
      </c>
      <c r="H5" s="318" t="s">
        <v>258</v>
      </c>
      <c r="I5" s="318" t="s">
        <v>259</v>
      </c>
      <c r="J5" s="318" t="s">
        <v>260</v>
      </c>
      <c r="K5" s="460" t="s">
        <v>261</v>
      </c>
      <c r="L5" s="467" t="s">
        <v>208</v>
      </c>
      <c r="M5" s="397" t="s">
        <v>254</v>
      </c>
      <c r="N5" s="316" t="s">
        <v>219</v>
      </c>
      <c r="O5" s="317" t="s">
        <v>255</v>
      </c>
      <c r="P5" s="318" t="s">
        <v>256</v>
      </c>
      <c r="Q5" s="318" t="s">
        <v>257</v>
      </c>
      <c r="R5" s="318" t="s">
        <v>258</v>
      </c>
      <c r="S5" s="318" t="s">
        <v>259</v>
      </c>
      <c r="T5" s="318" t="s">
        <v>260</v>
      </c>
      <c r="U5" s="152" t="s">
        <v>261</v>
      </c>
      <c r="V5" s="292" t="s">
        <v>208</v>
      </c>
      <c r="W5" s="410" t="s">
        <v>266</v>
      </c>
      <c r="X5" s="203" t="s">
        <v>473</v>
      </c>
      <c r="Y5" s="203" t="s">
        <v>474</v>
      </c>
      <c r="Z5" s="213" t="s">
        <v>264</v>
      </c>
      <c r="AA5" s="287" t="s">
        <v>267</v>
      </c>
    </row>
    <row r="6" spans="1:27" ht="12.75" customHeight="1" x14ac:dyDescent="0.25">
      <c r="A6" s="136" t="s">
        <v>68</v>
      </c>
      <c r="B6" s="279" t="s">
        <v>268</v>
      </c>
      <c r="C6" s="230">
        <v>271</v>
      </c>
      <c r="D6" s="230">
        <v>275</v>
      </c>
      <c r="E6" s="230">
        <v>92</v>
      </c>
      <c r="F6" s="230">
        <v>5</v>
      </c>
      <c r="G6" s="230">
        <v>8</v>
      </c>
      <c r="H6" s="230">
        <v>0</v>
      </c>
      <c r="I6" s="230">
        <v>0</v>
      </c>
      <c r="J6" s="230">
        <v>210</v>
      </c>
      <c r="K6" s="230">
        <v>0</v>
      </c>
      <c r="L6" s="286">
        <f>SUM(C6:K6)</f>
        <v>861</v>
      </c>
      <c r="M6" s="230">
        <v>0</v>
      </c>
      <c r="N6" s="230">
        <v>0</v>
      </c>
      <c r="O6" s="230">
        <v>0</v>
      </c>
      <c r="P6" s="230">
        <v>0</v>
      </c>
      <c r="Q6" s="230">
        <v>0</v>
      </c>
      <c r="R6" s="230">
        <v>0</v>
      </c>
      <c r="S6" s="230">
        <v>0</v>
      </c>
      <c r="T6" s="230">
        <v>0</v>
      </c>
      <c r="U6" s="374"/>
      <c r="V6" s="280">
        <f>SUM(M6:U6)</f>
        <v>0</v>
      </c>
      <c r="W6" s="240">
        <v>226</v>
      </c>
      <c r="X6" s="211"/>
      <c r="Y6" s="211"/>
      <c r="Z6" s="281">
        <f>L6+V6+W6+X6+Y6</f>
        <v>1087</v>
      </c>
      <c r="AA6" s="218">
        <f t="shared" ref="AA6:AA22" si="0">C6+D6+F6+K6+M6+N6+P6+U6</f>
        <v>551</v>
      </c>
    </row>
    <row r="7" spans="1:27" x14ac:dyDescent="0.25">
      <c r="A7" s="136" t="s">
        <v>69</v>
      </c>
      <c r="B7" s="137" t="s">
        <v>269</v>
      </c>
      <c r="C7" s="230">
        <v>517</v>
      </c>
      <c r="D7" s="230">
        <v>364</v>
      </c>
      <c r="E7" s="230">
        <v>85</v>
      </c>
      <c r="F7" s="230">
        <v>11</v>
      </c>
      <c r="G7" s="230">
        <v>2</v>
      </c>
      <c r="H7" s="230">
        <v>0</v>
      </c>
      <c r="I7" s="230">
        <v>0</v>
      </c>
      <c r="J7" s="230">
        <v>236</v>
      </c>
      <c r="K7" s="230">
        <v>2</v>
      </c>
      <c r="L7" s="241">
        <f t="shared" ref="L7:L18" si="1">SUM(C7:K7)</f>
        <v>1217</v>
      </c>
      <c r="M7" s="230">
        <v>260</v>
      </c>
      <c r="N7" s="230">
        <v>212</v>
      </c>
      <c r="O7" s="230">
        <v>69</v>
      </c>
      <c r="P7" s="230">
        <v>0</v>
      </c>
      <c r="Q7" s="230">
        <v>0</v>
      </c>
      <c r="R7" s="230">
        <v>0</v>
      </c>
      <c r="S7" s="230">
        <v>38</v>
      </c>
      <c r="T7" s="230">
        <v>23</v>
      </c>
      <c r="U7" s="340"/>
      <c r="V7" s="280">
        <f t="shared" ref="V7:V22" si="2">SUM(M7:U7)</f>
        <v>602</v>
      </c>
      <c r="W7" s="270"/>
      <c r="X7" s="248">
        <v>1123</v>
      </c>
      <c r="Y7" s="248">
        <v>170</v>
      </c>
      <c r="Z7" s="281">
        <f>L7+V7+W7+X7+Y7</f>
        <v>3112</v>
      </c>
      <c r="AA7" s="218">
        <f t="shared" si="0"/>
        <v>1366</v>
      </c>
    </row>
    <row r="8" spans="1:27" x14ac:dyDescent="0.25">
      <c r="A8" s="136" t="s">
        <v>73</v>
      </c>
      <c r="B8" s="137" t="s">
        <v>270</v>
      </c>
      <c r="C8" s="230">
        <v>40</v>
      </c>
      <c r="D8" s="230">
        <v>13</v>
      </c>
      <c r="E8" s="230">
        <v>6</v>
      </c>
      <c r="F8" s="230">
        <v>0</v>
      </c>
      <c r="G8" s="230">
        <v>0</v>
      </c>
      <c r="H8" s="230">
        <v>0</v>
      </c>
      <c r="I8" s="230">
        <v>0</v>
      </c>
      <c r="J8" s="230">
        <v>14</v>
      </c>
      <c r="K8" s="230">
        <v>0</v>
      </c>
      <c r="L8" s="241">
        <f t="shared" si="1"/>
        <v>73</v>
      </c>
      <c r="M8" s="230">
        <v>365</v>
      </c>
      <c r="N8" s="230">
        <v>452</v>
      </c>
      <c r="O8" s="230">
        <v>32</v>
      </c>
      <c r="P8" s="230">
        <v>2</v>
      </c>
      <c r="Q8" s="230">
        <v>4</v>
      </c>
      <c r="R8" s="230">
        <v>0</v>
      </c>
      <c r="S8" s="230">
        <v>0</v>
      </c>
      <c r="T8" s="230">
        <v>87</v>
      </c>
      <c r="U8" s="340"/>
      <c r="V8" s="280">
        <f t="shared" si="2"/>
        <v>942</v>
      </c>
      <c r="W8" s="270"/>
      <c r="X8" s="204"/>
      <c r="Y8" s="204"/>
      <c r="Z8" s="281">
        <f t="shared" ref="Z8:Z22" si="3">L8+V8+W8+X8+Y8</f>
        <v>1015</v>
      </c>
      <c r="AA8" s="218">
        <f t="shared" si="0"/>
        <v>872</v>
      </c>
    </row>
    <row r="9" spans="1:27" x14ac:dyDescent="0.25">
      <c r="A9" s="136" t="s">
        <v>74</v>
      </c>
      <c r="B9" s="137" t="s">
        <v>358</v>
      </c>
      <c r="C9" s="230"/>
      <c r="D9" s="230"/>
      <c r="E9" s="230"/>
      <c r="F9" s="230"/>
      <c r="G9" s="230"/>
      <c r="H9" s="230"/>
      <c r="I9" s="230"/>
      <c r="J9" s="230"/>
      <c r="K9" s="230"/>
      <c r="L9" s="241">
        <f t="shared" si="1"/>
        <v>0</v>
      </c>
      <c r="M9" s="338"/>
      <c r="N9" s="338"/>
      <c r="O9" s="338"/>
      <c r="P9" s="338"/>
      <c r="Q9" s="338"/>
      <c r="R9" s="338"/>
      <c r="S9" s="338"/>
      <c r="T9" s="338"/>
      <c r="U9" s="230"/>
      <c r="V9" s="280">
        <f t="shared" si="2"/>
        <v>0</v>
      </c>
      <c r="W9" s="245">
        <v>4888</v>
      </c>
      <c r="X9" s="204"/>
      <c r="Y9" s="204"/>
      <c r="Z9" s="281">
        <f t="shared" si="3"/>
        <v>4888</v>
      </c>
      <c r="AA9" s="218">
        <f t="shared" si="0"/>
        <v>0</v>
      </c>
    </row>
    <row r="10" spans="1:27" x14ac:dyDescent="0.25">
      <c r="A10" s="136" t="s">
        <v>94</v>
      </c>
      <c r="B10" s="137" t="s">
        <v>271</v>
      </c>
      <c r="C10" s="230">
        <v>851</v>
      </c>
      <c r="D10" s="230">
        <v>555</v>
      </c>
      <c r="E10" s="230">
        <v>218</v>
      </c>
      <c r="F10" s="230">
        <v>34</v>
      </c>
      <c r="G10" s="230">
        <v>8</v>
      </c>
      <c r="H10" s="230">
        <v>0</v>
      </c>
      <c r="I10" s="230">
        <v>0</v>
      </c>
      <c r="J10" s="230">
        <v>54</v>
      </c>
      <c r="K10" s="230">
        <v>0</v>
      </c>
      <c r="L10" s="241">
        <f t="shared" si="1"/>
        <v>1720</v>
      </c>
      <c r="M10" s="230">
        <v>528</v>
      </c>
      <c r="N10" s="230">
        <v>1421</v>
      </c>
      <c r="O10" s="230">
        <v>267</v>
      </c>
      <c r="P10" s="230">
        <v>46</v>
      </c>
      <c r="Q10" s="230">
        <v>56</v>
      </c>
      <c r="R10" s="230">
        <v>0</v>
      </c>
      <c r="S10" s="230">
        <v>0</v>
      </c>
      <c r="T10" s="230">
        <v>73</v>
      </c>
      <c r="U10" s="230"/>
      <c r="V10" s="280">
        <f t="shared" si="2"/>
        <v>2391</v>
      </c>
      <c r="W10" s="245">
        <v>572</v>
      </c>
      <c r="X10" s="204"/>
      <c r="Y10" s="204"/>
      <c r="Z10" s="281">
        <f t="shared" si="3"/>
        <v>4683</v>
      </c>
      <c r="AA10" s="218">
        <f t="shared" si="0"/>
        <v>3435</v>
      </c>
    </row>
    <row r="11" spans="1:27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11</v>
      </c>
      <c r="F11" s="230">
        <v>0</v>
      </c>
      <c r="G11" s="230">
        <v>0</v>
      </c>
      <c r="H11" s="230">
        <v>0</v>
      </c>
      <c r="I11" s="230">
        <v>0</v>
      </c>
      <c r="J11" s="230">
        <v>55</v>
      </c>
      <c r="K11" s="230">
        <v>0</v>
      </c>
      <c r="L11" s="241">
        <f t="shared" si="1"/>
        <v>66</v>
      </c>
      <c r="M11" s="230">
        <v>0</v>
      </c>
      <c r="N11" s="230">
        <v>0</v>
      </c>
      <c r="O11" s="230">
        <v>5</v>
      </c>
      <c r="P11" s="230">
        <v>0</v>
      </c>
      <c r="Q11" s="230">
        <v>0</v>
      </c>
      <c r="R11" s="230">
        <v>0</v>
      </c>
      <c r="S11" s="230">
        <v>0</v>
      </c>
      <c r="T11" s="230">
        <v>65</v>
      </c>
      <c r="U11" s="230"/>
      <c r="V11" s="280">
        <f t="shared" si="2"/>
        <v>70</v>
      </c>
      <c r="W11" s="270"/>
      <c r="X11" s="248"/>
      <c r="Y11" s="204"/>
      <c r="Z11" s="281">
        <f t="shared" si="3"/>
        <v>136</v>
      </c>
      <c r="AA11" s="218">
        <f t="shared" si="0"/>
        <v>0</v>
      </c>
    </row>
    <row r="12" spans="1:27" x14ac:dyDescent="0.25">
      <c r="A12" s="136" t="s">
        <v>361</v>
      </c>
      <c r="B12" s="137" t="s">
        <v>355</v>
      </c>
      <c r="C12" s="230"/>
      <c r="D12" s="230"/>
      <c r="E12" s="230"/>
      <c r="F12" s="230"/>
      <c r="G12" s="230"/>
      <c r="H12" s="230"/>
      <c r="I12" s="230"/>
      <c r="J12" s="230"/>
      <c r="K12" s="128"/>
      <c r="L12" s="241">
        <f t="shared" si="1"/>
        <v>0</v>
      </c>
      <c r="M12" s="339"/>
      <c r="N12" s="339"/>
      <c r="O12" s="339"/>
      <c r="P12" s="339"/>
      <c r="Q12" s="339"/>
      <c r="R12" s="339"/>
      <c r="S12" s="339"/>
      <c r="T12" s="339"/>
      <c r="U12" s="128"/>
      <c r="V12" s="280">
        <f t="shared" si="2"/>
        <v>0</v>
      </c>
      <c r="W12" s="270"/>
      <c r="X12" s="248">
        <v>16</v>
      </c>
      <c r="Y12" s="248">
        <v>7</v>
      </c>
      <c r="Z12" s="281">
        <f t="shared" si="3"/>
        <v>23</v>
      </c>
      <c r="AA12" s="218">
        <f t="shared" si="0"/>
        <v>0</v>
      </c>
    </row>
    <row r="13" spans="1:27" x14ac:dyDescent="0.25">
      <c r="A13" s="136" t="s">
        <v>106</v>
      </c>
      <c r="B13" s="137" t="s">
        <v>273</v>
      </c>
      <c r="C13" s="230">
        <v>184</v>
      </c>
      <c r="D13" s="230">
        <v>96</v>
      </c>
      <c r="E13" s="230">
        <v>11</v>
      </c>
      <c r="F13" s="230">
        <v>3</v>
      </c>
      <c r="G13" s="230">
        <v>6</v>
      </c>
      <c r="H13" s="230">
        <v>0</v>
      </c>
      <c r="I13" s="230">
        <v>0</v>
      </c>
      <c r="J13" s="230">
        <v>132</v>
      </c>
      <c r="K13" s="230">
        <v>0</v>
      </c>
      <c r="L13" s="241">
        <f t="shared" si="1"/>
        <v>432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230"/>
      <c r="V13" s="280">
        <f t="shared" si="2"/>
        <v>0</v>
      </c>
      <c r="W13" s="270"/>
      <c r="X13" s="204"/>
      <c r="Y13" s="204"/>
      <c r="Z13" s="281">
        <f t="shared" si="3"/>
        <v>432</v>
      </c>
      <c r="AA13" s="218">
        <f>C13+D13+F13+K13+M13+N13+P13+U13</f>
        <v>283</v>
      </c>
    </row>
    <row r="14" spans="1:27" x14ac:dyDescent="0.25">
      <c r="A14" s="136" t="s">
        <v>110</v>
      </c>
      <c r="B14" s="137" t="s">
        <v>274</v>
      </c>
      <c r="C14" s="230">
        <v>3612</v>
      </c>
      <c r="D14" s="230">
        <v>1246</v>
      </c>
      <c r="E14" s="230">
        <v>915</v>
      </c>
      <c r="F14" s="230">
        <v>33</v>
      </c>
      <c r="G14" s="230">
        <v>66</v>
      </c>
      <c r="H14" s="230">
        <v>0</v>
      </c>
      <c r="I14" s="230">
        <v>0</v>
      </c>
      <c r="J14" s="230">
        <v>154</v>
      </c>
      <c r="K14" s="230">
        <v>0</v>
      </c>
      <c r="L14" s="241">
        <f t="shared" si="1"/>
        <v>6026</v>
      </c>
      <c r="M14" s="230">
        <v>37</v>
      </c>
      <c r="N14" s="230">
        <v>32</v>
      </c>
      <c r="O14" s="230">
        <v>14</v>
      </c>
      <c r="P14" s="230">
        <v>0</v>
      </c>
      <c r="Q14" s="230">
        <v>0</v>
      </c>
      <c r="R14" s="230">
        <v>0</v>
      </c>
      <c r="S14" s="230">
        <v>0</v>
      </c>
      <c r="T14" s="230">
        <v>0</v>
      </c>
      <c r="U14" s="230"/>
      <c r="V14" s="280">
        <f t="shared" si="2"/>
        <v>83</v>
      </c>
      <c r="W14" s="270"/>
      <c r="X14" s="204"/>
      <c r="Y14" s="204"/>
      <c r="Z14" s="281">
        <f t="shared" si="3"/>
        <v>6109</v>
      </c>
      <c r="AA14" s="218">
        <f t="shared" si="0"/>
        <v>4960</v>
      </c>
    </row>
    <row r="15" spans="1:27" x14ac:dyDescent="0.25">
      <c r="A15" s="136" t="s">
        <v>119</v>
      </c>
      <c r="B15" s="137" t="s">
        <v>275</v>
      </c>
      <c r="C15" s="230">
        <v>1095</v>
      </c>
      <c r="D15" s="230">
        <v>1043</v>
      </c>
      <c r="E15" s="230">
        <v>199</v>
      </c>
      <c r="F15" s="230">
        <v>11</v>
      </c>
      <c r="G15" s="230">
        <v>9</v>
      </c>
      <c r="H15" s="230">
        <v>0</v>
      </c>
      <c r="I15" s="230">
        <v>0</v>
      </c>
      <c r="J15" s="230">
        <v>71</v>
      </c>
      <c r="K15" s="230">
        <v>0</v>
      </c>
      <c r="L15" s="241">
        <f t="shared" si="1"/>
        <v>2428</v>
      </c>
      <c r="M15" s="230">
        <v>178</v>
      </c>
      <c r="N15" s="230">
        <v>195</v>
      </c>
      <c r="O15" s="230">
        <v>45</v>
      </c>
      <c r="P15" s="230">
        <v>0</v>
      </c>
      <c r="Q15" s="230">
        <v>2</v>
      </c>
      <c r="R15" s="230">
        <v>0</v>
      </c>
      <c r="S15" s="230">
        <v>0</v>
      </c>
      <c r="T15" s="230">
        <v>1</v>
      </c>
      <c r="U15" s="230"/>
      <c r="V15" s="280">
        <f t="shared" si="2"/>
        <v>421</v>
      </c>
      <c r="W15" s="270"/>
      <c r="X15" s="248">
        <v>1116</v>
      </c>
      <c r="Y15" s="248">
        <v>0</v>
      </c>
      <c r="Z15" s="281">
        <f t="shared" si="3"/>
        <v>3965</v>
      </c>
      <c r="AA15" s="218">
        <f t="shared" si="0"/>
        <v>2522</v>
      </c>
    </row>
    <row r="16" spans="1:27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591</v>
      </c>
      <c r="K16" s="230">
        <v>0</v>
      </c>
      <c r="L16" s="241">
        <f t="shared" si="1"/>
        <v>591</v>
      </c>
      <c r="M16" s="230">
        <v>0</v>
      </c>
      <c r="N16" s="230">
        <v>0</v>
      </c>
      <c r="O16" s="230">
        <v>0</v>
      </c>
      <c r="P16" s="230">
        <v>0</v>
      </c>
      <c r="Q16" s="230">
        <v>0</v>
      </c>
      <c r="R16" s="230">
        <v>0</v>
      </c>
      <c r="S16" s="230">
        <v>0</v>
      </c>
      <c r="T16" s="230">
        <v>0</v>
      </c>
      <c r="U16" s="230"/>
      <c r="V16" s="280">
        <f t="shared" si="2"/>
        <v>0</v>
      </c>
      <c r="W16" s="270"/>
      <c r="X16" s="204"/>
      <c r="Y16" s="204"/>
      <c r="Z16" s="281">
        <f t="shared" si="3"/>
        <v>591</v>
      </c>
      <c r="AA16" s="218">
        <f t="shared" si="0"/>
        <v>0</v>
      </c>
    </row>
    <row r="17" spans="1:27" x14ac:dyDescent="0.25">
      <c r="A17" s="136" t="s">
        <v>123</v>
      </c>
      <c r="B17" s="137" t="s">
        <v>277</v>
      </c>
      <c r="C17" s="230">
        <v>21</v>
      </c>
      <c r="D17" s="230">
        <v>24</v>
      </c>
      <c r="E17" s="230">
        <v>12</v>
      </c>
      <c r="F17" s="230">
        <v>1</v>
      </c>
      <c r="G17" s="230">
        <v>0</v>
      </c>
      <c r="H17" s="230">
        <v>0</v>
      </c>
      <c r="I17" s="230">
        <v>0</v>
      </c>
      <c r="J17" s="230">
        <v>4</v>
      </c>
      <c r="K17" s="230">
        <v>0</v>
      </c>
      <c r="L17" s="241">
        <f t="shared" si="1"/>
        <v>62</v>
      </c>
      <c r="M17" s="230">
        <v>26</v>
      </c>
      <c r="N17" s="230">
        <v>56</v>
      </c>
      <c r="O17" s="230">
        <v>23</v>
      </c>
      <c r="P17" s="230">
        <v>0</v>
      </c>
      <c r="Q17" s="230">
        <v>2</v>
      </c>
      <c r="R17" s="230">
        <v>18</v>
      </c>
      <c r="S17" s="230">
        <v>0</v>
      </c>
      <c r="T17" s="230">
        <v>65</v>
      </c>
      <c r="U17" s="230"/>
      <c r="V17" s="280">
        <f t="shared" si="2"/>
        <v>190</v>
      </c>
      <c r="W17" s="245">
        <v>40</v>
      </c>
      <c r="X17" s="204"/>
      <c r="Y17" s="204"/>
      <c r="Z17" s="281">
        <f t="shared" si="3"/>
        <v>292</v>
      </c>
      <c r="AA17" s="218">
        <f t="shared" si="0"/>
        <v>128</v>
      </c>
    </row>
    <row r="18" spans="1:27" x14ac:dyDescent="0.25">
      <c r="A18" s="136" t="s">
        <v>128</v>
      </c>
      <c r="B18" s="137" t="s">
        <v>332</v>
      </c>
      <c r="C18" s="230">
        <v>82</v>
      </c>
      <c r="D18" s="230">
        <v>21</v>
      </c>
      <c r="E18" s="230">
        <v>37</v>
      </c>
      <c r="F18" s="230">
        <v>2</v>
      </c>
      <c r="G18" s="230">
        <v>0</v>
      </c>
      <c r="H18" s="230">
        <v>7</v>
      </c>
      <c r="I18" s="230">
        <v>0</v>
      </c>
      <c r="J18" s="230">
        <v>2</v>
      </c>
      <c r="K18" s="230">
        <v>0</v>
      </c>
      <c r="L18" s="241">
        <f t="shared" si="1"/>
        <v>151</v>
      </c>
      <c r="M18" s="230">
        <v>121</v>
      </c>
      <c r="N18" s="230">
        <v>166</v>
      </c>
      <c r="O18" s="230">
        <v>9</v>
      </c>
      <c r="P18" s="230">
        <v>3</v>
      </c>
      <c r="Q18" s="230">
        <v>0</v>
      </c>
      <c r="R18" s="230">
        <v>0</v>
      </c>
      <c r="S18" s="230">
        <v>0</v>
      </c>
      <c r="T18" s="230">
        <v>0</v>
      </c>
      <c r="U18" s="230"/>
      <c r="V18" s="280">
        <f t="shared" si="2"/>
        <v>299</v>
      </c>
      <c r="W18" s="270"/>
      <c r="X18" s="204"/>
      <c r="Y18" s="204"/>
      <c r="Z18" s="281">
        <f t="shared" si="3"/>
        <v>450</v>
      </c>
      <c r="AA18" s="218">
        <f t="shared" si="0"/>
        <v>395</v>
      </c>
    </row>
    <row r="19" spans="1:27" x14ac:dyDescent="0.25">
      <c r="A19" s="136" t="s">
        <v>150</v>
      </c>
      <c r="B19" s="137" t="s">
        <v>278</v>
      </c>
      <c r="C19" s="230">
        <v>854</v>
      </c>
      <c r="D19" s="230">
        <v>255</v>
      </c>
      <c r="E19" s="230">
        <v>386</v>
      </c>
      <c r="F19" s="230">
        <v>18</v>
      </c>
      <c r="G19" s="230">
        <v>13</v>
      </c>
      <c r="H19" s="230">
        <v>0</v>
      </c>
      <c r="I19" s="230">
        <v>0</v>
      </c>
      <c r="J19" s="230">
        <v>54</v>
      </c>
      <c r="K19" s="230">
        <v>0</v>
      </c>
      <c r="L19" s="241">
        <f>SUM(C19:K19)</f>
        <v>1580</v>
      </c>
      <c r="M19" s="230">
        <v>370</v>
      </c>
      <c r="N19" s="230">
        <v>296</v>
      </c>
      <c r="O19" s="230">
        <v>72</v>
      </c>
      <c r="P19" s="230">
        <v>11</v>
      </c>
      <c r="Q19" s="230">
        <v>25</v>
      </c>
      <c r="R19" s="230">
        <v>0</v>
      </c>
      <c r="S19" s="230">
        <v>0</v>
      </c>
      <c r="T19" s="230">
        <v>0</v>
      </c>
      <c r="U19" s="230"/>
      <c r="V19" s="280">
        <f t="shared" si="2"/>
        <v>774</v>
      </c>
      <c r="W19" s="245">
        <v>705</v>
      </c>
      <c r="X19" s="204"/>
      <c r="Y19" s="204"/>
      <c r="Z19" s="281">
        <f t="shared" si="3"/>
        <v>3059</v>
      </c>
      <c r="AA19" s="218">
        <f t="shared" si="0"/>
        <v>1804</v>
      </c>
    </row>
    <row r="20" spans="1:27" x14ac:dyDescent="0.25">
      <c r="A20" s="136" t="s">
        <v>181</v>
      </c>
      <c r="B20" s="137" t="s">
        <v>335</v>
      </c>
      <c r="C20" s="230">
        <v>468</v>
      </c>
      <c r="D20" s="230">
        <v>870</v>
      </c>
      <c r="E20" s="230">
        <v>121</v>
      </c>
      <c r="F20" s="230">
        <v>28</v>
      </c>
      <c r="G20" s="230">
        <v>21</v>
      </c>
      <c r="H20" s="230">
        <v>0</v>
      </c>
      <c r="I20" s="230">
        <v>0</v>
      </c>
      <c r="J20" s="230">
        <v>1079</v>
      </c>
      <c r="K20" s="230">
        <v>0</v>
      </c>
      <c r="L20" s="241">
        <f>SUM(C20:K20)</f>
        <v>2587</v>
      </c>
      <c r="M20" s="230">
        <v>273</v>
      </c>
      <c r="N20" s="230">
        <v>1338</v>
      </c>
      <c r="O20" s="230">
        <v>109</v>
      </c>
      <c r="P20" s="230">
        <v>59</v>
      </c>
      <c r="Q20" s="230">
        <v>54</v>
      </c>
      <c r="R20" s="230">
        <v>0</v>
      </c>
      <c r="S20" s="230">
        <v>0</v>
      </c>
      <c r="T20" s="230">
        <v>0</v>
      </c>
      <c r="U20" s="230"/>
      <c r="V20" s="280">
        <f t="shared" si="2"/>
        <v>1833</v>
      </c>
      <c r="W20" s="332"/>
      <c r="X20" s="209"/>
      <c r="Y20" s="209"/>
      <c r="Z20" s="281">
        <f t="shared" si="3"/>
        <v>4420</v>
      </c>
      <c r="AA20" s="218">
        <f t="shared" si="0"/>
        <v>3036</v>
      </c>
    </row>
    <row r="21" spans="1:27" x14ac:dyDescent="0.25">
      <c r="A21" s="136" t="s">
        <v>184</v>
      </c>
      <c r="B21" s="137" t="s">
        <v>279</v>
      </c>
      <c r="C21" s="230">
        <v>299</v>
      </c>
      <c r="D21" s="230">
        <v>170</v>
      </c>
      <c r="E21" s="230">
        <v>71</v>
      </c>
      <c r="F21" s="230">
        <v>16</v>
      </c>
      <c r="G21" s="230">
        <v>15</v>
      </c>
      <c r="H21" s="230">
        <v>0</v>
      </c>
      <c r="I21" s="230">
        <v>39</v>
      </c>
      <c r="J21" s="230">
        <v>3</v>
      </c>
      <c r="K21" s="230">
        <v>0</v>
      </c>
      <c r="L21" s="241">
        <f>SUM(C21:K21)</f>
        <v>613</v>
      </c>
      <c r="M21" s="230">
        <v>302</v>
      </c>
      <c r="N21" s="230">
        <v>598</v>
      </c>
      <c r="O21" s="230">
        <v>83</v>
      </c>
      <c r="P21" s="230">
        <v>15</v>
      </c>
      <c r="Q21" s="230">
        <v>31</v>
      </c>
      <c r="R21" s="230">
        <v>0</v>
      </c>
      <c r="S21" s="230">
        <v>0</v>
      </c>
      <c r="T21" s="230">
        <v>22</v>
      </c>
      <c r="U21" s="230"/>
      <c r="V21" s="280">
        <f t="shared" si="2"/>
        <v>1051</v>
      </c>
      <c r="W21" s="245">
        <v>34</v>
      </c>
      <c r="X21" s="204"/>
      <c r="Y21" s="204"/>
      <c r="Z21" s="281">
        <f t="shared" si="3"/>
        <v>1698</v>
      </c>
      <c r="AA21" s="218">
        <f t="shared" si="0"/>
        <v>1400</v>
      </c>
    </row>
    <row r="22" spans="1:27" ht="17.25" customHeight="1" thickBot="1" x14ac:dyDescent="0.3">
      <c r="A22" s="136" t="s">
        <v>194</v>
      </c>
      <c r="B22" s="138" t="s">
        <v>280</v>
      </c>
      <c r="C22" s="265">
        <v>0</v>
      </c>
      <c r="D22" s="265">
        <v>0</v>
      </c>
      <c r="E22" s="265">
        <v>593</v>
      </c>
      <c r="F22" s="265">
        <v>0</v>
      </c>
      <c r="G22" s="265">
        <v>0</v>
      </c>
      <c r="H22" s="265">
        <v>0</v>
      </c>
      <c r="I22" s="265">
        <v>0</v>
      </c>
      <c r="J22" s="265">
        <v>2564</v>
      </c>
      <c r="K22" s="265">
        <v>0</v>
      </c>
      <c r="L22" s="268">
        <f>SUM(C22:K22)</f>
        <v>3157</v>
      </c>
      <c r="M22" s="265">
        <v>0</v>
      </c>
      <c r="N22" s="265">
        <v>0</v>
      </c>
      <c r="O22" s="265">
        <v>0</v>
      </c>
      <c r="P22" s="265">
        <v>0</v>
      </c>
      <c r="Q22" s="265">
        <v>0</v>
      </c>
      <c r="R22" s="265">
        <v>0</v>
      </c>
      <c r="S22" s="265">
        <v>0</v>
      </c>
      <c r="T22" s="265">
        <v>0</v>
      </c>
      <c r="U22" s="265"/>
      <c r="V22" s="280">
        <f t="shared" si="2"/>
        <v>0</v>
      </c>
      <c r="W22" s="337"/>
      <c r="X22" s="227"/>
      <c r="Y22" s="227"/>
      <c r="Z22" s="349">
        <f t="shared" si="3"/>
        <v>3157</v>
      </c>
      <c r="AA22" s="350">
        <f t="shared" si="0"/>
        <v>0</v>
      </c>
    </row>
    <row r="23" spans="1:27" s="110" customFormat="1" ht="14.4" thickBot="1" x14ac:dyDescent="0.3">
      <c r="A23" s="134"/>
      <c r="B23" s="159" t="s">
        <v>457</v>
      </c>
      <c r="C23" s="258">
        <f t="shared" ref="C23:AA23" si="4">SUM(C6:C22)</f>
        <v>8294</v>
      </c>
      <c r="D23" s="157">
        <f t="shared" si="4"/>
        <v>4932</v>
      </c>
      <c r="E23" s="157">
        <f t="shared" si="4"/>
        <v>2757</v>
      </c>
      <c r="F23" s="157">
        <f t="shared" si="4"/>
        <v>162</v>
      </c>
      <c r="G23" s="157">
        <f t="shared" si="4"/>
        <v>148</v>
      </c>
      <c r="H23" s="157">
        <f t="shared" si="4"/>
        <v>7</v>
      </c>
      <c r="I23" s="166">
        <f t="shared" si="4"/>
        <v>39</v>
      </c>
      <c r="J23" s="362">
        <f t="shared" si="4"/>
        <v>5223</v>
      </c>
      <c r="K23" s="259">
        <f t="shared" si="4"/>
        <v>2</v>
      </c>
      <c r="L23" s="263">
        <f t="shared" si="4"/>
        <v>21564</v>
      </c>
      <c r="M23" s="262">
        <f t="shared" si="4"/>
        <v>2460</v>
      </c>
      <c r="N23" s="158">
        <f t="shared" si="4"/>
        <v>4766</v>
      </c>
      <c r="O23" s="158">
        <f t="shared" si="4"/>
        <v>728</v>
      </c>
      <c r="P23" s="158">
        <f t="shared" si="4"/>
        <v>136</v>
      </c>
      <c r="Q23" s="158">
        <f t="shared" si="4"/>
        <v>174</v>
      </c>
      <c r="R23" s="158">
        <f t="shared" si="4"/>
        <v>18</v>
      </c>
      <c r="S23" s="158">
        <f t="shared" si="4"/>
        <v>38</v>
      </c>
      <c r="T23" s="264">
        <f t="shared" si="4"/>
        <v>336</v>
      </c>
      <c r="U23" s="401">
        <f t="shared" si="4"/>
        <v>0</v>
      </c>
      <c r="V23" s="263">
        <f t="shared" si="4"/>
        <v>8656</v>
      </c>
      <c r="W23" s="388">
        <f t="shared" si="4"/>
        <v>6465</v>
      </c>
      <c r="X23" s="274">
        <f t="shared" si="4"/>
        <v>2255</v>
      </c>
      <c r="Y23" s="273">
        <f>SUM(Y6:Y22)</f>
        <v>177</v>
      </c>
      <c r="Z23" s="275">
        <f>SUM(Z6:Z22)</f>
        <v>39117</v>
      </c>
      <c r="AA23" s="276">
        <f t="shared" si="4"/>
        <v>20752</v>
      </c>
    </row>
    <row r="24" spans="1:27" x14ac:dyDescent="0.25">
      <c r="A24" s="136" t="s">
        <v>72</v>
      </c>
      <c r="B24" s="137" t="s">
        <v>356</v>
      </c>
      <c r="C24" s="280">
        <v>564</v>
      </c>
      <c r="D24" s="280">
        <v>957</v>
      </c>
      <c r="E24" s="280">
        <v>124</v>
      </c>
      <c r="F24" s="280">
        <v>27</v>
      </c>
      <c r="G24" s="280">
        <v>12</v>
      </c>
      <c r="H24" s="280">
        <v>44</v>
      </c>
      <c r="I24" s="280">
        <v>0</v>
      </c>
      <c r="J24" s="280">
        <v>32</v>
      </c>
      <c r="K24" s="280">
        <v>0</v>
      </c>
      <c r="L24" s="286">
        <f>SUM(C24:K24)</f>
        <v>1760</v>
      </c>
      <c r="M24" s="280">
        <v>0</v>
      </c>
      <c r="N24" s="280">
        <v>2</v>
      </c>
      <c r="O24" s="280">
        <v>0</v>
      </c>
      <c r="P24" s="280">
        <v>0</v>
      </c>
      <c r="Q24" s="280">
        <v>0</v>
      </c>
      <c r="R24" s="280">
        <v>0</v>
      </c>
      <c r="S24" s="280">
        <v>0</v>
      </c>
      <c r="T24" s="280">
        <v>0</v>
      </c>
      <c r="U24" s="408"/>
      <c r="V24" s="280">
        <f>SUM(M24:U24)</f>
        <v>2</v>
      </c>
      <c r="W24" s="503"/>
      <c r="X24" s="233"/>
      <c r="Y24" s="204"/>
      <c r="Z24" s="247">
        <f>L24+V24+W24+X24+Y24</f>
        <v>1762</v>
      </c>
      <c r="AA24" s="215">
        <f t="shared" ref="AA24:AA36" si="5">C24+D24+F24+K24+M24+N24+P24+U24</f>
        <v>1550</v>
      </c>
    </row>
    <row r="25" spans="1:27" x14ac:dyDescent="0.25">
      <c r="A25" s="136" t="s">
        <v>85</v>
      </c>
      <c r="B25" s="137" t="s">
        <v>281</v>
      </c>
      <c r="C25" s="230">
        <v>740</v>
      </c>
      <c r="D25" s="230">
        <v>564</v>
      </c>
      <c r="E25" s="230">
        <v>111</v>
      </c>
      <c r="F25" s="230">
        <v>34</v>
      </c>
      <c r="G25" s="230">
        <v>68</v>
      </c>
      <c r="H25" s="230">
        <v>0</v>
      </c>
      <c r="I25" s="230">
        <v>0</v>
      </c>
      <c r="J25" s="230">
        <v>26</v>
      </c>
      <c r="K25" s="230">
        <v>0</v>
      </c>
      <c r="L25" s="241">
        <f t="shared" ref="L25:L36" si="6">SUM(C25:K25)</f>
        <v>1543</v>
      </c>
      <c r="M25" s="230">
        <v>420</v>
      </c>
      <c r="N25" s="230">
        <v>626</v>
      </c>
      <c r="O25" s="230">
        <v>141</v>
      </c>
      <c r="P25" s="230">
        <v>21</v>
      </c>
      <c r="Q25" s="230">
        <v>28</v>
      </c>
      <c r="R25" s="230">
        <v>0</v>
      </c>
      <c r="S25" s="230">
        <v>0</v>
      </c>
      <c r="T25" s="230">
        <v>0</v>
      </c>
      <c r="U25" s="406"/>
      <c r="V25" s="280">
        <f t="shared" ref="V25:V36" si="7">SUM(M25:U25)</f>
        <v>1236</v>
      </c>
      <c r="W25" s="472">
        <v>72</v>
      </c>
      <c r="X25" s="233"/>
      <c r="Y25" s="204"/>
      <c r="Z25" s="247">
        <f t="shared" ref="Z25:Z36" si="8">L25+V25+W25+X25+Y25</f>
        <v>2851</v>
      </c>
      <c r="AA25" s="215">
        <f t="shared" si="5"/>
        <v>2405</v>
      </c>
    </row>
    <row r="26" spans="1:27" x14ac:dyDescent="0.25">
      <c r="A26" s="136" t="s">
        <v>214</v>
      </c>
      <c r="B26" s="137" t="s">
        <v>282</v>
      </c>
      <c r="C26" s="230">
        <v>622</v>
      </c>
      <c r="D26" s="230">
        <v>986</v>
      </c>
      <c r="E26" s="230">
        <v>362</v>
      </c>
      <c r="F26" s="230">
        <v>33</v>
      </c>
      <c r="G26" s="230">
        <v>11</v>
      </c>
      <c r="H26" s="230">
        <v>0</v>
      </c>
      <c r="I26" s="230">
        <v>0</v>
      </c>
      <c r="J26" s="230">
        <v>21</v>
      </c>
      <c r="K26" s="230">
        <v>0</v>
      </c>
      <c r="L26" s="241">
        <f t="shared" si="6"/>
        <v>2035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406"/>
      <c r="V26" s="280">
        <f t="shared" si="7"/>
        <v>0</v>
      </c>
      <c r="W26" s="471"/>
      <c r="X26" s="233"/>
      <c r="Y26" s="204"/>
      <c r="Z26" s="247">
        <f t="shared" si="8"/>
        <v>2035</v>
      </c>
      <c r="AA26" s="215">
        <f t="shared" si="5"/>
        <v>1641</v>
      </c>
    </row>
    <row r="27" spans="1:27" x14ac:dyDescent="0.25">
      <c r="A27" s="136" t="s">
        <v>101</v>
      </c>
      <c r="B27" s="137" t="s">
        <v>283</v>
      </c>
      <c r="C27" s="230">
        <v>746</v>
      </c>
      <c r="D27" s="230">
        <v>592</v>
      </c>
      <c r="E27" s="230">
        <v>172</v>
      </c>
      <c r="F27" s="230">
        <v>36</v>
      </c>
      <c r="G27" s="230">
        <v>54</v>
      </c>
      <c r="H27" s="230">
        <v>0</v>
      </c>
      <c r="I27" s="230">
        <v>0</v>
      </c>
      <c r="J27" s="230">
        <v>88</v>
      </c>
      <c r="K27" s="230">
        <v>0</v>
      </c>
      <c r="L27" s="241">
        <f t="shared" si="6"/>
        <v>1688</v>
      </c>
      <c r="M27" s="230">
        <v>79</v>
      </c>
      <c r="N27" s="230">
        <v>845</v>
      </c>
      <c r="O27" s="230">
        <v>2</v>
      </c>
      <c r="P27" s="230">
        <v>10</v>
      </c>
      <c r="Q27" s="230">
        <v>29</v>
      </c>
      <c r="R27" s="230">
        <v>0</v>
      </c>
      <c r="S27" s="230">
        <v>0</v>
      </c>
      <c r="T27" s="230">
        <v>0</v>
      </c>
      <c r="U27" s="406"/>
      <c r="V27" s="280">
        <f t="shared" si="7"/>
        <v>965</v>
      </c>
      <c r="W27" s="472">
        <v>432</v>
      </c>
      <c r="X27" s="233"/>
      <c r="Y27" s="204"/>
      <c r="Z27" s="247">
        <f t="shared" si="8"/>
        <v>3085</v>
      </c>
      <c r="AA27" s="215">
        <f t="shared" si="5"/>
        <v>2308</v>
      </c>
    </row>
    <row r="28" spans="1:27" x14ac:dyDescent="0.25">
      <c r="A28" s="136" t="s">
        <v>114</v>
      </c>
      <c r="B28" s="137" t="s">
        <v>284</v>
      </c>
      <c r="C28" s="230">
        <v>636</v>
      </c>
      <c r="D28" s="230">
        <v>246</v>
      </c>
      <c r="E28" s="230">
        <v>120</v>
      </c>
      <c r="F28" s="230">
        <v>42</v>
      </c>
      <c r="G28" s="230">
        <v>76</v>
      </c>
      <c r="H28" s="230">
        <v>0</v>
      </c>
      <c r="I28" s="230">
        <v>68</v>
      </c>
      <c r="J28" s="230">
        <v>63</v>
      </c>
      <c r="K28" s="230">
        <v>0</v>
      </c>
      <c r="L28" s="241">
        <f t="shared" si="6"/>
        <v>1251</v>
      </c>
      <c r="M28" s="230">
        <v>206</v>
      </c>
      <c r="N28" s="230">
        <v>500</v>
      </c>
      <c r="O28" s="230">
        <v>164</v>
      </c>
      <c r="P28" s="230">
        <v>50</v>
      </c>
      <c r="Q28" s="230">
        <v>46</v>
      </c>
      <c r="R28" s="230">
        <v>18</v>
      </c>
      <c r="S28" s="230">
        <v>0</v>
      </c>
      <c r="T28" s="230">
        <v>15</v>
      </c>
      <c r="U28" s="406"/>
      <c r="V28" s="280">
        <f t="shared" si="7"/>
        <v>999</v>
      </c>
      <c r="W28" s="472">
        <v>778</v>
      </c>
      <c r="X28" s="233"/>
      <c r="Y28" s="204"/>
      <c r="Z28" s="247">
        <f t="shared" si="8"/>
        <v>3028</v>
      </c>
      <c r="AA28" s="215">
        <f t="shared" si="5"/>
        <v>1680</v>
      </c>
    </row>
    <row r="29" spans="1:27" x14ac:dyDescent="0.25">
      <c r="A29" s="136" t="s">
        <v>115</v>
      </c>
      <c r="B29" s="137" t="s">
        <v>285</v>
      </c>
      <c r="C29" s="230">
        <v>340</v>
      </c>
      <c r="D29" s="230">
        <v>878</v>
      </c>
      <c r="E29" s="230">
        <v>13</v>
      </c>
      <c r="F29" s="230">
        <v>4</v>
      </c>
      <c r="G29" s="230">
        <v>11</v>
      </c>
      <c r="H29" s="230">
        <v>0</v>
      </c>
      <c r="I29" s="230">
        <v>0</v>
      </c>
      <c r="J29" s="230">
        <v>6</v>
      </c>
      <c r="K29" s="230">
        <v>0</v>
      </c>
      <c r="L29" s="241">
        <f t="shared" si="6"/>
        <v>1252</v>
      </c>
      <c r="M29" s="230">
        <v>0</v>
      </c>
      <c r="N29" s="230">
        <v>0</v>
      </c>
      <c r="O29" s="230">
        <v>0</v>
      </c>
      <c r="P29" s="230">
        <v>0</v>
      </c>
      <c r="Q29" s="230">
        <v>0</v>
      </c>
      <c r="R29" s="230">
        <v>0</v>
      </c>
      <c r="S29" s="230">
        <v>0</v>
      </c>
      <c r="T29" s="230">
        <v>0</v>
      </c>
      <c r="U29" s="406"/>
      <c r="V29" s="280">
        <f t="shared" si="7"/>
        <v>0</v>
      </c>
      <c r="W29" s="472">
        <v>41</v>
      </c>
      <c r="X29" s="233"/>
      <c r="Y29" s="204"/>
      <c r="Z29" s="247">
        <f t="shared" si="8"/>
        <v>1293</v>
      </c>
      <c r="AA29" s="215">
        <f t="shared" si="5"/>
        <v>1222</v>
      </c>
    </row>
    <row r="30" spans="1:27" x14ac:dyDescent="0.25">
      <c r="A30" s="136" t="s">
        <v>127</v>
      </c>
      <c r="B30" s="137" t="s">
        <v>286</v>
      </c>
      <c r="C30" s="230">
        <v>4187</v>
      </c>
      <c r="D30" s="230">
        <v>1776</v>
      </c>
      <c r="E30" s="230">
        <v>2202</v>
      </c>
      <c r="F30" s="230">
        <v>32</v>
      </c>
      <c r="G30" s="230">
        <v>118</v>
      </c>
      <c r="H30" s="230">
        <v>17</v>
      </c>
      <c r="I30" s="230">
        <v>0</v>
      </c>
      <c r="J30" s="230">
        <v>42</v>
      </c>
      <c r="K30" s="230">
        <v>0</v>
      </c>
      <c r="L30" s="241">
        <f t="shared" si="6"/>
        <v>8374</v>
      </c>
      <c r="M30" s="230">
        <v>251</v>
      </c>
      <c r="N30" s="230">
        <v>597</v>
      </c>
      <c r="O30" s="230">
        <v>71</v>
      </c>
      <c r="P30" s="230">
        <v>10</v>
      </c>
      <c r="Q30" s="230">
        <v>92</v>
      </c>
      <c r="R30" s="230">
        <v>0</v>
      </c>
      <c r="S30" s="230">
        <v>0</v>
      </c>
      <c r="T30" s="230">
        <v>0</v>
      </c>
      <c r="U30" s="406"/>
      <c r="V30" s="280">
        <f t="shared" si="7"/>
        <v>1021</v>
      </c>
      <c r="W30" s="472">
        <v>244</v>
      </c>
      <c r="X30" s="470"/>
      <c r="Y30" s="204"/>
      <c r="Z30" s="247">
        <f t="shared" si="8"/>
        <v>9639</v>
      </c>
      <c r="AA30" s="215">
        <f t="shared" si="5"/>
        <v>6853</v>
      </c>
    </row>
    <row r="31" spans="1:27" x14ac:dyDescent="0.25">
      <c r="A31" s="136" t="s">
        <v>129</v>
      </c>
      <c r="B31" s="137" t="s">
        <v>287</v>
      </c>
      <c r="C31" s="230">
        <v>790</v>
      </c>
      <c r="D31" s="230">
        <v>794</v>
      </c>
      <c r="E31" s="230">
        <v>327</v>
      </c>
      <c r="F31" s="230">
        <v>40</v>
      </c>
      <c r="G31" s="230">
        <v>58</v>
      </c>
      <c r="H31" s="230">
        <v>0</v>
      </c>
      <c r="I31" s="230">
        <v>0</v>
      </c>
      <c r="J31" s="230">
        <v>36</v>
      </c>
      <c r="K31" s="230">
        <v>0</v>
      </c>
      <c r="L31" s="241">
        <f t="shared" si="6"/>
        <v>2045</v>
      </c>
      <c r="M31" s="230">
        <v>236</v>
      </c>
      <c r="N31" s="230">
        <v>1430</v>
      </c>
      <c r="O31" s="230">
        <v>286</v>
      </c>
      <c r="P31" s="230">
        <v>20</v>
      </c>
      <c r="Q31" s="230">
        <v>57</v>
      </c>
      <c r="R31" s="230">
        <v>0</v>
      </c>
      <c r="S31" s="230">
        <v>0</v>
      </c>
      <c r="T31" s="230">
        <v>0</v>
      </c>
      <c r="U31" s="406"/>
      <c r="V31" s="280">
        <f t="shared" si="7"/>
        <v>2029</v>
      </c>
      <c r="W31" s="472">
        <v>305</v>
      </c>
      <c r="X31" s="470"/>
      <c r="Y31" s="204"/>
      <c r="Z31" s="247">
        <f t="shared" si="8"/>
        <v>4379</v>
      </c>
      <c r="AA31" s="215">
        <f t="shared" si="5"/>
        <v>3310</v>
      </c>
    </row>
    <row r="32" spans="1:27" x14ac:dyDescent="0.25">
      <c r="A32" s="136" t="s">
        <v>139</v>
      </c>
      <c r="B32" s="137" t="s">
        <v>321</v>
      </c>
      <c r="C32" s="230">
        <v>452</v>
      </c>
      <c r="D32" s="230">
        <v>699</v>
      </c>
      <c r="E32" s="230">
        <v>230</v>
      </c>
      <c r="F32" s="230">
        <v>22</v>
      </c>
      <c r="G32" s="230">
        <v>31</v>
      </c>
      <c r="H32" s="230">
        <v>0</v>
      </c>
      <c r="I32" s="230">
        <v>51</v>
      </c>
      <c r="J32" s="230">
        <v>83</v>
      </c>
      <c r="K32" s="230">
        <v>285</v>
      </c>
      <c r="L32" s="241">
        <f t="shared" si="6"/>
        <v>1853</v>
      </c>
      <c r="M32" s="230">
        <v>203</v>
      </c>
      <c r="N32" s="230">
        <v>538</v>
      </c>
      <c r="O32" s="230">
        <v>129</v>
      </c>
      <c r="P32" s="230">
        <v>2</v>
      </c>
      <c r="Q32" s="230">
        <v>14</v>
      </c>
      <c r="R32" s="230">
        <v>0</v>
      </c>
      <c r="S32" s="230">
        <v>0</v>
      </c>
      <c r="T32" s="230">
        <v>0</v>
      </c>
      <c r="U32" s="406"/>
      <c r="V32" s="280">
        <f t="shared" si="7"/>
        <v>886</v>
      </c>
      <c r="W32" s="472">
        <v>724</v>
      </c>
      <c r="X32" s="470"/>
      <c r="Y32" s="204"/>
      <c r="Z32" s="247">
        <f t="shared" si="8"/>
        <v>3463</v>
      </c>
      <c r="AA32" s="215">
        <f t="shared" si="5"/>
        <v>2201</v>
      </c>
    </row>
    <row r="33" spans="1:27" x14ac:dyDescent="0.25">
      <c r="A33" s="140" t="s">
        <v>151</v>
      </c>
      <c r="B33" s="161" t="s">
        <v>323</v>
      </c>
      <c r="C33" s="230">
        <v>0</v>
      </c>
      <c r="D33" s="230">
        <v>0</v>
      </c>
      <c r="E33" s="230">
        <v>589</v>
      </c>
      <c r="F33" s="230">
        <v>0</v>
      </c>
      <c r="G33" s="230">
        <v>0</v>
      </c>
      <c r="H33" s="230">
        <v>0</v>
      </c>
      <c r="I33" s="230">
        <v>0</v>
      </c>
      <c r="J33" s="230">
        <v>1879</v>
      </c>
      <c r="K33" s="230">
        <v>0</v>
      </c>
      <c r="L33" s="241">
        <f t="shared" si="6"/>
        <v>2468</v>
      </c>
      <c r="M33" s="147"/>
      <c r="N33" s="147"/>
      <c r="O33" s="147"/>
      <c r="P33" s="147"/>
      <c r="Q33" s="147"/>
      <c r="R33" s="147"/>
      <c r="S33" s="147"/>
      <c r="T33" s="147"/>
      <c r="U33" s="147"/>
      <c r="V33" s="280">
        <f t="shared" si="7"/>
        <v>0</v>
      </c>
      <c r="W33" s="471"/>
      <c r="X33" s="470"/>
      <c r="Y33" s="204"/>
      <c r="Z33" s="247">
        <f t="shared" si="8"/>
        <v>2468</v>
      </c>
      <c r="AA33" s="215">
        <f t="shared" si="5"/>
        <v>0</v>
      </c>
    </row>
    <row r="34" spans="1:27" x14ac:dyDescent="0.25">
      <c r="A34" s="136" t="s">
        <v>170</v>
      </c>
      <c r="B34" s="137" t="s">
        <v>288</v>
      </c>
      <c r="C34" s="230"/>
      <c r="D34" s="230"/>
      <c r="E34" s="230"/>
      <c r="F34" s="230"/>
      <c r="G34" s="230"/>
      <c r="H34" s="230"/>
      <c r="I34" s="230"/>
      <c r="J34" s="230"/>
      <c r="K34" s="230"/>
      <c r="L34" s="241">
        <f t="shared" si="6"/>
        <v>0</v>
      </c>
      <c r="M34" s="230"/>
      <c r="N34" s="230"/>
      <c r="O34" s="230"/>
      <c r="P34" s="230"/>
      <c r="Q34" s="230"/>
      <c r="R34" s="230"/>
      <c r="S34" s="230"/>
      <c r="T34" s="230"/>
      <c r="U34" s="230"/>
      <c r="V34" s="280">
        <f t="shared" si="7"/>
        <v>0</v>
      </c>
      <c r="W34" s="472">
        <v>0</v>
      </c>
      <c r="X34" s="340"/>
      <c r="Y34" s="204"/>
      <c r="Z34" s="247">
        <f t="shared" si="8"/>
        <v>0</v>
      </c>
      <c r="AA34" s="217">
        <f t="shared" si="5"/>
        <v>0</v>
      </c>
    </row>
    <row r="35" spans="1:27" x14ac:dyDescent="0.25">
      <c r="A35" s="136" t="s">
        <v>171</v>
      </c>
      <c r="B35" s="137" t="s">
        <v>324</v>
      </c>
      <c r="C35" s="230">
        <v>472</v>
      </c>
      <c r="D35" s="230">
        <v>405</v>
      </c>
      <c r="E35" s="230">
        <v>167</v>
      </c>
      <c r="F35" s="230">
        <v>30</v>
      </c>
      <c r="G35" s="230">
        <v>21</v>
      </c>
      <c r="H35" s="230">
        <v>0</v>
      </c>
      <c r="I35" s="230">
        <v>0</v>
      </c>
      <c r="J35" s="230">
        <v>61</v>
      </c>
      <c r="K35" s="230">
        <v>0</v>
      </c>
      <c r="L35" s="241">
        <f t="shared" si="6"/>
        <v>1156</v>
      </c>
      <c r="M35" s="230">
        <v>522</v>
      </c>
      <c r="N35" s="230">
        <v>629</v>
      </c>
      <c r="O35" s="230">
        <v>421</v>
      </c>
      <c r="P35" s="230">
        <v>11</v>
      </c>
      <c r="Q35" s="230">
        <v>38</v>
      </c>
      <c r="R35" s="230">
        <v>68</v>
      </c>
      <c r="S35" s="230">
        <v>0</v>
      </c>
      <c r="T35" s="230">
        <v>0</v>
      </c>
      <c r="U35" s="230"/>
      <c r="V35" s="280">
        <f t="shared" si="7"/>
        <v>1689</v>
      </c>
      <c r="W35" s="472">
        <f>1198+753</f>
        <v>1951</v>
      </c>
      <c r="X35" s="340"/>
      <c r="Y35" s="204"/>
      <c r="Z35" s="247">
        <f t="shared" si="8"/>
        <v>4796</v>
      </c>
      <c r="AA35" s="215">
        <f t="shared" si="5"/>
        <v>2069</v>
      </c>
    </row>
    <row r="36" spans="1:27" ht="13.8" thickBot="1" x14ac:dyDescent="0.3">
      <c r="A36" s="136" t="s">
        <v>362</v>
      </c>
      <c r="B36" s="143" t="s">
        <v>289</v>
      </c>
      <c r="C36" s="265">
        <v>264</v>
      </c>
      <c r="D36" s="265">
        <v>245</v>
      </c>
      <c r="E36" s="265">
        <v>75</v>
      </c>
      <c r="F36" s="265">
        <v>13</v>
      </c>
      <c r="G36" s="265">
        <v>5</v>
      </c>
      <c r="H36" s="265">
        <v>0</v>
      </c>
      <c r="I36" s="265">
        <v>0</v>
      </c>
      <c r="J36" s="265">
        <v>5</v>
      </c>
      <c r="K36" s="265">
        <v>11</v>
      </c>
      <c r="L36" s="268">
        <f t="shared" si="6"/>
        <v>618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s="265">
        <v>0</v>
      </c>
      <c r="V36" s="280">
        <f t="shared" si="7"/>
        <v>0</v>
      </c>
      <c r="W36" s="474"/>
      <c r="X36" s="375"/>
      <c r="Z36" s="278">
        <f t="shared" si="8"/>
        <v>618</v>
      </c>
      <c r="AA36" s="217">
        <f t="shared" si="5"/>
        <v>533</v>
      </c>
    </row>
    <row r="37" spans="1:27" s="109" customFormat="1" ht="14.4" thickBot="1" x14ac:dyDescent="0.3">
      <c r="A37" s="134"/>
      <c r="B37" s="159" t="s">
        <v>458</v>
      </c>
      <c r="C37" s="258">
        <f t="shared" ref="C37:AA37" si="9">SUM(C24:C36)</f>
        <v>9813</v>
      </c>
      <c r="D37" s="157">
        <f t="shared" si="9"/>
        <v>8142</v>
      </c>
      <c r="E37" s="157">
        <f t="shared" si="9"/>
        <v>4492</v>
      </c>
      <c r="F37" s="157">
        <f t="shared" si="9"/>
        <v>313</v>
      </c>
      <c r="G37" s="157">
        <f t="shared" si="9"/>
        <v>465</v>
      </c>
      <c r="H37" s="157">
        <f t="shared" si="9"/>
        <v>61</v>
      </c>
      <c r="I37" s="157">
        <f t="shared" si="9"/>
        <v>119</v>
      </c>
      <c r="J37" s="157">
        <f t="shared" si="9"/>
        <v>2342</v>
      </c>
      <c r="K37" s="259">
        <f t="shared" si="9"/>
        <v>296</v>
      </c>
      <c r="L37" s="401">
        <f t="shared" si="9"/>
        <v>26043</v>
      </c>
      <c r="M37" s="262">
        <f t="shared" si="9"/>
        <v>1917</v>
      </c>
      <c r="N37" s="158">
        <f t="shared" si="9"/>
        <v>5167</v>
      </c>
      <c r="O37" s="158">
        <f t="shared" si="9"/>
        <v>1214</v>
      </c>
      <c r="P37" s="191">
        <f t="shared" si="9"/>
        <v>124</v>
      </c>
      <c r="Q37" s="262">
        <f t="shared" si="9"/>
        <v>304</v>
      </c>
      <c r="R37" s="158">
        <f t="shared" si="9"/>
        <v>86</v>
      </c>
      <c r="S37" s="158">
        <f t="shared" si="9"/>
        <v>0</v>
      </c>
      <c r="T37" s="158">
        <f t="shared" si="9"/>
        <v>15</v>
      </c>
      <c r="U37" s="264">
        <f t="shared" si="9"/>
        <v>0</v>
      </c>
      <c r="V37" s="485">
        <f t="shared" si="9"/>
        <v>8827</v>
      </c>
      <c r="W37" s="476">
        <f t="shared" si="9"/>
        <v>4547</v>
      </c>
      <c r="X37" s="261">
        <f t="shared" si="9"/>
        <v>0</v>
      </c>
      <c r="Y37" s="210">
        <f>SUM(Y24:Y36)</f>
        <v>0</v>
      </c>
      <c r="Z37" s="210">
        <f t="shared" si="9"/>
        <v>39417</v>
      </c>
      <c r="AA37" s="276">
        <f t="shared" si="9"/>
        <v>25772</v>
      </c>
    </row>
    <row r="38" spans="1:27" x14ac:dyDescent="0.25">
      <c r="A38" s="136" t="s">
        <v>70</v>
      </c>
      <c r="B38" s="279" t="s">
        <v>313</v>
      </c>
      <c r="C38" s="280">
        <v>764</v>
      </c>
      <c r="D38" s="280">
        <v>1195</v>
      </c>
      <c r="E38" s="280">
        <v>298</v>
      </c>
      <c r="F38" s="280">
        <v>15</v>
      </c>
      <c r="G38" s="280">
        <v>52</v>
      </c>
      <c r="H38" s="280">
        <v>0</v>
      </c>
      <c r="I38" s="280">
        <v>0</v>
      </c>
      <c r="J38" s="280">
        <v>114</v>
      </c>
      <c r="K38" s="280">
        <v>140</v>
      </c>
      <c r="L38" s="286">
        <f t="shared" ref="L38:L54" si="10">SUM(C38:K38)</f>
        <v>2578</v>
      </c>
      <c r="M38" s="280">
        <v>899</v>
      </c>
      <c r="N38" s="280">
        <v>1387</v>
      </c>
      <c r="O38" s="280">
        <v>427</v>
      </c>
      <c r="P38" s="280">
        <v>26</v>
      </c>
      <c r="Q38" s="280">
        <v>86</v>
      </c>
      <c r="R38" s="280">
        <v>29</v>
      </c>
      <c r="S38" s="280">
        <v>0</v>
      </c>
      <c r="T38" s="280">
        <v>30</v>
      </c>
      <c r="U38" s="280">
        <v>7</v>
      </c>
      <c r="V38" s="230">
        <f>SUM(M38:U38)</f>
        <v>2891</v>
      </c>
      <c r="W38" s="475">
        <v>484</v>
      </c>
      <c r="X38" s="240"/>
      <c r="Y38" s="240"/>
      <c r="Z38" s="281">
        <f>L38+V38+W38+X38+Y38</f>
        <v>5953</v>
      </c>
      <c r="AA38" s="218">
        <f t="shared" ref="AA38:AA54" si="11">C38+D38+F38+K38+M38+N38+P38+U38</f>
        <v>4433</v>
      </c>
    </row>
    <row r="39" spans="1:27" x14ac:dyDescent="0.25">
      <c r="A39" s="136" t="s">
        <v>75</v>
      </c>
      <c r="B39" s="137" t="s">
        <v>336</v>
      </c>
      <c r="C39" s="230">
        <v>645</v>
      </c>
      <c r="D39" s="230">
        <v>1025</v>
      </c>
      <c r="E39" s="230">
        <v>330</v>
      </c>
      <c r="F39" s="230">
        <v>37</v>
      </c>
      <c r="G39" s="230">
        <v>55</v>
      </c>
      <c r="H39" s="230">
        <v>0</v>
      </c>
      <c r="I39" s="230">
        <v>0</v>
      </c>
      <c r="J39" s="230">
        <v>121</v>
      </c>
      <c r="K39" s="230">
        <v>0</v>
      </c>
      <c r="L39" s="241">
        <f t="shared" si="10"/>
        <v>2213</v>
      </c>
      <c r="M39" s="230">
        <v>236</v>
      </c>
      <c r="N39" s="230">
        <v>1151</v>
      </c>
      <c r="O39" s="230">
        <v>265</v>
      </c>
      <c r="P39" s="230">
        <v>49</v>
      </c>
      <c r="Q39" s="230">
        <v>20</v>
      </c>
      <c r="R39" s="230">
        <v>0</v>
      </c>
      <c r="S39" s="230">
        <v>0</v>
      </c>
      <c r="T39" s="230">
        <v>1</v>
      </c>
      <c r="U39" s="230">
        <v>0</v>
      </c>
      <c r="V39" s="230">
        <f t="shared" ref="V39:V54" si="12">SUM(M39:U39)</f>
        <v>1722</v>
      </c>
      <c r="W39" s="472">
        <v>705</v>
      </c>
      <c r="X39" s="233"/>
      <c r="Y39" s="233"/>
      <c r="Z39" s="247">
        <f t="shared" ref="Z39:Z54" si="13">L39+V39+W39+X39+Y39</f>
        <v>4640</v>
      </c>
      <c r="AA39" s="215">
        <f t="shared" si="11"/>
        <v>3143</v>
      </c>
    </row>
    <row r="40" spans="1:27" x14ac:dyDescent="0.25">
      <c r="A40" s="136" t="s">
        <v>78</v>
      </c>
      <c r="B40" s="137" t="s">
        <v>314</v>
      </c>
      <c r="C40" s="230">
        <v>265</v>
      </c>
      <c r="D40" s="230">
        <v>476</v>
      </c>
      <c r="E40" s="230">
        <v>92</v>
      </c>
      <c r="F40" s="230">
        <v>10</v>
      </c>
      <c r="G40" s="230">
        <v>14</v>
      </c>
      <c r="H40" s="230">
        <v>0</v>
      </c>
      <c r="I40" s="230">
        <v>0</v>
      </c>
      <c r="J40" s="230">
        <v>71</v>
      </c>
      <c r="K40" s="230">
        <v>36</v>
      </c>
      <c r="L40" s="241">
        <f t="shared" si="10"/>
        <v>964</v>
      </c>
      <c r="M40" s="230">
        <v>459</v>
      </c>
      <c r="N40" s="230">
        <v>558</v>
      </c>
      <c r="O40" s="230">
        <v>309</v>
      </c>
      <c r="P40" s="230">
        <v>14</v>
      </c>
      <c r="Q40" s="230">
        <v>9</v>
      </c>
      <c r="R40" s="230">
        <v>22</v>
      </c>
      <c r="S40" s="230">
        <v>0</v>
      </c>
      <c r="T40" s="230">
        <v>4</v>
      </c>
      <c r="U40" s="230">
        <v>0</v>
      </c>
      <c r="V40" s="230">
        <f t="shared" si="12"/>
        <v>1375</v>
      </c>
      <c r="W40" s="472">
        <v>924</v>
      </c>
      <c r="X40" s="233"/>
      <c r="Y40" s="233"/>
      <c r="Z40" s="247">
        <f t="shared" si="13"/>
        <v>3263</v>
      </c>
      <c r="AA40" s="215">
        <f t="shared" si="11"/>
        <v>1818</v>
      </c>
    </row>
    <row r="41" spans="1:27" x14ac:dyDescent="0.25">
      <c r="A41" s="136" t="s">
        <v>88</v>
      </c>
      <c r="B41" s="137" t="s">
        <v>337</v>
      </c>
      <c r="C41" s="230">
        <v>567</v>
      </c>
      <c r="D41" s="230">
        <v>263</v>
      </c>
      <c r="E41" s="230">
        <v>125</v>
      </c>
      <c r="F41" s="230">
        <v>17</v>
      </c>
      <c r="G41" s="230">
        <v>12</v>
      </c>
      <c r="H41" s="230">
        <v>0</v>
      </c>
      <c r="I41" s="230">
        <v>0</v>
      </c>
      <c r="J41" s="230">
        <v>4</v>
      </c>
      <c r="K41" s="230">
        <v>0</v>
      </c>
      <c r="L41" s="241">
        <f t="shared" si="10"/>
        <v>988</v>
      </c>
      <c r="M41" s="230">
        <v>611</v>
      </c>
      <c r="N41" s="230">
        <v>267</v>
      </c>
      <c r="O41" s="230">
        <v>127</v>
      </c>
      <c r="P41" s="230">
        <v>0</v>
      </c>
      <c r="Q41" s="230">
        <v>2</v>
      </c>
      <c r="R41" s="230">
        <v>48</v>
      </c>
      <c r="S41" s="230">
        <v>0</v>
      </c>
      <c r="T41" s="230">
        <v>0</v>
      </c>
      <c r="U41" s="230">
        <v>0</v>
      </c>
      <c r="V41" s="230">
        <f t="shared" si="12"/>
        <v>1055</v>
      </c>
      <c r="W41" s="472">
        <v>880</v>
      </c>
      <c r="X41" s="233"/>
      <c r="Y41" s="233"/>
      <c r="Z41" s="247">
        <f t="shared" si="13"/>
        <v>2923</v>
      </c>
      <c r="AA41" s="215">
        <f t="shared" si="11"/>
        <v>1725</v>
      </c>
    </row>
    <row r="42" spans="1:27" x14ac:dyDescent="0.25">
      <c r="A42" s="136" t="s">
        <v>99</v>
      </c>
      <c r="B42" s="137" t="s">
        <v>338</v>
      </c>
      <c r="C42" s="230">
        <v>11964</v>
      </c>
      <c r="D42" s="230">
        <v>2661</v>
      </c>
      <c r="E42" s="230">
        <v>2552</v>
      </c>
      <c r="F42" s="230">
        <v>130</v>
      </c>
      <c r="G42" s="230">
        <v>118</v>
      </c>
      <c r="H42" s="230">
        <v>188</v>
      </c>
      <c r="I42" s="230">
        <v>396</v>
      </c>
      <c r="J42" s="230">
        <v>126</v>
      </c>
      <c r="K42" s="230">
        <v>0</v>
      </c>
      <c r="L42" s="241">
        <f t="shared" si="10"/>
        <v>18135</v>
      </c>
      <c r="M42" s="230">
        <v>897</v>
      </c>
      <c r="N42" s="230">
        <v>501</v>
      </c>
      <c r="O42" s="230">
        <v>341</v>
      </c>
      <c r="P42" s="230">
        <v>8</v>
      </c>
      <c r="Q42" s="230">
        <v>12</v>
      </c>
      <c r="R42" s="230">
        <v>161</v>
      </c>
      <c r="S42" s="230">
        <v>0</v>
      </c>
      <c r="T42" s="230">
        <v>0</v>
      </c>
      <c r="U42" s="230">
        <v>0</v>
      </c>
      <c r="V42" s="230">
        <f t="shared" si="12"/>
        <v>1920</v>
      </c>
      <c r="W42" s="472">
        <v>1057</v>
      </c>
      <c r="X42" s="245"/>
      <c r="Y42" s="233"/>
      <c r="Z42" s="247">
        <f t="shared" si="13"/>
        <v>21112</v>
      </c>
      <c r="AA42" s="215">
        <f t="shared" si="11"/>
        <v>16161</v>
      </c>
    </row>
    <row r="43" spans="1:27" x14ac:dyDescent="0.25">
      <c r="A43" s="136" t="s">
        <v>113</v>
      </c>
      <c r="B43" s="137" t="s">
        <v>339</v>
      </c>
      <c r="C43" s="230">
        <v>930</v>
      </c>
      <c r="D43" s="230">
        <v>637</v>
      </c>
      <c r="E43" s="230">
        <v>305</v>
      </c>
      <c r="F43" s="230">
        <v>32</v>
      </c>
      <c r="G43" s="230">
        <v>24</v>
      </c>
      <c r="H43" s="230">
        <v>0</v>
      </c>
      <c r="I43" s="230">
        <v>13</v>
      </c>
      <c r="J43" s="230">
        <v>140</v>
      </c>
      <c r="K43" s="230">
        <v>0</v>
      </c>
      <c r="L43" s="241">
        <f t="shared" si="10"/>
        <v>2081</v>
      </c>
      <c r="M43" s="230">
        <v>1877</v>
      </c>
      <c r="N43" s="230">
        <v>2512</v>
      </c>
      <c r="O43" s="230">
        <v>990</v>
      </c>
      <c r="P43" s="230">
        <v>60</v>
      </c>
      <c r="Q43" s="230">
        <v>89</v>
      </c>
      <c r="R43" s="230">
        <v>0</v>
      </c>
      <c r="S43" s="230">
        <v>0</v>
      </c>
      <c r="T43" s="230">
        <v>23</v>
      </c>
      <c r="U43" s="230">
        <v>0</v>
      </c>
      <c r="V43" s="230">
        <f t="shared" si="12"/>
        <v>5551</v>
      </c>
      <c r="W43" s="472">
        <v>260</v>
      </c>
      <c r="X43" s="233"/>
      <c r="Y43" s="233"/>
      <c r="Z43" s="247">
        <f t="shared" si="13"/>
        <v>7892</v>
      </c>
      <c r="AA43" s="215">
        <f t="shared" si="11"/>
        <v>6048</v>
      </c>
    </row>
    <row r="44" spans="1:27" x14ac:dyDescent="0.25">
      <c r="A44" s="136" t="s">
        <v>116</v>
      </c>
      <c r="B44" s="137" t="s">
        <v>316</v>
      </c>
      <c r="C44" s="230">
        <v>1553</v>
      </c>
      <c r="D44" s="230">
        <v>1529</v>
      </c>
      <c r="E44" s="230">
        <v>637</v>
      </c>
      <c r="F44" s="230">
        <v>42</v>
      </c>
      <c r="G44" s="230">
        <v>121</v>
      </c>
      <c r="H44" s="230">
        <v>3</v>
      </c>
      <c r="I44" s="230">
        <v>0</v>
      </c>
      <c r="J44" s="230">
        <v>58</v>
      </c>
      <c r="K44" s="230">
        <v>174</v>
      </c>
      <c r="L44" s="241">
        <f t="shared" si="10"/>
        <v>4117</v>
      </c>
      <c r="M44" s="230">
        <v>161</v>
      </c>
      <c r="N44" s="230">
        <v>144</v>
      </c>
      <c r="O44" s="230">
        <v>68</v>
      </c>
      <c r="P44" s="230">
        <v>0</v>
      </c>
      <c r="Q44" s="230">
        <v>4</v>
      </c>
      <c r="R44" s="230">
        <v>30</v>
      </c>
      <c r="S44" s="230">
        <v>0</v>
      </c>
      <c r="T44" s="230">
        <v>2</v>
      </c>
      <c r="U44" s="230">
        <v>27</v>
      </c>
      <c r="V44" s="230">
        <f t="shared" si="12"/>
        <v>436</v>
      </c>
      <c r="W44" s="472">
        <v>426</v>
      </c>
      <c r="X44" s="233"/>
      <c r="Y44" s="233"/>
      <c r="Z44" s="247">
        <f t="shared" si="13"/>
        <v>4979</v>
      </c>
      <c r="AA44" s="215">
        <f t="shared" si="11"/>
        <v>3630</v>
      </c>
    </row>
    <row r="45" spans="1:27" x14ac:dyDescent="0.25">
      <c r="A45" s="136" t="s">
        <v>117</v>
      </c>
      <c r="B45" s="137" t="s">
        <v>317</v>
      </c>
      <c r="C45" s="230">
        <v>935</v>
      </c>
      <c r="D45" s="230">
        <v>950</v>
      </c>
      <c r="E45" s="230">
        <v>478</v>
      </c>
      <c r="F45" s="230">
        <v>54</v>
      </c>
      <c r="G45" s="230">
        <v>54</v>
      </c>
      <c r="H45" s="230">
        <v>0</v>
      </c>
      <c r="I45" s="230">
        <v>99</v>
      </c>
      <c r="J45" s="230">
        <v>189</v>
      </c>
      <c r="K45" s="230">
        <v>0</v>
      </c>
      <c r="L45" s="241">
        <f t="shared" si="10"/>
        <v>2759</v>
      </c>
      <c r="M45" s="230">
        <v>390</v>
      </c>
      <c r="N45" s="230">
        <v>1276</v>
      </c>
      <c r="O45" s="230">
        <v>334</v>
      </c>
      <c r="P45" s="230">
        <v>23</v>
      </c>
      <c r="Q45" s="230">
        <v>51</v>
      </c>
      <c r="R45" s="230">
        <v>32</v>
      </c>
      <c r="S45" s="230">
        <v>0</v>
      </c>
      <c r="T45" s="230">
        <v>0</v>
      </c>
      <c r="U45" s="230">
        <v>0</v>
      </c>
      <c r="V45" s="230">
        <f t="shared" si="12"/>
        <v>2106</v>
      </c>
      <c r="W45" s="472">
        <v>714</v>
      </c>
      <c r="X45" s="233"/>
      <c r="Y45" s="233"/>
      <c r="Z45" s="247">
        <f t="shared" si="13"/>
        <v>5579</v>
      </c>
      <c r="AA45" s="215">
        <f t="shared" si="11"/>
        <v>3628</v>
      </c>
    </row>
    <row r="46" spans="1:27" x14ac:dyDescent="0.25">
      <c r="A46" s="136" t="s">
        <v>118</v>
      </c>
      <c r="B46" s="137" t="s">
        <v>340</v>
      </c>
      <c r="C46" s="230">
        <v>271</v>
      </c>
      <c r="D46" s="230">
        <v>509</v>
      </c>
      <c r="E46" s="230">
        <v>86</v>
      </c>
      <c r="F46" s="230">
        <v>22</v>
      </c>
      <c r="G46" s="230">
        <v>7</v>
      </c>
      <c r="H46" s="230">
        <v>0</v>
      </c>
      <c r="I46" s="230">
        <v>0</v>
      </c>
      <c r="J46" s="230">
        <v>58</v>
      </c>
      <c r="K46" s="230">
        <v>0</v>
      </c>
      <c r="L46" s="241">
        <f t="shared" si="10"/>
        <v>953</v>
      </c>
      <c r="M46" s="230">
        <v>147</v>
      </c>
      <c r="N46" s="230">
        <v>210</v>
      </c>
      <c r="O46" s="230">
        <v>59</v>
      </c>
      <c r="P46" s="230">
        <v>4</v>
      </c>
      <c r="Q46" s="230">
        <v>0</v>
      </c>
      <c r="R46" s="230">
        <v>0</v>
      </c>
      <c r="S46" s="230">
        <v>0</v>
      </c>
      <c r="T46" s="230">
        <v>4</v>
      </c>
      <c r="U46" s="230">
        <v>0</v>
      </c>
      <c r="V46" s="230">
        <f t="shared" si="12"/>
        <v>424</v>
      </c>
      <c r="W46" s="472">
        <v>130</v>
      </c>
      <c r="X46" s="245"/>
      <c r="Y46" s="245"/>
      <c r="Z46" s="247">
        <f t="shared" si="13"/>
        <v>1507</v>
      </c>
      <c r="AA46" s="215">
        <f t="shared" si="11"/>
        <v>1163</v>
      </c>
    </row>
    <row r="47" spans="1:27" x14ac:dyDescent="0.25">
      <c r="A47" s="136" t="s">
        <v>122</v>
      </c>
      <c r="B47" s="137" t="s">
        <v>341</v>
      </c>
      <c r="C47" s="230">
        <v>924</v>
      </c>
      <c r="D47" s="230">
        <v>880</v>
      </c>
      <c r="E47" s="230">
        <v>297</v>
      </c>
      <c r="F47" s="230">
        <v>36</v>
      </c>
      <c r="G47" s="230">
        <v>64</v>
      </c>
      <c r="H47" s="230">
        <v>0</v>
      </c>
      <c r="I47" s="230">
        <v>0</v>
      </c>
      <c r="J47" s="230">
        <v>369</v>
      </c>
      <c r="K47" s="230">
        <v>0</v>
      </c>
      <c r="L47" s="241">
        <f t="shared" si="10"/>
        <v>2570</v>
      </c>
      <c r="M47" s="230">
        <v>2120</v>
      </c>
      <c r="N47" s="230">
        <v>2532</v>
      </c>
      <c r="O47" s="230">
        <v>893</v>
      </c>
      <c r="P47" s="230">
        <v>61</v>
      </c>
      <c r="Q47" s="230">
        <v>93</v>
      </c>
      <c r="R47" s="230">
        <v>78</v>
      </c>
      <c r="S47" s="230">
        <v>0</v>
      </c>
      <c r="T47" s="230">
        <v>27</v>
      </c>
      <c r="U47" s="230">
        <v>0</v>
      </c>
      <c r="V47" s="230">
        <f t="shared" si="12"/>
        <v>5804</v>
      </c>
      <c r="W47" s="472">
        <v>222</v>
      </c>
      <c r="X47" s="233"/>
      <c r="Y47" s="233"/>
      <c r="Z47" s="247">
        <f t="shared" si="13"/>
        <v>8596</v>
      </c>
      <c r="AA47" s="215">
        <f t="shared" si="11"/>
        <v>6553</v>
      </c>
    </row>
    <row r="48" spans="1:27" ht="17.25" customHeight="1" x14ac:dyDescent="0.25">
      <c r="A48" s="136" t="s">
        <v>140</v>
      </c>
      <c r="B48" s="137" t="s">
        <v>265</v>
      </c>
      <c r="C48" s="230"/>
      <c r="D48" s="128"/>
      <c r="E48" s="128"/>
      <c r="F48" s="128"/>
      <c r="G48" s="128"/>
      <c r="H48" s="128"/>
      <c r="I48" s="128"/>
      <c r="J48" s="128"/>
      <c r="K48" s="128"/>
      <c r="L48" s="241">
        <f t="shared" si="10"/>
        <v>0</v>
      </c>
      <c r="M48" s="147"/>
      <c r="N48" s="147"/>
      <c r="O48" s="147"/>
      <c r="P48" s="147"/>
      <c r="Q48" s="147"/>
      <c r="R48" s="147"/>
      <c r="S48" s="147"/>
      <c r="T48" s="147"/>
      <c r="U48" s="147"/>
      <c r="V48" s="230">
        <f t="shared" si="12"/>
        <v>0</v>
      </c>
      <c r="W48" s="471"/>
      <c r="X48" s="245"/>
      <c r="Y48" s="248"/>
      <c r="Z48" s="247">
        <f t="shared" si="13"/>
        <v>0</v>
      </c>
      <c r="AA48" s="215">
        <f t="shared" si="11"/>
        <v>0</v>
      </c>
    </row>
    <row r="49" spans="1:28" x14ac:dyDescent="0.25">
      <c r="A49" s="136" t="s">
        <v>141</v>
      </c>
      <c r="B49" s="137" t="s">
        <v>342</v>
      </c>
      <c r="C49" s="230">
        <v>2299</v>
      </c>
      <c r="D49" s="230">
        <v>1057</v>
      </c>
      <c r="E49" s="230">
        <v>556</v>
      </c>
      <c r="F49" s="230">
        <v>111</v>
      </c>
      <c r="G49" s="230">
        <v>56</v>
      </c>
      <c r="H49" s="230">
        <v>10</v>
      </c>
      <c r="I49" s="230">
        <v>58</v>
      </c>
      <c r="J49" s="230">
        <v>91</v>
      </c>
      <c r="K49" s="230">
        <v>0</v>
      </c>
      <c r="L49" s="269">
        <f>SUM(C49:K49)</f>
        <v>4238</v>
      </c>
      <c r="M49" s="230">
        <v>572</v>
      </c>
      <c r="N49" s="230">
        <v>969</v>
      </c>
      <c r="O49" s="230">
        <v>280</v>
      </c>
      <c r="P49" s="230">
        <v>24</v>
      </c>
      <c r="Q49" s="230">
        <v>12</v>
      </c>
      <c r="R49" s="230">
        <v>157</v>
      </c>
      <c r="S49" s="230">
        <v>0</v>
      </c>
      <c r="T49" s="230">
        <v>0</v>
      </c>
      <c r="U49" s="230">
        <v>0</v>
      </c>
      <c r="V49" s="230">
        <f t="shared" si="12"/>
        <v>2014</v>
      </c>
      <c r="W49" s="230">
        <v>636</v>
      </c>
      <c r="X49" s="233"/>
      <c r="Y49" s="248"/>
      <c r="Z49" s="247">
        <f t="shared" si="13"/>
        <v>6888</v>
      </c>
      <c r="AA49" s="215">
        <f t="shared" si="11"/>
        <v>5032</v>
      </c>
    </row>
    <row r="50" spans="1:28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726</v>
      </c>
      <c r="F50" s="230">
        <v>0</v>
      </c>
      <c r="G50" s="230">
        <v>0</v>
      </c>
      <c r="H50" s="230">
        <v>0</v>
      </c>
      <c r="I50" s="230">
        <v>0</v>
      </c>
      <c r="J50" s="230">
        <v>7164</v>
      </c>
      <c r="K50" s="230">
        <v>0</v>
      </c>
      <c r="L50" s="241">
        <f t="shared" si="10"/>
        <v>7890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230">
        <v>0</v>
      </c>
      <c r="V50" s="230">
        <f t="shared" si="12"/>
        <v>0</v>
      </c>
      <c r="W50" s="230">
        <f>96+120</f>
        <v>216</v>
      </c>
      <c r="X50" s="233"/>
      <c r="Y50" s="248"/>
      <c r="Z50" s="247">
        <f t="shared" si="13"/>
        <v>8106</v>
      </c>
      <c r="AA50" s="215">
        <f t="shared" si="11"/>
        <v>0</v>
      </c>
    </row>
    <row r="51" spans="1:28" x14ac:dyDescent="0.25">
      <c r="A51" s="136" t="s">
        <v>147</v>
      </c>
      <c r="B51" s="137" t="s">
        <v>322</v>
      </c>
      <c r="C51" s="230">
        <v>5011</v>
      </c>
      <c r="D51" s="230">
        <v>2216</v>
      </c>
      <c r="E51" s="230">
        <v>1010</v>
      </c>
      <c r="F51" s="230">
        <v>56</v>
      </c>
      <c r="G51" s="230">
        <v>66</v>
      </c>
      <c r="H51" s="230">
        <v>2</v>
      </c>
      <c r="I51" s="230">
        <v>224</v>
      </c>
      <c r="J51" s="230">
        <v>624</v>
      </c>
      <c r="K51" s="230">
        <v>0</v>
      </c>
      <c r="L51" s="241">
        <f t="shared" si="10"/>
        <v>9209</v>
      </c>
      <c r="M51" s="230">
        <v>1034</v>
      </c>
      <c r="N51" s="230">
        <v>2329</v>
      </c>
      <c r="O51" s="230">
        <v>558</v>
      </c>
      <c r="P51" s="230">
        <v>20</v>
      </c>
      <c r="Q51" s="230">
        <v>129</v>
      </c>
      <c r="R51" s="230">
        <v>43</v>
      </c>
      <c r="S51" s="230">
        <v>0</v>
      </c>
      <c r="T51" s="230">
        <v>6</v>
      </c>
      <c r="U51" s="230">
        <v>0</v>
      </c>
      <c r="V51" s="230">
        <f t="shared" si="12"/>
        <v>4119</v>
      </c>
      <c r="W51" s="230">
        <v>965</v>
      </c>
      <c r="X51" s="233"/>
      <c r="Y51" s="248"/>
      <c r="Z51" s="247">
        <f t="shared" si="13"/>
        <v>14293</v>
      </c>
      <c r="AA51" s="215">
        <f t="shared" si="11"/>
        <v>10666</v>
      </c>
    </row>
    <row r="52" spans="1:28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/>
      <c r="K52" s="128"/>
      <c r="L52" s="241">
        <f t="shared" si="10"/>
        <v>0</v>
      </c>
      <c r="M52" s="147"/>
      <c r="N52" s="147"/>
      <c r="O52" s="147"/>
      <c r="P52" s="147"/>
      <c r="Q52" s="147"/>
      <c r="R52" s="147"/>
      <c r="S52" s="147"/>
      <c r="T52" s="147"/>
      <c r="U52" s="147"/>
      <c r="V52" s="230">
        <f t="shared" si="12"/>
        <v>0</v>
      </c>
      <c r="W52" s="471"/>
      <c r="X52" s="245"/>
      <c r="Y52" s="248"/>
      <c r="Z52" s="247">
        <f t="shared" si="13"/>
        <v>0</v>
      </c>
      <c r="AA52" s="215">
        <f t="shared" si="11"/>
        <v>0</v>
      </c>
    </row>
    <row r="53" spans="1:28" x14ac:dyDescent="0.25">
      <c r="A53" s="136" t="s">
        <v>174</v>
      </c>
      <c r="B53" s="137" t="s">
        <v>344</v>
      </c>
      <c r="C53" s="230">
        <v>3484</v>
      </c>
      <c r="D53" s="230">
        <v>1970</v>
      </c>
      <c r="E53" s="230">
        <v>859</v>
      </c>
      <c r="F53" s="230">
        <v>65</v>
      </c>
      <c r="G53" s="230">
        <v>41</v>
      </c>
      <c r="H53" s="230">
        <v>11</v>
      </c>
      <c r="I53" s="230">
        <v>19</v>
      </c>
      <c r="J53" s="230">
        <v>174</v>
      </c>
      <c r="K53" s="230">
        <v>0</v>
      </c>
      <c r="L53" s="241">
        <f t="shared" si="10"/>
        <v>6623</v>
      </c>
      <c r="M53" s="230">
        <v>758</v>
      </c>
      <c r="N53" s="230">
        <v>687</v>
      </c>
      <c r="O53" s="230">
        <v>475</v>
      </c>
      <c r="P53" s="230">
        <v>23</v>
      </c>
      <c r="Q53" s="230">
        <v>64</v>
      </c>
      <c r="R53" s="230">
        <v>14</v>
      </c>
      <c r="S53" s="230">
        <v>0</v>
      </c>
      <c r="T53" s="230">
        <v>2</v>
      </c>
      <c r="U53" s="230">
        <v>0</v>
      </c>
      <c r="V53" s="230">
        <f t="shared" si="12"/>
        <v>2023</v>
      </c>
      <c r="W53" s="472">
        <v>884</v>
      </c>
      <c r="X53" s="233"/>
      <c r="Y53" s="204"/>
      <c r="Z53" s="247">
        <f t="shared" si="13"/>
        <v>9530</v>
      </c>
      <c r="AA53" s="215">
        <f t="shared" si="11"/>
        <v>6987</v>
      </c>
    </row>
    <row r="54" spans="1:28" ht="13.8" thickBot="1" x14ac:dyDescent="0.3">
      <c r="A54" s="351" t="s">
        <v>186</v>
      </c>
      <c r="B54" s="143" t="s">
        <v>345</v>
      </c>
      <c r="C54" s="265">
        <v>127</v>
      </c>
      <c r="D54" s="265">
        <v>216</v>
      </c>
      <c r="E54" s="265">
        <v>42</v>
      </c>
      <c r="F54" s="265">
        <v>13</v>
      </c>
      <c r="G54" s="265">
        <v>8</v>
      </c>
      <c r="H54" s="265">
        <v>11</v>
      </c>
      <c r="I54" s="265">
        <v>238</v>
      </c>
      <c r="J54" s="265">
        <v>88</v>
      </c>
      <c r="K54" s="265">
        <v>0</v>
      </c>
      <c r="L54" s="268">
        <f t="shared" si="10"/>
        <v>743</v>
      </c>
      <c r="M54" s="265">
        <v>314</v>
      </c>
      <c r="N54" s="265">
        <v>639</v>
      </c>
      <c r="O54" s="265">
        <v>152</v>
      </c>
      <c r="P54" s="265">
        <v>3</v>
      </c>
      <c r="Q54" s="265">
        <v>22</v>
      </c>
      <c r="R54" s="265">
        <v>0</v>
      </c>
      <c r="S54" s="265">
        <v>0</v>
      </c>
      <c r="T54" s="265">
        <v>34</v>
      </c>
      <c r="U54" s="265">
        <v>0</v>
      </c>
      <c r="V54" s="230">
        <f t="shared" si="12"/>
        <v>1164</v>
      </c>
      <c r="W54" s="473">
        <v>205</v>
      </c>
      <c r="X54" s="235"/>
      <c r="Y54" s="209"/>
      <c r="Z54" s="278">
        <f t="shared" si="13"/>
        <v>2112</v>
      </c>
      <c r="AA54" s="217">
        <f t="shared" si="11"/>
        <v>1312</v>
      </c>
    </row>
    <row r="55" spans="1:28" s="109" customFormat="1" ht="14.4" thickBot="1" x14ac:dyDescent="0.3">
      <c r="A55" s="134"/>
      <c r="B55" s="159" t="s">
        <v>459</v>
      </c>
      <c r="C55" s="258">
        <f t="shared" ref="C55:AA55" si="14">SUM(C38:C54)</f>
        <v>29739</v>
      </c>
      <c r="D55" s="157">
        <f t="shared" si="14"/>
        <v>15584</v>
      </c>
      <c r="E55" s="157">
        <f t="shared" si="14"/>
        <v>8393</v>
      </c>
      <c r="F55" s="157">
        <f t="shared" si="14"/>
        <v>640</v>
      </c>
      <c r="G55" s="157">
        <f t="shared" si="14"/>
        <v>692</v>
      </c>
      <c r="H55" s="157">
        <f t="shared" si="14"/>
        <v>225</v>
      </c>
      <c r="I55" s="157">
        <f t="shared" si="14"/>
        <v>1047</v>
      </c>
      <c r="J55" s="166">
        <f t="shared" si="14"/>
        <v>9391</v>
      </c>
      <c r="K55" s="365">
        <f t="shared" si="14"/>
        <v>350</v>
      </c>
      <c r="L55" s="260">
        <f t="shared" si="14"/>
        <v>66061</v>
      </c>
      <c r="M55" s="263">
        <f t="shared" si="14"/>
        <v>10475</v>
      </c>
      <c r="N55" s="363">
        <f t="shared" si="14"/>
        <v>15162</v>
      </c>
      <c r="O55" s="158">
        <f t="shared" si="14"/>
        <v>5278</v>
      </c>
      <c r="P55" s="191">
        <f t="shared" si="14"/>
        <v>315</v>
      </c>
      <c r="Q55" s="262">
        <f t="shared" si="14"/>
        <v>593</v>
      </c>
      <c r="R55" s="158">
        <f t="shared" si="14"/>
        <v>614</v>
      </c>
      <c r="S55" s="158">
        <f t="shared" si="14"/>
        <v>0</v>
      </c>
      <c r="T55" s="264">
        <f t="shared" si="14"/>
        <v>133</v>
      </c>
      <c r="U55" s="401">
        <f t="shared" si="14"/>
        <v>34</v>
      </c>
      <c r="V55" s="501">
        <f t="shared" si="14"/>
        <v>32604</v>
      </c>
      <c r="W55" s="388">
        <f t="shared" si="14"/>
        <v>8708</v>
      </c>
      <c r="X55" s="261">
        <f t="shared" si="14"/>
        <v>0</v>
      </c>
      <c r="Y55" s="210">
        <f>SUM(Y38:Y54)</f>
        <v>0</v>
      </c>
      <c r="Z55" s="210">
        <f t="shared" si="14"/>
        <v>107373</v>
      </c>
      <c r="AA55" s="276">
        <f t="shared" si="14"/>
        <v>72299</v>
      </c>
    </row>
    <row r="56" spans="1:28" x14ac:dyDescent="0.25">
      <c r="A56" s="352" t="s">
        <v>71</v>
      </c>
      <c r="B56" s="279" t="s">
        <v>305</v>
      </c>
      <c r="C56" s="280">
        <v>1</v>
      </c>
      <c r="D56" s="280">
        <v>0</v>
      </c>
      <c r="E56" s="280">
        <v>0</v>
      </c>
      <c r="F56" s="280">
        <v>0</v>
      </c>
      <c r="G56" s="280">
        <v>0</v>
      </c>
      <c r="H56" s="280">
        <v>0</v>
      </c>
      <c r="I56" s="280">
        <v>0</v>
      </c>
      <c r="J56" s="280">
        <v>2617</v>
      </c>
      <c r="K56" s="280">
        <v>0</v>
      </c>
      <c r="L56" s="234">
        <f t="shared" ref="L56:L71" si="15">SUM(C56:K56)</f>
        <v>2618</v>
      </c>
      <c r="M56" s="280">
        <v>0</v>
      </c>
      <c r="N56" s="280">
        <v>0</v>
      </c>
      <c r="O56" s="280">
        <v>0</v>
      </c>
      <c r="P56" s="280">
        <v>0</v>
      </c>
      <c r="Q56" s="280">
        <v>0</v>
      </c>
      <c r="R56" s="280">
        <v>0</v>
      </c>
      <c r="S56" s="280">
        <v>0</v>
      </c>
      <c r="T56" s="280">
        <v>0</v>
      </c>
      <c r="U56" s="280">
        <v>0</v>
      </c>
      <c r="V56" s="280">
        <f>SUM(M56:U56)</f>
        <v>0</v>
      </c>
      <c r="W56" s="354">
        <f>16824+1897+6819</f>
        <v>25540</v>
      </c>
      <c r="X56" s="237"/>
      <c r="Y56" s="211"/>
      <c r="Z56" s="281">
        <f>L56+V56+W56+X56+Y56</f>
        <v>28158</v>
      </c>
      <c r="AA56" s="218">
        <f t="shared" ref="AA56:AA57" si="16">C56+D56+F56+K56+M56+N56+P56+U56</f>
        <v>1</v>
      </c>
      <c r="AB56" s="367"/>
    </row>
    <row r="57" spans="1:28" x14ac:dyDescent="0.25">
      <c r="A57" s="136" t="s">
        <v>77</v>
      </c>
      <c r="B57" s="137" t="s">
        <v>306</v>
      </c>
      <c r="C57" s="230">
        <v>4919</v>
      </c>
      <c r="D57" s="230">
        <v>3401</v>
      </c>
      <c r="E57" s="230">
        <v>1813</v>
      </c>
      <c r="F57" s="230">
        <v>165</v>
      </c>
      <c r="G57" s="230">
        <v>63</v>
      </c>
      <c r="H57" s="230">
        <v>0</v>
      </c>
      <c r="I57" s="230">
        <v>167</v>
      </c>
      <c r="J57" s="230">
        <v>691</v>
      </c>
      <c r="K57" s="230">
        <v>0</v>
      </c>
      <c r="L57" s="232">
        <f t="shared" si="15"/>
        <v>11219</v>
      </c>
      <c r="M57" s="230">
        <v>734</v>
      </c>
      <c r="N57" s="230">
        <v>1511</v>
      </c>
      <c r="O57" s="230">
        <v>716</v>
      </c>
      <c r="P57" s="230">
        <v>12</v>
      </c>
      <c r="Q57" s="230">
        <v>27</v>
      </c>
      <c r="R57" s="230">
        <v>120</v>
      </c>
      <c r="S57" s="230">
        <v>0</v>
      </c>
      <c r="T57" s="230">
        <v>39</v>
      </c>
      <c r="U57" s="230">
        <v>0</v>
      </c>
      <c r="V57" s="280">
        <f t="shared" ref="V57:V71" si="17">SUM(M57:U57)</f>
        <v>3159</v>
      </c>
      <c r="W57" s="321">
        <v>462</v>
      </c>
      <c r="X57" s="233"/>
      <c r="Y57" s="204"/>
      <c r="Z57" s="247">
        <f t="shared" ref="Z57" si="18">L57+V57+W57+X57+Y57</f>
        <v>14840</v>
      </c>
      <c r="AA57" s="215">
        <f t="shared" si="16"/>
        <v>10742</v>
      </c>
      <c r="AB57" s="368"/>
    </row>
    <row r="58" spans="1:28" x14ac:dyDescent="0.25">
      <c r="A58" s="136" t="s">
        <v>102</v>
      </c>
      <c r="B58" s="137" t="s">
        <v>315</v>
      </c>
      <c r="C58" s="230">
        <v>0</v>
      </c>
      <c r="D58" s="230">
        <v>0</v>
      </c>
      <c r="E58" s="230">
        <v>0</v>
      </c>
      <c r="F58" s="230">
        <v>0</v>
      </c>
      <c r="G58" s="230">
        <v>0</v>
      </c>
      <c r="H58" s="230">
        <v>0</v>
      </c>
      <c r="I58" s="230">
        <v>0</v>
      </c>
      <c r="J58" s="230">
        <v>75</v>
      </c>
      <c r="K58" s="230">
        <v>0</v>
      </c>
      <c r="L58" s="232">
        <f t="shared" si="15"/>
        <v>75</v>
      </c>
      <c r="M58" s="230">
        <v>0</v>
      </c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230">
        <v>0</v>
      </c>
      <c r="V58" s="280">
        <f t="shared" si="17"/>
        <v>0</v>
      </c>
      <c r="W58" s="251"/>
      <c r="X58" s="233"/>
      <c r="Y58" s="204"/>
      <c r="Z58" s="247">
        <f t="shared" ref="Z58:Z71" si="19">L58+V58+W58+X58+Y58</f>
        <v>75</v>
      </c>
      <c r="AA58" s="215">
        <f t="shared" ref="AA58:AA71" si="20">C58+D58+F58+K58+M58+N58+P58+U58</f>
        <v>0</v>
      </c>
      <c r="AB58" s="368"/>
    </row>
    <row r="59" spans="1:28" x14ac:dyDescent="0.25">
      <c r="A59" s="136" t="s">
        <v>103</v>
      </c>
      <c r="B59" s="137" t="s">
        <v>297</v>
      </c>
      <c r="C59" s="230">
        <v>103</v>
      </c>
      <c r="D59" s="230">
        <v>34</v>
      </c>
      <c r="E59" s="230">
        <v>36</v>
      </c>
      <c r="F59" s="230">
        <v>1</v>
      </c>
      <c r="G59" s="230">
        <v>3</v>
      </c>
      <c r="H59" s="230">
        <v>0</v>
      </c>
      <c r="I59" s="230">
        <v>0</v>
      </c>
      <c r="J59" s="230">
        <v>11</v>
      </c>
      <c r="K59" s="230">
        <v>0</v>
      </c>
      <c r="L59" s="232">
        <f t="shared" si="15"/>
        <v>188</v>
      </c>
      <c r="M59" s="230">
        <v>75</v>
      </c>
      <c r="N59" s="230">
        <v>19</v>
      </c>
      <c r="O59" s="230">
        <v>30</v>
      </c>
      <c r="P59" s="230">
        <v>0</v>
      </c>
      <c r="Q59" s="230">
        <v>0</v>
      </c>
      <c r="R59" s="230">
        <v>0</v>
      </c>
      <c r="S59" s="230">
        <v>0</v>
      </c>
      <c r="T59" s="230">
        <v>0</v>
      </c>
      <c r="U59" s="230">
        <v>0</v>
      </c>
      <c r="V59" s="280">
        <f t="shared" si="17"/>
        <v>124</v>
      </c>
      <c r="W59" s="341">
        <v>378</v>
      </c>
      <c r="X59" s="204"/>
      <c r="Y59" s="204"/>
      <c r="Z59" s="247">
        <f t="shared" si="19"/>
        <v>690</v>
      </c>
      <c r="AA59" s="215">
        <f t="shared" si="20"/>
        <v>232</v>
      </c>
      <c r="AB59" s="368"/>
    </row>
    <row r="60" spans="1:28" x14ac:dyDescent="0.25">
      <c r="A60" s="136" t="s">
        <v>112</v>
      </c>
      <c r="B60" s="137" t="s">
        <v>307</v>
      </c>
      <c r="C60" s="230">
        <v>898</v>
      </c>
      <c r="D60" s="230">
        <v>840</v>
      </c>
      <c r="E60" s="230">
        <v>332</v>
      </c>
      <c r="F60" s="230">
        <v>37</v>
      </c>
      <c r="G60" s="230">
        <v>29</v>
      </c>
      <c r="H60" s="230">
        <v>0</v>
      </c>
      <c r="I60" s="230">
        <v>50</v>
      </c>
      <c r="J60" s="230">
        <v>131</v>
      </c>
      <c r="K60" s="230">
        <v>0</v>
      </c>
      <c r="L60" s="232">
        <f t="shared" si="15"/>
        <v>2317</v>
      </c>
      <c r="M60" s="230">
        <v>687</v>
      </c>
      <c r="N60" s="230">
        <v>1461</v>
      </c>
      <c r="O60" s="230">
        <v>289</v>
      </c>
      <c r="P60" s="230">
        <v>38</v>
      </c>
      <c r="Q60" s="230">
        <v>88</v>
      </c>
      <c r="R60" s="230">
        <v>8</v>
      </c>
      <c r="S60" s="230">
        <v>0</v>
      </c>
      <c r="T60" s="230">
        <v>8</v>
      </c>
      <c r="U60" s="230">
        <v>0</v>
      </c>
      <c r="V60" s="280">
        <f t="shared" si="17"/>
        <v>2579</v>
      </c>
      <c r="W60" s="245">
        <v>0</v>
      </c>
      <c r="X60" s="233"/>
      <c r="Y60" s="233"/>
      <c r="Z60" s="247">
        <f t="shared" si="19"/>
        <v>4896</v>
      </c>
      <c r="AA60" s="215">
        <f t="shared" si="20"/>
        <v>3961</v>
      </c>
      <c r="AB60" s="368"/>
    </row>
    <row r="61" spans="1:28" x14ac:dyDescent="0.25">
      <c r="A61" s="136" t="s">
        <v>120</v>
      </c>
      <c r="B61" s="137" t="s">
        <v>318</v>
      </c>
      <c r="C61" s="230">
        <v>1951</v>
      </c>
      <c r="D61" s="230">
        <v>1153</v>
      </c>
      <c r="E61" s="230">
        <v>486</v>
      </c>
      <c r="F61" s="230">
        <v>29</v>
      </c>
      <c r="G61" s="230">
        <v>57</v>
      </c>
      <c r="H61" s="230">
        <v>3</v>
      </c>
      <c r="I61" s="230">
        <v>153</v>
      </c>
      <c r="J61" s="230">
        <v>422</v>
      </c>
      <c r="K61" s="230">
        <v>379</v>
      </c>
      <c r="L61" s="232">
        <f t="shared" si="15"/>
        <v>4633</v>
      </c>
      <c r="M61" s="230">
        <v>1861</v>
      </c>
      <c r="N61" s="230">
        <v>1760</v>
      </c>
      <c r="O61" s="230">
        <v>1236</v>
      </c>
      <c r="P61" s="230">
        <v>51</v>
      </c>
      <c r="Q61" s="230">
        <v>54</v>
      </c>
      <c r="R61" s="230">
        <v>49</v>
      </c>
      <c r="S61" s="230">
        <v>2</v>
      </c>
      <c r="T61" s="230">
        <v>56</v>
      </c>
      <c r="U61" s="230">
        <v>9</v>
      </c>
      <c r="V61" s="280">
        <f t="shared" si="17"/>
        <v>5078</v>
      </c>
      <c r="W61" s="245">
        <v>240</v>
      </c>
      <c r="X61" s="233"/>
      <c r="Y61" s="233"/>
      <c r="Z61" s="247">
        <f t="shared" si="19"/>
        <v>9951</v>
      </c>
      <c r="AA61" s="215">
        <f t="shared" si="20"/>
        <v>7193</v>
      </c>
      <c r="AB61" s="368"/>
    </row>
    <row r="62" spans="1:28" x14ac:dyDescent="0.25">
      <c r="A62" s="136" t="s">
        <v>131</v>
      </c>
      <c r="B62" s="137" t="s">
        <v>308</v>
      </c>
      <c r="C62" s="230">
        <v>651</v>
      </c>
      <c r="D62" s="230">
        <v>359</v>
      </c>
      <c r="E62" s="230">
        <v>273</v>
      </c>
      <c r="F62" s="230">
        <v>27</v>
      </c>
      <c r="G62" s="230">
        <v>33</v>
      </c>
      <c r="H62" s="230">
        <v>0</v>
      </c>
      <c r="I62" s="230">
        <v>0</v>
      </c>
      <c r="J62" s="230">
        <v>249</v>
      </c>
      <c r="K62" s="230">
        <v>0</v>
      </c>
      <c r="L62" s="232">
        <f t="shared" si="15"/>
        <v>1592</v>
      </c>
      <c r="M62" s="230">
        <v>1213</v>
      </c>
      <c r="N62" s="230">
        <v>2270</v>
      </c>
      <c r="O62" s="230">
        <v>1014</v>
      </c>
      <c r="P62" s="230">
        <v>26</v>
      </c>
      <c r="Q62" s="230">
        <v>25</v>
      </c>
      <c r="R62" s="230">
        <v>2</v>
      </c>
      <c r="S62" s="230">
        <v>0</v>
      </c>
      <c r="T62" s="230">
        <v>0</v>
      </c>
      <c r="U62" s="230">
        <v>0</v>
      </c>
      <c r="V62" s="280">
        <f t="shared" si="17"/>
        <v>4550</v>
      </c>
      <c r="W62" s="245">
        <v>224</v>
      </c>
      <c r="X62" s="233"/>
      <c r="Y62" s="233"/>
      <c r="Z62" s="247">
        <f t="shared" si="19"/>
        <v>6366</v>
      </c>
      <c r="AA62" s="215">
        <f t="shared" si="20"/>
        <v>4546</v>
      </c>
      <c r="AB62" s="368"/>
    </row>
    <row r="63" spans="1:28" x14ac:dyDescent="0.25">
      <c r="A63" s="136" t="s">
        <v>133</v>
      </c>
      <c r="B63" s="228" t="s">
        <v>319</v>
      </c>
      <c r="C63" s="230">
        <v>176</v>
      </c>
      <c r="D63" s="230">
        <v>227</v>
      </c>
      <c r="E63" s="230">
        <v>45</v>
      </c>
      <c r="F63" s="230">
        <v>7</v>
      </c>
      <c r="G63" s="230">
        <v>6</v>
      </c>
      <c r="H63" s="230">
        <v>0</v>
      </c>
      <c r="I63" s="230">
        <v>0</v>
      </c>
      <c r="J63" s="230">
        <v>46</v>
      </c>
      <c r="K63" s="230">
        <v>0</v>
      </c>
      <c r="L63" s="232">
        <f t="shared" si="15"/>
        <v>507</v>
      </c>
      <c r="M63" s="230">
        <v>280</v>
      </c>
      <c r="N63" s="230">
        <v>371</v>
      </c>
      <c r="O63" s="230">
        <v>249</v>
      </c>
      <c r="P63" s="230">
        <v>6</v>
      </c>
      <c r="Q63" s="230">
        <v>22</v>
      </c>
      <c r="R63" s="230">
        <v>0</v>
      </c>
      <c r="S63" s="230">
        <v>0</v>
      </c>
      <c r="T63" s="230">
        <v>3</v>
      </c>
      <c r="U63" s="230">
        <v>0</v>
      </c>
      <c r="V63" s="280">
        <f t="shared" si="17"/>
        <v>931</v>
      </c>
      <c r="W63" s="245">
        <v>88</v>
      </c>
      <c r="X63" s="233"/>
      <c r="Y63" s="233"/>
      <c r="Z63" s="247">
        <f t="shared" si="19"/>
        <v>1526</v>
      </c>
      <c r="AA63" s="215">
        <f t="shared" si="20"/>
        <v>1067</v>
      </c>
      <c r="AB63" s="368"/>
    </row>
    <row r="64" spans="1:28" x14ac:dyDescent="0.25">
      <c r="A64" s="136" t="s">
        <v>134</v>
      </c>
      <c r="B64" s="137" t="s">
        <v>320</v>
      </c>
      <c r="C64" s="230">
        <v>517</v>
      </c>
      <c r="D64" s="230">
        <v>231</v>
      </c>
      <c r="E64" s="230">
        <v>40</v>
      </c>
      <c r="F64" s="230">
        <v>24</v>
      </c>
      <c r="G64" s="230">
        <v>11</v>
      </c>
      <c r="H64" s="230">
        <v>0</v>
      </c>
      <c r="I64" s="230">
        <v>0</v>
      </c>
      <c r="J64" s="230">
        <v>39</v>
      </c>
      <c r="K64" s="230">
        <v>0</v>
      </c>
      <c r="L64" s="232">
        <f t="shared" si="15"/>
        <v>862</v>
      </c>
      <c r="M64" s="230">
        <v>94</v>
      </c>
      <c r="N64" s="230">
        <v>138</v>
      </c>
      <c r="O64" s="230">
        <v>29</v>
      </c>
      <c r="P64" s="230">
        <v>0</v>
      </c>
      <c r="Q64" s="230">
        <v>6</v>
      </c>
      <c r="R64" s="230">
        <v>0</v>
      </c>
      <c r="S64" s="230">
        <v>0</v>
      </c>
      <c r="T64" s="230">
        <v>0</v>
      </c>
      <c r="U64" s="230">
        <v>0</v>
      </c>
      <c r="V64" s="280">
        <f t="shared" si="17"/>
        <v>267</v>
      </c>
      <c r="W64" s="245">
        <v>9</v>
      </c>
      <c r="X64" s="233"/>
      <c r="Y64" s="233"/>
      <c r="Z64" s="247">
        <f t="shared" si="19"/>
        <v>1138</v>
      </c>
      <c r="AA64" s="215">
        <f t="shared" si="20"/>
        <v>1004</v>
      </c>
      <c r="AB64" s="368"/>
    </row>
    <row r="65" spans="1:28" x14ac:dyDescent="0.25">
      <c r="A65" s="136" t="s">
        <v>145</v>
      </c>
      <c r="B65" s="137" t="s">
        <v>309</v>
      </c>
      <c r="C65" s="230">
        <v>445</v>
      </c>
      <c r="D65" s="230">
        <v>147</v>
      </c>
      <c r="E65" s="230">
        <v>51</v>
      </c>
      <c r="F65" s="230">
        <v>35</v>
      </c>
      <c r="G65" s="230">
        <v>13</v>
      </c>
      <c r="H65" s="230">
        <v>0</v>
      </c>
      <c r="I65" s="230">
        <v>0</v>
      </c>
      <c r="J65" s="230">
        <v>74</v>
      </c>
      <c r="K65" s="230">
        <v>0</v>
      </c>
      <c r="L65" s="232">
        <f t="shared" si="15"/>
        <v>765</v>
      </c>
      <c r="M65" s="230">
        <v>494</v>
      </c>
      <c r="N65" s="230">
        <v>494</v>
      </c>
      <c r="O65" s="230">
        <v>285</v>
      </c>
      <c r="P65" s="230">
        <v>12</v>
      </c>
      <c r="Q65" s="230">
        <v>11</v>
      </c>
      <c r="R65" s="230">
        <v>0</v>
      </c>
      <c r="S65" s="230">
        <v>0</v>
      </c>
      <c r="T65" s="230">
        <v>372</v>
      </c>
      <c r="U65" s="230">
        <v>0</v>
      </c>
      <c r="V65" s="280">
        <f t="shared" si="17"/>
        <v>1668</v>
      </c>
      <c r="W65" s="245">
        <v>101</v>
      </c>
      <c r="X65" s="233"/>
      <c r="Y65" s="233"/>
      <c r="Z65" s="247">
        <f t="shared" si="19"/>
        <v>2534</v>
      </c>
      <c r="AA65" s="215">
        <f t="shared" si="20"/>
        <v>1627</v>
      </c>
      <c r="AB65" s="368"/>
    </row>
    <row r="66" spans="1:28" x14ac:dyDescent="0.25">
      <c r="A66" s="136" t="s">
        <v>149</v>
      </c>
      <c r="B66" s="137" t="s">
        <v>353</v>
      </c>
      <c r="C66" s="230">
        <v>115</v>
      </c>
      <c r="D66" s="230">
        <v>69</v>
      </c>
      <c r="E66" s="230">
        <v>57</v>
      </c>
      <c r="F66" s="230">
        <v>12</v>
      </c>
      <c r="G66" s="230">
        <v>0</v>
      </c>
      <c r="H66" s="230">
        <v>0</v>
      </c>
      <c r="I66" s="230">
        <v>73</v>
      </c>
      <c r="J66" s="230">
        <v>12</v>
      </c>
      <c r="K66" s="230">
        <v>0</v>
      </c>
      <c r="L66" s="232">
        <f t="shared" si="15"/>
        <v>338</v>
      </c>
      <c r="M66" s="230">
        <v>111</v>
      </c>
      <c r="N66" s="230">
        <v>159</v>
      </c>
      <c r="O66" s="230">
        <v>37</v>
      </c>
      <c r="P66" s="230">
        <v>0</v>
      </c>
      <c r="Q66" s="230">
        <v>0</v>
      </c>
      <c r="R66" s="230">
        <v>15</v>
      </c>
      <c r="S66" s="230">
        <v>0</v>
      </c>
      <c r="T66" s="230">
        <v>0</v>
      </c>
      <c r="U66" s="230">
        <v>0</v>
      </c>
      <c r="V66" s="280">
        <f t="shared" si="17"/>
        <v>322</v>
      </c>
      <c r="W66" s="245">
        <v>112</v>
      </c>
      <c r="X66" s="233"/>
      <c r="Y66" s="233"/>
      <c r="Z66" s="247">
        <f t="shared" si="19"/>
        <v>772</v>
      </c>
      <c r="AA66" s="215">
        <f t="shared" si="20"/>
        <v>466</v>
      </c>
      <c r="AB66" s="368"/>
    </row>
    <row r="67" spans="1:28" x14ac:dyDescent="0.25">
      <c r="A67" s="136" t="s">
        <v>182</v>
      </c>
      <c r="B67" s="137" t="s">
        <v>357</v>
      </c>
      <c r="C67" s="230">
        <v>342</v>
      </c>
      <c r="D67" s="230">
        <v>57</v>
      </c>
      <c r="E67" s="230">
        <v>77</v>
      </c>
      <c r="F67" s="230">
        <v>8</v>
      </c>
      <c r="G67" s="230">
        <v>2</v>
      </c>
      <c r="H67" s="230">
        <v>0</v>
      </c>
      <c r="I67" s="230">
        <v>0</v>
      </c>
      <c r="J67" s="230">
        <v>31</v>
      </c>
      <c r="K67" s="230">
        <v>0</v>
      </c>
      <c r="L67" s="232">
        <f t="shared" si="15"/>
        <v>517</v>
      </c>
      <c r="M67" s="230">
        <v>200</v>
      </c>
      <c r="N67" s="230">
        <v>306</v>
      </c>
      <c r="O67" s="230">
        <v>62</v>
      </c>
      <c r="P67" s="230">
        <v>6</v>
      </c>
      <c r="Q67" s="230">
        <v>5</v>
      </c>
      <c r="R67" s="230">
        <v>0</v>
      </c>
      <c r="S67" s="230">
        <v>0</v>
      </c>
      <c r="T67" s="230">
        <v>0</v>
      </c>
      <c r="U67" s="230">
        <v>0</v>
      </c>
      <c r="V67" s="280">
        <f t="shared" si="17"/>
        <v>579</v>
      </c>
      <c r="W67" s="245">
        <v>426</v>
      </c>
      <c r="X67" s="233"/>
      <c r="Y67" s="233"/>
      <c r="Z67" s="247">
        <f t="shared" si="19"/>
        <v>1522</v>
      </c>
      <c r="AA67" s="215">
        <f t="shared" si="20"/>
        <v>919</v>
      </c>
      <c r="AB67" s="367"/>
    </row>
    <row r="68" spans="1:28" x14ac:dyDescent="0.25">
      <c r="A68" s="136" t="s">
        <v>185</v>
      </c>
      <c r="B68" s="137" t="s">
        <v>310</v>
      </c>
      <c r="C68" s="406"/>
      <c r="D68" s="406"/>
      <c r="E68" s="406">
        <v>199</v>
      </c>
      <c r="F68" s="406"/>
      <c r="G68" s="406"/>
      <c r="H68" s="406"/>
      <c r="I68" s="406"/>
      <c r="J68" s="406">
        <v>1680</v>
      </c>
      <c r="K68" s="406"/>
      <c r="L68" s="232">
        <f t="shared" si="15"/>
        <v>1879</v>
      </c>
      <c r="M68" s="406"/>
      <c r="N68" s="406"/>
      <c r="O68" s="406"/>
      <c r="P68" s="406"/>
      <c r="Q68" s="406"/>
      <c r="R68" s="406"/>
      <c r="S68" s="406"/>
      <c r="T68" s="406"/>
      <c r="U68" s="406"/>
      <c r="V68" s="280">
        <f t="shared" si="17"/>
        <v>0</v>
      </c>
      <c r="W68" s="245">
        <v>2141</v>
      </c>
      <c r="X68" s="233"/>
      <c r="Y68" s="233"/>
      <c r="Z68" s="247">
        <f t="shared" si="19"/>
        <v>4020</v>
      </c>
      <c r="AA68" s="215">
        <f t="shared" si="20"/>
        <v>0</v>
      </c>
      <c r="AB68" s="368"/>
    </row>
    <row r="69" spans="1:28" x14ac:dyDescent="0.25">
      <c r="A69" s="136" t="s">
        <v>188</v>
      </c>
      <c r="B69" s="137" t="s">
        <v>311</v>
      </c>
      <c r="C69" s="406"/>
      <c r="D69" s="406"/>
      <c r="E69" s="406"/>
      <c r="F69" s="406"/>
      <c r="G69" s="406"/>
      <c r="H69" s="406"/>
      <c r="I69" s="406"/>
      <c r="J69" s="406"/>
      <c r="K69" s="406"/>
      <c r="L69" s="232">
        <f t="shared" si="15"/>
        <v>0</v>
      </c>
      <c r="M69" s="406"/>
      <c r="N69" s="406"/>
      <c r="O69" s="406"/>
      <c r="P69" s="406"/>
      <c r="Q69" s="406"/>
      <c r="R69" s="406"/>
      <c r="S69" s="406"/>
      <c r="T69" s="406"/>
      <c r="U69" s="406"/>
      <c r="V69" s="280">
        <f t="shared" si="17"/>
        <v>0</v>
      </c>
      <c r="W69" s="245">
        <v>0</v>
      </c>
      <c r="X69" s="235"/>
      <c r="Y69" s="235"/>
      <c r="Z69" s="247">
        <f t="shared" si="19"/>
        <v>0</v>
      </c>
      <c r="AA69" s="215">
        <f t="shared" si="20"/>
        <v>0</v>
      </c>
      <c r="AB69" s="368"/>
    </row>
    <row r="70" spans="1:28" x14ac:dyDescent="0.25">
      <c r="A70" s="136" t="s">
        <v>192</v>
      </c>
      <c r="B70" s="137" t="s">
        <v>312</v>
      </c>
      <c r="C70" s="230">
        <v>27</v>
      </c>
      <c r="D70" s="230">
        <v>19</v>
      </c>
      <c r="E70" s="230">
        <v>3</v>
      </c>
      <c r="F70" s="230">
        <v>0</v>
      </c>
      <c r="G70" s="230">
        <v>0</v>
      </c>
      <c r="H70" s="230">
        <v>0</v>
      </c>
      <c r="I70" s="230">
        <v>0</v>
      </c>
      <c r="J70" s="230">
        <v>12</v>
      </c>
      <c r="K70" s="230">
        <v>0</v>
      </c>
      <c r="L70" s="232">
        <f t="shared" si="15"/>
        <v>61</v>
      </c>
      <c r="M70" s="230">
        <v>266</v>
      </c>
      <c r="N70" s="230">
        <v>79</v>
      </c>
      <c r="O70" s="230">
        <v>22</v>
      </c>
      <c r="P70" s="230">
        <v>0</v>
      </c>
      <c r="Q70" s="230">
        <v>8</v>
      </c>
      <c r="R70" s="230">
        <v>0</v>
      </c>
      <c r="S70" s="230">
        <v>0</v>
      </c>
      <c r="T70" s="230">
        <v>0</v>
      </c>
      <c r="U70" s="406"/>
      <c r="V70" s="280">
        <f t="shared" si="17"/>
        <v>375</v>
      </c>
      <c r="W70" s="245">
        <v>441</v>
      </c>
      <c r="X70" s="235"/>
      <c r="Y70" s="235"/>
      <c r="Z70" s="247">
        <f t="shared" si="19"/>
        <v>877</v>
      </c>
      <c r="AA70" s="215">
        <f t="shared" si="20"/>
        <v>391</v>
      </c>
      <c r="AB70" s="368"/>
    </row>
    <row r="71" spans="1:28" ht="14.4" thickBot="1" x14ac:dyDescent="0.3">
      <c r="A71" s="136" t="s">
        <v>193</v>
      </c>
      <c r="B71" s="143" t="s">
        <v>325</v>
      </c>
      <c r="C71" s="265">
        <v>0</v>
      </c>
      <c r="D71" s="265">
        <v>0</v>
      </c>
      <c r="E71" s="265">
        <v>0</v>
      </c>
      <c r="F71" s="265">
        <v>0</v>
      </c>
      <c r="G71" s="265">
        <v>0</v>
      </c>
      <c r="H71" s="265">
        <v>0</v>
      </c>
      <c r="I71" s="265">
        <v>346</v>
      </c>
      <c r="J71" s="265">
        <v>35</v>
      </c>
      <c r="K71" s="265">
        <v>0</v>
      </c>
      <c r="L71" s="239">
        <f t="shared" si="15"/>
        <v>381</v>
      </c>
      <c r="M71" s="265">
        <v>0</v>
      </c>
      <c r="N71" s="265">
        <v>0</v>
      </c>
      <c r="O71" s="265">
        <v>0</v>
      </c>
      <c r="P71" s="265">
        <v>0</v>
      </c>
      <c r="Q71" s="265">
        <v>0</v>
      </c>
      <c r="R71" s="265">
        <v>0</v>
      </c>
      <c r="S71" s="265">
        <v>0</v>
      </c>
      <c r="T71" s="265">
        <v>0</v>
      </c>
      <c r="U71" s="407"/>
      <c r="V71" s="280">
        <f t="shared" si="17"/>
        <v>0</v>
      </c>
      <c r="W71" s="333">
        <v>2615</v>
      </c>
      <c r="X71" s="235"/>
      <c r="Y71" s="235"/>
      <c r="Z71" s="247">
        <f t="shared" si="19"/>
        <v>2996</v>
      </c>
      <c r="AA71" s="215">
        <f t="shared" si="20"/>
        <v>0</v>
      </c>
      <c r="AB71" s="367"/>
    </row>
    <row r="72" spans="1:28" s="109" customFormat="1" ht="14.4" thickBot="1" x14ac:dyDescent="0.3">
      <c r="A72" s="134"/>
      <c r="B72" s="159" t="s">
        <v>460</v>
      </c>
      <c r="C72" s="293">
        <f t="shared" ref="C72:AA72" si="21">SUM(C56:C71)</f>
        <v>10145</v>
      </c>
      <c r="D72" s="362">
        <f t="shared" si="21"/>
        <v>6537</v>
      </c>
      <c r="E72" s="157">
        <f t="shared" si="21"/>
        <v>3412</v>
      </c>
      <c r="F72" s="157">
        <f t="shared" si="21"/>
        <v>345</v>
      </c>
      <c r="G72" s="157">
        <f t="shared" si="21"/>
        <v>217</v>
      </c>
      <c r="H72" s="157">
        <f t="shared" si="21"/>
        <v>3</v>
      </c>
      <c r="I72" s="259">
        <f t="shared" si="21"/>
        <v>789</v>
      </c>
      <c r="J72" s="364">
        <f t="shared" si="21"/>
        <v>6125</v>
      </c>
      <c r="K72" s="259">
        <f t="shared" si="21"/>
        <v>379</v>
      </c>
      <c r="L72" s="263">
        <f t="shared" si="21"/>
        <v>27952</v>
      </c>
      <c r="M72" s="262">
        <f t="shared" si="21"/>
        <v>6015</v>
      </c>
      <c r="N72" s="158">
        <f t="shared" si="21"/>
        <v>8568</v>
      </c>
      <c r="O72" s="158">
        <f t="shared" si="21"/>
        <v>3969</v>
      </c>
      <c r="P72" s="158">
        <f t="shared" si="21"/>
        <v>151</v>
      </c>
      <c r="Q72" s="158">
        <f t="shared" si="21"/>
        <v>246</v>
      </c>
      <c r="R72" s="158">
        <f t="shared" si="21"/>
        <v>194</v>
      </c>
      <c r="S72" s="158">
        <f t="shared" si="21"/>
        <v>2</v>
      </c>
      <c r="T72" s="158">
        <f t="shared" si="21"/>
        <v>478</v>
      </c>
      <c r="U72" s="264">
        <f t="shared" si="21"/>
        <v>9</v>
      </c>
      <c r="V72" s="180">
        <f t="shared" si="21"/>
        <v>19632</v>
      </c>
      <c r="W72" s="185">
        <f>SUM(W56:W71)</f>
        <v>32777</v>
      </c>
      <c r="X72" s="275">
        <f t="shared" si="21"/>
        <v>0</v>
      </c>
      <c r="Y72" s="276">
        <f>SUM(Y56:Y71)</f>
        <v>0</v>
      </c>
      <c r="Z72" s="261">
        <f t="shared" si="21"/>
        <v>80361</v>
      </c>
      <c r="AA72" s="276">
        <f t="shared" si="21"/>
        <v>32149</v>
      </c>
      <c r="AB72" s="366"/>
    </row>
    <row r="73" spans="1:28" x14ac:dyDescent="0.25">
      <c r="A73" s="136" t="s">
        <v>65</v>
      </c>
      <c r="B73" s="279" t="s">
        <v>326</v>
      </c>
      <c r="C73" s="280">
        <v>344</v>
      </c>
      <c r="D73" s="280">
        <v>245</v>
      </c>
      <c r="E73" s="280">
        <v>793</v>
      </c>
      <c r="F73" s="280">
        <v>3</v>
      </c>
      <c r="G73" s="280">
        <v>25</v>
      </c>
      <c r="H73" s="280">
        <v>0</v>
      </c>
      <c r="I73" s="280">
        <v>0</v>
      </c>
      <c r="J73" s="280">
        <v>763</v>
      </c>
      <c r="K73" s="280">
        <v>0</v>
      </c>
      <c r="L73" s="234">
        <f>SUM(C73:K73)</f>
        <v>2173</v>
      </c>
      <c r="M73" s="280">
        <v>246</v>
      </c>
      <c r="N73" s="280">
        <v>576</v>
      </c>
      <c r="O73" s="280">
        <v>245</v>
      </c>
      <c r="P73" s="280">
        <v>30</v>
      </c>
      <c r="Q73" s="280">
        <v>12</v>
      </c>
      <c r="R73" s="280">
        <v>0</v>
      </c>
      <c r="S73" s="280">
        <v>0</v>
      </c>
      <c r="T73" s="280">
        <v>4</v>
      </c>
      <c r="U73" s="280"/>
      <c r="V73" s="280">
        <f>SUM(M73:U73)</f>
        <v>1113</v>
      </c>
      <c r="W73" s="240">
        <v>758</v>
      </c>
      <c r="X73" s="280"/>
      <c r="Y73" s="237"/>
      <c r="Z73" s="281">
        <f>L73+V73+W73+X73+Y73</f>
        <v>4044</v>
      </c>
      <c r="AA73" s="218">
        <f t="shared" ref="AA73:AA88" si="22">C73+D73+F73+K73+M73+N73+P73+U73</f>
        <v>1444</v>
      </c>
    </row>
    <row r="74" spans="1:28" x14ac:dyDescent="0.25">
      <c r="A74" s="136" t="s">
        <v>81</v>
      </c>
      <c r="B74" s="137" t="s">
        <v>327</v>
      </c>
      <c r="C74" s="230">
        <v>495</v>
      </c>
      <c r="D74" s="230">
        <v>193</v>
      </c>
      <c r="E74" s="230">
        <v>86</v>
      </c>
      <c r="F74" s="230">
        <v>19</v>
      </c>
      <c r="G74" s="230">
        <v>8</v>
      </c>
      <c r="H74" s="230">
        <v>0</v>
      </c>
      <c r="I74" s="230">
        <v>0</v>
      </c>
      <c r="J74" s="230">
        <v>23</v>
      </c>
      <c r="K74" s="230">
        <v>0</v>
      </c>
      <c r="L74" s="232">
        <f>SUM(C74:K74)</f>
        <v>824</v>
      </c>
      <c r="M74" s="230">
        <v>276</v>
      </c>
      <c r="N74" s="230">
        <v>334</v>
      </c>
      <c r="O74" s="230">
        <v>98</v>
      </c>
      <c r="P74" s="230">
        <v>0</v>
      </c>
      <c r="Q74" s="230">
        <v>0</v>
      </c>
      <c r="R74" s="230">
        <v>0</v>
      </c>
      <c r="S74" s="230">
        <v>0</v>
      </c>
      <c r="T74" s="230">
        <v>0</v>
      </c>
      <c r="U74" s="230"/>
      <c r="V74" s="230">
        <f t="shared" ref="V74:V88" si="23">SUM(M74:U74)</f>
        <v>708</v>
      </c>
      <c r="W74" s="245">
        <v>1052</v>
      </c>
      <c r="X74" s="230"/>
      <c r="Y74" s="233"/>
      <c r="Z74" s="247">
        <f t="shared" ref="Z74:Z88" si="24">L74+V74+W74+X74+Y74</f>
        <v>2584</v>
      </c>
      <c r="AA74" s="215">
        <f t="shared" si="22"/>
        <v>1317</v>
      </c>
    </row>
    <row r="75" spans="1:28" x14ac:dyDescent="0.25">
      <c r="A75" s="136" t="s">
        <v>87</v>
      </c>
      <c r="B75" s="137" t="s">
        <v>292</v>
      </c>
      <c r="C75" s="230">
        <v>424</v>
      </c>
      <c r="D75" s="230">
        <v>534</v>
      </c>
      <c r="E75" s="230">
        <v>169</v>
      </c>
      <c r="F75" s="230">
        <v>12</v>
      </c>
      <c r="G75" s="230">
        <v>18</v>
      </c>
      <c r="H75" s="230">
        <v>5</v>
      </c>
      <c r="I75" s="230">
        <v>0</v>
      </c>
      <c r="J75" s="230">
        <v>52</v>
      </c>
      <c r="K75" s="230">
        <v>0</v>
      </c>
      <c r="L75" s="232">
        <f t="shared" ref="L75:L88" si="25">SUM(C75:K75)</f>
        <v>1214</v>
      </c>
      <c r="M75" s="230">
        <v>262</v>
      </c>
      <c r="N75" s="230">
        <v>620</v>
      </c>
      <c r="O75" s="230">
        <v>272</v>
      </c>
      <c r="P75" s="230">
        <v>3</v>
      </c>
      <c r="Q75" s="230">
        <v>36</v>
      </c>
      <c r="R75" s="230">
        <v>74</v>
      </c>
      <c r="S75" s="230">
        <v>0</v>
      </c>
      <c r="T75" s="230">
        <v>193</v>
      </c>
      <c r="U75" s="230"/>
      <c r="V75" s="230">
        <f t="shared" si="23"/>
        <v>1460</v>
      </c>
      <c r="W75" s="245">
        <v>458</v>
      </c>
      <c r="X75" s="230"/>
      <c r="Y75" s="233"/>
      <c r="Z75" s="247">
        <f t="shared" si="24"/>
        <v>3132</v>
      </c>
      <c r="AA75" s="215">
        <f t="shared" si="22"/>
        <v>1855</v>
      </c>
    </row>
    <row r="76" spans="1:28" x14ac:dyDescent="0.25">
      <c r="A76" s="136" t="s">
        <v>92</v>
      </c>
      <c r="B76" s="137" t="s">
        <v>328</v>
      </c>
      <c r="C76" s="230">
        <v>113</v>
      </c>
      <c r="D76" s="230">
        <v>31</v>
      </c>
      <c r="E76" s="230">
        <v>34</v>
      </c>
      <c r="F76" s="230">
        <v>3</v>
      </c>
      <c r="G76" s="230">
        <v>3</v>
      </c>
      <c r="H76" s="230">
        <v>0</v>
      </c>
      <c r="I76" s="230">
        <v>0</v>
      </c>
      <c r="J76" s="230">
        <v>14</v>
      </c>
      <c r="K76" s="230">
        <v>0</v>
      </c>
      <c r="L76" s="232">
        <f t="shared" si="25"/>
        <v>198</v>
      </c>
      <c r="M76" s="230">
        <v>130</v>
      </c>
      <c r="N76" s="230">
        <v>210</v>
      </c>
      <c r="O76" s="230">
        <v>58</v>
      </c>
      <c r="P76" s="230">
        <v>8</v>
      </c>
      <c r="Q76" s="230">
        <v>2</v>
      </c>
      <c r="R76" s="230">
        <v>0</v>
      </c>
      <c r="S76" s="230">
        <v>0</v>
      </c>
      <c r="T76" s="230">
        <v>0</v>
      </c>
      <c r="U76" s="230"/>
      <c r="V76" s="230">
        <f t="shared" si="23"/>
        <v>408</v>
      </c>
      <c r="W76" s="245">
        <v>68</v>
      </c>
      <c r="X76" s="230"/>
      <c r="Y76" s="233"/>
      <c r="Z76" s="247">
        <f t="shared" si="24"/>
        <v>674</v>
      </c>
      <c r="AA76" s="215">
        <f t="shared" si="22"/>
        <v>495</v>
      </c>
    </row>
    <row r="77" spans="1:28" x14ac:dyDescent="0.25">
      <c r="A77" s="136" t="s">
        <v>96</v>
      </c>
      <c r="B77" s="137" t="s">
        <v>293</v>
      </c>
      <c r="C77" s="230">
        <v>1771</v>
      </c>
      <c r="D77" s="230">
        <v>912</v>
      </c>
      <c r="E77" s="230">
        <v>715</v>
      </c>
      <c r="F77" s="230">
        <v>33</v>
      </c>
      <c r="G77" s="230">
        <v>60</v>
      </c>
      <c r="H77" s="230">
        <v>0</v>
      </c>
      <c r="I77" s="230">
        <v>94</v>
      </c>
      <c r="J77" s="230">
        <v>125</v>
      </c>
      <c r="K77" s="230">
        <v>0</v>
      </c>
      <c r="L77" s="232">
        <f t="shared" si="25"/>
        <v>3710</v>
      </c>
      <c r="M77" s="230">
        <v>606</v>
      </c>
      <c r="N77" s="230">
        <v>823</v>
      </c>
      <c r="O77" s="230">
        <v>867</v>
      </c>
      <c r="P77" s="230">
        <v>8</v>
      </c>
      <c r="Q77" s="230">
        <v>47</v>
      </c>
      <c r="R77" s="230">
        <v>121</v>
      </c>
      <c r="S77" s="230">
        <v>72</v>
      </c>
      <c r="T77" s="230">
        <v>129</v>
      </c>
      <c r="U77" s="230"/>
      <c r="V77" s="230">
        <f t="shared" si="23"/>
        <v>2673</v>
      </c>
      <c r="W77" s="245">
        <v>581</v>
      </c>
      <c r="X77" s="230"/>
      <c r="Y77" s="233"/>
      <c r="Z77" s="247">
        <f t="shared" si="24"/>
        <v>6964</v>
      </c>
      <c r="AA77" s="215">
        <f t="shared" si="22"/>
        <v>4153</v>
      </c>
    </row>
    <row r="78" spans="1:28" x14ac:dyDescent="0.25">
      <c r="A78" s="136" t="s">
        <v>100</v>
      </c>
      <c r="B78" s="137" t="s">
        <v>295</v>
      </c>
      <c r="C78" s="230">
        <v>608</v>
      </c>
      <c r="D78" s="230">
        <v>143</v>
      </c>
      <c r="E78" s="230">
        <v>65</v>
      </c>
      <c r="F78" s="230">
        <v>32</v>
      </c>
      <c r="G78" s="230">
        <v>20</v>
      </c>
      <c r="H78" s="230">
        <v>0</v>
      </c>
      <c r="I78" s="230">
        <v>0</v>
      </c>
      <c r="J78" s="230">
        <v>43</v>
      </c>
      <c r="K78" s="230">
        <v>0</v>
      </c>
      <c r="L78" s="232">
        <f t="shared" si="25"/>
        <v>911</v>
      </c>
      <c r="M78" s="230">
        <v>160</v>
      </c>
      <c r="N78" s="230">
        <v>264</v>
      </c>
      <c r="O78" s="230">
        <v>125</v>
      </c>
      <c r="P78" s="230">
        <v>15</v>
      </c>
      <c r="Q78" s="230">
        <v>24</v>
      </c>
      <c r="R78" s="230">
        <v>0</v>
      </c>
      <c r="S78" s="230">
        <v>0</v>
      </c>
      <c r="T78" s="230">
        <v>17</v>
      </c>
      <c r="U78" s="230"/>
      <c r="V78" s="230">
        <f t="shared" si="23"/>
        <v>605</v>
      </c>
      <c r="W78" s="245">
        <v>439</v>
      </c>
      <c r="X78" s="230"/>
      <c r="Y78" s="233"/>
      <c r="Z78" s="247">
        <f t="shared" si="24"/>
        <v>1955</v>
      </c>
      <c r="AA78" s="215">
        <f t="shared" si="22"/>
        <v>1222</v>
      </c>
    </row>
    <row r="79" spans="1:28" x14ac:dyDescent="0.25">
      <c r="A79" s="136" t="s">
        <v>108</v>
      </c>
      <c r="B79" s="137" t="s">
        <v>296</v>
      </c>
      <c r="C79" s="230">
        <v>263</v>
      </c>
      <c r="D79" s="230">
        <v>174</v>
      </c>
      <c r="E79" s="230">
        <v>81</v>
      </c>
      <c r="F79" s="230">
        <v>31</v>
      </c>
      <c r="G79" s="230">
        <v>22</v>
      </c>
      <c r="H79" s="230">
        <v>0</v>
      </c>
      <c r="I79" s="230">
        <v>66</v>
      </c>
      <c r="J79" s="230">
        <v>78</v>
      </c>
      <c r="K79" s="230">
        <v>0</v>
      </c>
      <c r="L79" s="232">
        <f t="shared" si="25"/>
        <v>715</v>
      </c>
      <c r="M79" s="230">
        <v>217</v>
      </c>
      <c r="N79" s="230">
        <v>298</v>
      </c>
      <c r="O79" s="230">
        <v>64</v>
      </c>
      <c r="P79" s="230">
        <v>22</v>
      </c>
      <c r="Q79" s="230">
        <v>18</v>
      </c>
      <c r="R79" s="230">
        <v>6</v>
      </c>
      <c r="S79" s="230">
        <v>0</v>
      </c>
      <c r="T79" s="230">
        <v>17</v>
      </c>
      <c r="U79" s="230"/>
      <c r="V79" s="230">
        <f t="shared" si="23"/>
        <v>642</v>
      </c>
      <c r="W79" s="245">
        <v>300</v>
      </c>
      <c r="X79" s="230"/>
      <c r="Y79" s="233"/>
      <c r="Z79" s="247">
        <f t="shared" si="24"/>
        <v>1657</v>
      </c>
      <c r="AA79" s="215">
        <f t="shared" si="22"/>
        <v>1005</v>
      </c>
    </row>
    <row r="80" spans="1:28" x14ac:dyDescent="0.25">
      <c r="A80" s="136" t="s">
        <v>109</v>
      </c>
      <c r="B80" s="137" t="s">
        <v>329</v>
      </c>
      <c r="C80" s="230">
        <v>222</v>
      </c>
      <c r="D80" s="230">
        <v>223</v>
      </c>
      <c r="E80" s="230">
        <v>89</v>
      </c>
      <c r="F80" s="230">
        <v>18</v>
      </c>
      <c r="G80" s="230">
        <v>13</v>
      </c>
      <c r="H80" s="230">
        <v>0</v>
      </c>
      <c r="I80" s="230">
        <v>0</v>
      </c>
      <c r="J80" s="230">
        <v>51</v>
      </c>
      <c r="K80" s="230">
        <v>0</v>
      </c>
      <c r="L80" s="232">
        <f t="shared" si="25"/>
        <v>616</v>
      </c>
      <c r="M80" s="230">
        <v>284</v>
      </c>
      <c r="N80" s="230">
        <v>350</v>
      </c>
      <c r="O80" s="230">
        <v>209</v>
      </c>
      <c r="P80" s="230">
        <v>10</v>
      </c>
      <c r="Q80" s="230">
        <v>13</v>
      </c>
      <c r="R80" s="230">
        <v>47</v>
      </c>
      <c r="S80" s="230">
        <v>0</v>
      </c>
      <c r="T80" s="230">
        <v>0</v>
      </c>
      <c r="U80" s="230"/>
      <c r="V80" s="230">
        <f t="shared" si="23"/>
        <v>913</v>
      </c>
      <c r="W80" s="245">
        <v>165</v>
      </c>
      <c r="X80" s="230"/>
      <c r="Y80" s="233"/>
      <c r="Z80" s="247">
        <f t="shared" si="24"/>
        <v>1694</v>
      </c>
      <c r="AA80" s="215">
        <f t="shared" si="22"/>
        <v>1107</v>
      </c>
    </row>
    <row r="81" spans="1:28" x14ac:dyDescent="0.25">
      <c r="A81" s="136" t="s">
        <v>124</v>
      </c>
      <c r="B81" s="137" t="s">
        <v>330</v>
      </c>
      <c r="C81" s="230">
        <v>442</v>
      </c>
      <c r="D81" s="230">
        <v>395</v>
      </c>
      <c r="E81" s="230">
        <v>87</v>
      </c>
      <c r="F81" s="230">
        <v>17</v>
      </c>
      <c r="G81" s="230">
        <v>75</v>
      </c>
      <c r="H81" s="230">
        <v>0</v>
      </c>
      <c r="I81" s="230">
        <v>0</v>
      </c>
      <c r="J81" s="230">
        <v>20</v>
      </c>
      <c r="K81" s="230">
        <v>0</v>
      </c>
      <c r="L81" s="232">
        <f t="shared" si="25"/>
        <v>1036</v>
      </c>
      <c r="M81" s="230">
        <v>143</v>
      </c>
      <c r="N81" s="230">
        <v>324</v>
      </c>
      <c r="O81" s="230">
        <v>18</v>
      </c>
      <c r="P81" s="230">
        <v>11</v>
      </c>
      <c r="Q81" s="230">
        <v>40</v>
      </c>
      <c r="R81" s="230">
        <v>0</v>
      </c>
      <c r="S81" s="230">
        <v>0</v>
      </c>
      <c r="T81" s="230">
        <v>0</v>
      </c>
      <c r="U81" s="230"/>
      <c r="V81" s="230">
        <f t="shared" si="23"/>
        <v>536</v>
      </c>
      <c r="W81" s="245">
        <v>207</v>
      </c>
      <c r="X81" s="238"/>
      <c r="Y81" s="233"/>
      <c r="Z81" s="247">
        <f t="shared" si="24"/>
        <v>1779</v>
      </c>
      <c r="AA81" s="215">
        <f t="shared" si="22"/>
        <v>1332</v>
      </c>
    </row>
    <row r="82" spans="1:28" x14ac:dyDescent="0.25">
      <c r="A82" s="136" t="s">
        <v>126</v>
      </c>
      <c r="B82" s="137" t="s">
        <v>331</v>
      </c>
      <c r="C82" s="230">
        <v>95</v>
      </c>
      <c r="D82" s="230">
        <v>60</v>
      </c>
      <c r="E82" s="230">
        <v>24</v>
      </c>
      <c r="F82" s="230">
        <v>8</v>
      </c>
      <c r="G82" s="230">
        <v>4</v>
      </c>
      <c r="H82" s="230">
        <v>0</v>
      </c>
      <c r="I82" s="230">
        <v>0</v>
      </c>
      <c r="J82" s="230">
        <v>107</v>
      </c>
      <c r="K82" s="230">
        <v>0</v>
      </c>
      <c r="L82" s="232">
        <f t="shared" si="25"/>
        <v>298</v>
      </c>
      <c r="M82" s="230">
        <v>410</v>
      </c>
      <c r="N82" s="230">
        <v>435</v>
      </c>
      <c r="O82" s="230">
        <v>163</v>
      </c>
      <c r="P82" s="230">
        <v>46</v>
      </c>
      <c r="Q82" s="230">
        <v>24</v>
      </c>
      <c r="R82" s="230">
        <v>0</v>
      </c>
      <c r="S82" s="230">
        <v>0</v>
      </c>
      <c r="T82" s="230">
        <v>41</v>
      </c>
      <c r="U82" s="230"/>
      <c r="V82" s="230">
        <f t="shared" si="23"/>
        <v>1119</v>
      </c>
      <c r="W82" s="245">
        <v>338</v>
      </c>
      <c r="X82" s="230"/>
      <c r="Y82" s="233"/>
      <c r="Z82" s="247">
        <f t="shared" si="24"/>
        <v>1755</v>
      </c>
      <c r="AA82" s="215">
        <f t="shared" si="22"/>
        <v>1054</v>
      </c>
    </row>
    <row r="83" spans="1:28" x14ac:dyDescent="0.25">
      <c r="A83" s="136" t="s">
        <v>132</v>
      </c>
      <c r="B83" s="137" t="s">
        <v>298</v>
      </c>
      <c r="C83" s="230">
        <v>844</v>
      </c>
      <c r="D83" s="230">
        <v>1068</v>
      </c>
      <c r="E83" s="230">
        <v>223</v>
      </c>
      <c r="F83" s="230">
        <v>33</v>
      </c>
      <c r="G83" s="230">
        <v>54</v>
      </c>
      <c r="H83" s="230">
        <v>0</v>
      </c>
      <c r="I83" s="230">
        <v>0</v>
      </c>
      <c r="J83" s="230">
        <v>88</v>
      </c>
      <c r="K83" s="230">
        <v>0</v>
      </c>
      <c r="L83" s="232">
        <f t="shared" si="25"/>
        <v>2310</v>
      </c>
      <c r="M83" s="230">
        <v>486</v>
      </c>
      <c r="N83" s="230">
        <v>940</v>
      </c>
      <c r="O83" s="230">
        <v>339</v>
      </c>
      <c r="P83" s="230">
        <v>30</v>
      </c>
      <c r="Q83" s="230">
        <v>38</v>
      </c>
      <c r="R83" s="230">
        <v>50</v>
      </c>
      <c r="S83" s="230">
        <v>0</v>
      </c>
      <c r="T83" s="230">
        <v>4</v>
      </c>
      <c r="U83" s="230"/>
      <c r="V83" s="230">
        <f t="shared" si="23"/>
        <v>1887</v>
      </c>
      <c r="W83" s="245">
        <v>466</v>
      </c>
      <c r="X83" s="230"/>
      <c r="Y83" s="233"/>
      <c r="Z83" s="247">
        <f t="shared" si="24"/>
        <v>4663</v>
      </c>
      <c r="AA83" s="215">
        <f t="shared" si="22"/>
        <v>3401</v>
      </c>
    </row>
    <row r="84" spans="1:28" x14ac:dyDescent="0.25">
      <c r="A84" s="136" t="s">
        <v>137</v>
      </c>
      <c r="B84" s="137" t="s">
        <v>299</v>
      </c>
      <c r="C84" s="230">
        <v>144</v>
      </c>
      <c r="D84" s="230">
        <v>246</v>
      </c>
      <c r="E84" s="230">
        <v>43</v>
      </c>
      <c r="F84" s="230">
        <v>10</v>
      </c>
      <c r="G84" s="230">
        <v>9</v>
      </c>
      <c r="H84" s="230">
        <v>0</v>
      </c>
      <c r="I84" s="230">
        <v>0</v>
      </c>
      <c r="J84" s="230">
        <v>73</v>
      </c>
      <c r="K84" s="230">
        <v>0</v>
      </c>
      <c r="L84" s="232">
        <f t="shared" si="25"/>
        <v>525</v>
      </c>
      <c r="M84" s="230">
        <v>256</v>
      </c>
      <c r="N84" s="230">
        <v>781</v>
      </c>
      <c r="O84" s="230">
        <v>162</v>
      </c>
      <c r="P84" s="230">
        <v>14</v>
      </c>
      <c r="Q84" s="230">
        <v>32</v>
      </c>
      <c r="R84" s="230">
        <v>0</v>
      </c>
      <c r="S84" s="230">
        <v>0</v>
      </c>
      <c r="T84" s="230">
        <v>4</v>
      </c>
      <c r="U84" s="230"/>
      <c r="V84" s="230">
        <f t="shared" si="23"/>
        <v>1249</v>
      </c>
      <c r="W84" s="245">
        <v>74</v>
      </c>
      <c r="X84" s="230"/>
      <c r="Y84" s="233"/>
      <c r="Z84" s="247">
        <f t="shared" si="24"/>
        <v>1848</v>
      </c>
      <c r="AA84" s="215">
        <f t="shared" si="22"/>
        <v>1451</v>
      </c>
    </row>
    <row r="85" spans="1:28" x14ac:dyDescent="0.25">
      <c r="A85" s="136" t="s">
        <v>148</v>
      </c>
      <c r="B85" s="137" t="s">
        <v>300</v>
      </c>
      <c r="C85" s="230">
        <v>117</v>
      </c>
      <c r="D85" s="230">
        <v>221</v>
      </c>
      <c r="E85" s="230">
        <v>73</v>
      </c>
      <c r="F85" s="230">
        <v>8</v>
      </c>
      <c r="G85" s="230">
        <v>8</v>
      </c>
      <c r="H85" s="230">
        <v>0</v>
      </c>
      <c r="I85" s="230">
        <v>33</v>
      </c>
      <c r="J85" s="230">
        <v>61</v>
      </c>
      <c r="K85" s="230">
        <v>0</v>
      </c>
      <c r="L85" s="232">
        <f t="shared" si="25"/>
        <v>521</v>
      </c>
      <c r="M85" s="230">
        <v>173</v>
      </c>
      <c r="N85" s="230">
        <v>352</v>
      </c>
      <c r="O85" s="230">
        <v>123</v>
      </c>
      <c r="P85" s="230">
        <v>18</v>
      </c>
      <c r="Q85" s="230">
        <v>34</v>
      </c>
      <c r="R85" s="230">
        <v>35</v>
      </c>
      <c r="S85" s="230">
        <v>0</v>
      </c>
      <c r="T85" s="230">
        <v>20</v>
      </c>
      <c r="U85" s="230"/>
      <c r="V85" s="230">
        <f t="shared" si="23"/>
        <v>755</v>
      </c>
      <c r="W85" s="245">
        <v>88</v>
      </c>
      <c r="X85" s="230"/>
      <c r="Y85" s="233"/>
      <c r="Z85" s="247">
        <f t="shared" si="24"/>
        <v>1364</v>
      </c>
      <c r="AA85" s="215">
        <f t="shared" si="22"/>
        <v>889</v>
      </c>
    </row>
    <row r="86" spans="1:28" x14ac:dyDescent="0.25">
      <c r="A86" s="136" t="s">
        <v>169</v>
      </c>
      <c r="B86" s="137" t="s">
        <v>301</v>
      </c>
      <c r="C86" s="230">
        <v>376</v>
      </c>
      <c r="D86" s="230">
        <v>142</v>
      </c>
      <c r="E86" s="230">
        <v>159</v>
      </c>
      <c r="F86" s="230">
        <v>8</v>
      </c>
      <c r="G86" s="230">
        <v>44</v>
      </c>
      <c r="H86" s="230">
        <v>0</v>
      </c>
      <c r="I86" s="230">
        <v>0</v>
      </c>
      <c r="J86" s="230">
        <v>69</v>
      </c>
      <c r="K86" s="230">
        <v>0</v>
      </c>
      <c r="L86" s="232">
        <f t="shared" si="25"/>
        <v>798</v>
      </c>
      <c r="M86" s="230">
        <v>155</v>
      </c>
      <c r="N86" s="230">
        <v>401</v>
      </c>
      <c r="O86" s="230">
        <v>154</v>
      </c>
      <c r="P86" s="230">
        <v>5</v>
      </c>
      <c r="Q86" s="230">
        <v>10</v>
      </c>
      <c r="R86" s="230">
        <v>92</v>
      </c>
      <c r="S86" s="230">
        <v>0</v>
      </c>
      <c r="T86" s="230">
        <v>13</v>
      </c>
      <c r="U86" s="230"/>
      <c r="V86" s="230">
        <f t="shared" si="23"/>
        <v>830</v>
      </c>
      <c r="W86" s="270"/>
      <c r="X86" s="230"/>
      <c r="Y86" s="233"/>
      <c r="Z86" s="247">
        <f t="shared" si="24"/>
        <v>1628</v>
      </c>
      <c r="AA86" s="215">
        <f t="shared" si="22"/>
        <v>1087</v>
      </c>
    </row>
    <row r="87" spans="1:28" x14ac:dyDescent="0.25">
      <c r="A87" s="136" t="s">
        <v>172</v>
      </c>
      <c r="B87" s="137" t="s">
        <v>333</v>
      </c>
      <c r="C87" s="230">
        <v>9229</v>
      </c>
      <c r="D87" s="230">
        <v>2503</v>
      </c>
      <c r="E87" s="230">
        <v>1793</v>
      </c>
      <c r="F87" s="230">
        <v>97</v>
      </c>
      <c r="G87" s="230">
        <v>106</v>
      </c>
      <c r="H87" s="230">
        <v>0</v>
      </c>
      <c r="I87" s="230">
        <v>11</v>
      </c>
      <c r="J87" s="230">
        <v>137</v>
      </c>
      <c r="K87" s="230">
        <v>0</v>
      </c>
      <c r="L87" s="232">
        <f t="shared" si="25"/>
        <v>13876</v>
      </c>
      <c r="M87" s="230">
        <v>1129</v>
      </c>
      <c r="N87" s="230">
        <v>1104</v>
      </c>
      <c r="O87" s="230">
        <v>331</v>
      </c>
      <c r="P87" s="230">
        <v>26</v>
      </c>
      <c r="Q87" s="230">
        <v>19</v>
      </c>
      <c r="R87" s="230">
        <v>32</v>
      </c>
      <c r="S87" s="230">
        <v>20</v>
      </c>
      <c r="T87" s="230">
        <v>14</v>
      </c>
      <c r="U87" s="230"/>
      <c r="V87" s="230">
        <f t="shared" si="23"/>
        <v>2675</v>
      </c>
      <c r="W87" s="326">
        <v>0</v>
      </c>
      <c r="X87" s="230"/>
      <c r="Y87" s="233"/>
      <c r="Z87" s="247">
        <f t="shared" si="24"/>
        <v>16551</v>
      </c>
      <c r="AA87" s="215">
        <f t="shared" si="22"/>
        <v>14088</v>
      </c>
    </row>
    <row r="88" spans="1:28" ht="13.8" thickBot="1" x14ac:dyDescent="0.3">
      <c r="A88" s="351" t="s">
        <v>175</v>
      </c>
      <c r="B88" s="143" t="s">
        <v>334</v>
      </c>
      <c r="C88" s="265">
        <v>97</v>
      </c>
      <c r="D88" s="265">
        <v>40</v>
      </c>
      <c r="E88" s="265">
        <v>14</v>
      </c>
      <c r="F88" s="265">
        <v>3</v>
      </c>
      <c r="G88" s="265">
        <v>1</v>
      </c>
      <c r="H88" s="265">
        <v>0</v>
      </c>
      <c r="I88" s="265">
        <v>0</v>
      </c>
      <c r="J88" s="265">
        <v>14</v>
      </c>
      <c r="K88" s="265">
        <v>0</v>
      </c>
      <c r="L88" s="239">
        <f t="shared" si="25"/>
        <v>169</v>
      </c>
      <c r="M88" s="265">
        <v>256</v>
      </c>
      <c r="N88" s="265">
        <v>184</v>
      </c>
      <c r="O88" s="265">
        <v>82</v>
      </c>
      <c r="P88" s="265">
        <v>11</v>
      </c>
      <c r="Q88" s="265">
        <v>5</v>
      </c>
      <c r="R88" s="265">
        <v>0</v>
      </c>
      <c r="S88" s="265">
        <v>0</v>
      </c>
      <c r="T88" s="265">
        <v>0</v>
      </c>
      <c r="U88" s="265"/>
      <c r="V88" s="265">
        <f t="shared" si="23"/>
        <v>538</v>
      </c>
      <c r="W88" s="326">
        <v>263</v>
      </c>
      <c r="X88" s="265"/>
      <c r="Y88" s="235"/>
      <c r="Z88" s="278">
        <f t="shared" si="24"/>
        <v>970</v>
      </c>
      <c r="AA88" s="217">
        <f t="shared" si="22"/>
        <v>591</v>
      </c>
    </row>
    <row r="89" spans="1:28" s="109" customFormat="1" ht="14.4" thickBot="1" x14ac:dyDescent="0.3">
      <c r="A89" s="134"/>
      <c r="B89" s="159" t="s">
        <v>461</v>
      </c>
      <c r="C89" s="258">
        <f t="shared" ref="C89:AA89" si="26">SUM(C73:C88)</f>
        <v>15584</v>
      </c>
      <c r="D89" s="157">
        <f t="shared" si="26"/>
        <v>7130</v>
      </c>
      <c r="E89" s="157">
        <f t="shared" si="26"/>
        <v>4448</v>
      </c>
      <c r="F89" s="157">
        <f t="shared" si="26"/>
        <v>335</v>
      </c>
      <c r="G89" s="157">
        <f t="shared" si="26"/>
        <v>470</v>
      </c>
      <c r="H89" s="157">
        <f t="shared" si="26"/>
        <v>5</v>
      </c>
      <c r="I89" s="259">
        <f t="shared" si="26"/>
        <v>204</v>
      </c>
      <c r="J89" s="364">
        <f t="shared" si="26"/>
        <v>1718</v>
      </c>
      <c r="K89" s="259">
        <f t="shared" si="26"/>
        <v>0</v>
      </c>
      <c r="L89" s="469">
        <f t="shared" si="26"/>
        <v>29894</v>
      </c>
      <c r="M89" s="262">
        <f t="shared" si="26"/>
        <v>5189</v>
      </c>
      <c r="N89" s="158">
        <f t="shared" si="26"/>
        <v>7996</v>
      </c>
      <c r="O89" s="158">
        <f t="shared" si="26"/>
        <v>3310</v>
      </c>
      <c r="P89" s="158">
        <f t="shared" si="26"/>
        <v>257</v>
      </c>
      <c r="Q89" s="158">
        <f t="shared" si="26"/>
        <v>354</v>
      </c>
      <c r="R89" s="158">
        <f t="shared" si="26"/>
        <v>457</v>
      </c>
      <c r="S89" s="158">
        <f t="shared" si="26"/>
        <v>92</v>
      </c>
      <c r="T89" s="264">
        <f t="shared" si="26"/>
        <v>456</v>
      </c>
      <c r="U89" s="401">
        <f t="shared" si="26"/>
        <v>0</v>
      </c>
      <c r="V89" s="180">
        <f t="shared" si="26"/>
        <v>18111</v>
      </c>
      <c r="W89" s="210">
        <f t="shared" si="26"/>
        <v>5257</v>
      </c>
      <c r="X89" s="210">
        <f t="shared" si="26"/>
        <v>0</v>
      </c>
      <c r="Y89" s="210">
        <f>SUM(Y73:Y88)</f>
        <v>0</v>
      </c>
      <c r="Z89" s="210">
        <f t="shared" si="26"/>
        <v>53262</v>
      </c>
      <c r="AA89" s="276">
        <f t="shared" si="26"/>
        <v>36491</v>
      </c>
    </row>
    <row r="90" spans="1:28" x14ac:dyDescent="0.25">
      <c r="A90" s="352" t="s">
        <v>67</v>
      </c>
      <c r="B90" s="279" t="s">
        <v>346</v>
      </c>
      <c r="C90" s="280">
        <v>105</v>
      </c>
      <c r="D90" s="280">
        <v>69</v>
      </c>
      <c r="E90" s="280">
        <v>861</v>
      </c>
      <c r="F90" s="280">
        <v>16</v>
      </c>
      <c r="G90" s="280">
        <v>0</v>
      </c>
      <c r="H90" s="280">
        <v>0</v>
      </c>
      <c r="I90" s="280">
        <v>0</v>
      </c>
      <c r="J90" s="280">
        <v>1324</v>
      </c>
      <c r="K90" s="280">
        <v>0</v>
      </c>
      <c r="L90" s="241">
        <f t="shared" ref="L90:L105" si="27">SUM(C90:K90)</f>
        <v>2375</v>
      </c>
      <c r="M90" s="280">
        <v>86</v>
      </c>
      <c r="N90" s="280">
        <v>177</v>
      </c>
      <c r="O90" s="280">
        <v>27</v>
      </c>
      <c r="P90" s="280">
        <v>0</v>
      </c>
      <c r="Q90" s="280">
        <v>0</v>
      </c>
      <c r="R90" s="280">
        <v>0</v>
      </c>
      <c r="S90" s="280">
        <v>0</v>
      </c>
      <c r="T90" s="280">
        <v>0</v>
      </c>
      <c r="U90" s="280"/>
      <c r="V90" s="280">
        <f>SUM(M90:U90)</f>
        <v>290</v>
      </c>
      <c r="W90" s="240">
        <v>9</v>
      </c>
      <c r="X90" s="237"/>
      <c r="Y90" s="237"/>
      <c r="Z90" s="281">
        <f>L90+V90+W90+X90+Y90</f>
        <v>2674</v>
      </c>
      <c r="AA90" s="218">
        <f t="shared" ref="AA90:AA105" si="28">C90+D90+F90+K90+M90+N90+P90+U90</f>
        <v>453</v>
      </c>
    </row>
    <row r="91" spans="1:28" x14ac:dyDescent="0.25">
      <c r="A91" s="136" t="s">
        <v>76</v>
      </c>
      <c r="B91" s="137" t="s">
        <v>290</v>
      </c>
      <c r="C91" s="230">
        <v>72</v>
      </c>
      <c r="D91" s="230">
        <v>75</v>
      </c>
      <c r="E91" s="230">
        <v>63</v>
      </c>
      <c r="F91" s="230">
        <v>5</v>
      </c>
      <c r="G91" s="230">
        <v>26</v>
      </c>
      <c r="H91" s="230">
        <v>27</v>
      </c>
      <c r="I91" s="230">
        <v>0</v>
      </c>
      <c r="J91" s="230">
        <v>18</v>
      </c>
      <c r="K91" s="230">
        <v>0</v>
      </c>
      <c r="L91" s="241">
        <f t="shared" si="27"/>
        <v>286</v>
      </c>
      <c r="M91" s="230">
        <v>69</v>
      </c>
      <c r="N91" s="230">
        <v>67</v>
      </c>
      <c r="O91" s="230">
        <v>100</v>
      </c>
      <c r="P91" s="230">
        <v>9</v>
      </c>
      <c r="Q91" s="230">
        <v>3</v>
      </c>
      <c r="R91" s="230">
        <v>12</v>
      </c>
      <c r="S91" s="230">
        <v>0</v>
      </c>
      <c r="T91" s="230">
        <v>128</v>
      </c>
      <c r="U91" s="230"/>
      <c r="V91" s="230">
        <f t="shared" ref="V91:V105" si="29">SUM(M91:U91)</f>
        <v>388</v>
      </c>
      <c r="W91" s="245">
        <v>1605</v>
      </c>
      <c r="X91" s="233"/>
      <c r="Y91" s="233"/>
      <c r="Z91" s="247">
        <f t="shared" ref="Z91:Z105" si="30">L91+V91+W91+X91+Y91</f>
        <v>2279</v>
      </c>
      <c r="AA91" s="215">
        <f t="shared" si="28"/>
        <v>297</v>
      </c>
      <c r="AB91" s="367"/>
    </row>
    <row r="92" spans="1:28" x14ac:dyDescent="0.25">
      <c r="A92" s="136" t="s">
        <v>79</v>
      </c>
      <c r="B92" s="137" t="s">
        <v>347</v>
      </c>
      <c r="C92" s="230">
        <v>638</v>
      </c>
      <c r="D92" s="230">
        <v>189</v>
      </c>
      <c r="E92" s="230">
        <v>117</v>
      </c>
      <c r="F92" s="230">
        <v>32</v>
      </c>
      <c r="G92" s="230">
        <v>9</v>
      </c>
      <c r="H92" s="230">
        <v>0</v>
      </c>
      <c r="I92" s="230">
        <v>0</v>
      </c>
      <c r="J92" s="230">
        <v>194</v>
      </c>
      <c r="K92" s="230">
        <v>0</v>
      </c>
      <c r="L92" s="241">
        <f t="shared" si="27"/>
        <v>1179</v>
      </c>
      <c r="M92" s="230">
        <v>402</v>
      </c>
      <c r="N92" s="230">
        <v>335</v>
      </c>
      <c r="O92" s="230">
        <v>176</v>
      </c>
      <c r="P92" s="230">
        <v>35</v>
      </c>
      <c r="Q92" s="230">
        <v>18</v>
      </c>
      <c r="R92" s="230">
        <v>0</v>
      </c>
      <c r="S92" s="230">
        <v>0</v>
      </c>
      <c r="T92" s="230">
        <v>6</v>
      </c>
      <c r="U92" s="230"/>
      <c r="V92" s="230">
        <f t="shared" si="29"/>
        <v>972</v>
      </c>
      <c r="W92" s="245">
        <v>306</v>
      </c>
      <c r="X92" s="233"/>
      <c r="Y92" s="233"/>
      <c r="Z92" s="247">
        <f t="shared" si="30"/>
        <v>2457</v>
      </c>
      <c r="AA92" s="215">
        <f t="shared" si="28"/>
        <v>1631</v>
      </c>
    </row>
    <row r="93" spans="1:28" x14ac:dyDescent="0.25">
      <c r="A93" s="136" t="s">
        <v>83</v>
      </c>
      <c r="B93" s="137" t="s">
        <v>291</v>
      </c>
      <c r="C93" s="230">
        <v>1653</v>
      </c>
      <c r="D93" s="230">
        <v>2288</v>
      </c>
      <c r="E93" s="230">
        <v>432</v>
      </c>
      <c r="F93" s="230">
        <v>34</v>
      </c>
      <c r="G93" s="230">
        <v>117</v>
      </c>
      <c r="H93" s="230">
        <v>0</v>
      </c>
      <c r="I93" s="230">
        <v>0</v>
      </c>
      <c r="J93" s="230">
        <v>191</v>
      </c>
      <c r="K93" s="230">
        <v>0</v>
      </c>
      <c r="L93" s="241">
        <f t="shared" si="27"/>
        <v>4715</v>
      </c>
      <c r="M93" s="230">
        <v>641</v>
      </c>
      <c r="N93" s="230">
        <v>1860</v>
      </c>
      <c r="O93" s="230">
        <v>420</v>
      </c>
      <c r="P93" s="230">
        <v>10</v>
      </c>
      <c r="Q93" s="230">
        <v>47</v>
      </c>
      <c r="R93" s="230">
        <v>48</v>
      </c>
      <c r="S93" s="230">
        <v>0</v>
      </c>
      <c r="T93" s="230">
        <v>6</v>
      </c>
      <c r="U93" s="230"/>
      <c r="V93" s="230">
        <f t="shared" si="29"/>
        <v>3032</v>
      </c>
      <c r="W93" s="270"/>
      <c r="X93" s="233"/>
      <c r="Y93" s="233"/>
      <c r="Z93" s="247">
        <f t="shared" si="30"/>
        <v>7747</v>
      </c>
      <c r="AA93" s="215">
        <f t="shared" si="28"/>
        <v>6486</v>
      </c>
    </row>
    <row r="94" spans="1:28" x14ac:dyDescent="0.25">
      <c r="A94" s="136" t="s">
        <v>89</v>
      </c>
      <c r="B94" s="137" t="s">
        <v>348</v>
      </c>
      <c r="C94" s="230">
        <v>73</v>
      </c>
      <c r="D94" s="230">
        <v>171</v>
      </c>
      <c r="E94" s="230">
        <v>29</v>
      </c>
      <c r="F94" s="230">
        <v>6</v>
      </c>
      <c r="G94" s="230">
        <v>4</v>
      </c>
      <c r="H94" s="230">
        <v>0</v>
      </c>
      <c r="I94" s="230">
        <v>53</v>
      </c>
      <c r="J94" s="230">
        <v>32</v>
      </c>
      <c r="K94" s="230">
        <v>0</v>
      </c>
      <c r="L94" s="241">
        <f t="shared" si="27"/>
        <v>368</v>
      </c>
      <c r="M94" s="230">
        <v>57</v>
      </c>
      <c r="N94" s="230">
        <v>113</v>
      </c>
      <c r="O94" s="230">
        <v>29</v>
      </c>
      <c r="P94" s="230">
        <v>0</v>
      </c>
      <c r="Q94" s="230">
        <v>8</v>
      </c>
      <c r="R94" s="230">
        <v>0</v>
      </c>
      <c r="S94" s="230">
        <v>0</v>
      </c>
      <c r="T94" s="230">
        <v>0</v>
      </c>
      <c r="U94" s="230"/>
      <c r="V94" s="230">
        <f t="shared" si="29"/>
        <v>207</v>
      </c>
      <c r="W94" s="245">
        <v>156</v>
      </c>
      <c r="X94" s="233"/>
      <c r="Y94" s="233"/>
      <c r="Z94" s="247">
        <f t="shared" si="30"/>
        <v>731</v>
      </c>
      <c r="AA94" s="215">
        <f t="shared" si="28"/>
        <v>420</v>
      </c>
    </row>
    <row r="95" spans="1:28" x14ac:dyDescent="0.25">
      <c r="A95" s="136" t="s">
        <v>90</v>
      </c>
      <c r="B95" s="137" t="s">
        <v>349</v>
      </c>
      <c r="C95" s="230">
        <v>130</v>
      </c>
      <c r="D95" s="230">
        <v>166</v>
      </c>
      <c r="E95" s="230">
        <v>46</v>
      </c>
      <c r="F95" s="230">
        <v>2</v>
      </c>
      <c r="G95" s="230">
        <v>3</v>
      </c>
      <c r="H95" s="230">
        <v>0</v>
      </c>
      <c r="I95" s="230">
        <v>0</v>
      </c>
      <c r="J95" s="230">
        <v>56</v>
      </c>
      <c r="K95" s="230">
        <v>0</v>
      </c>
      <c r="L95" s="241">
        <f t="shared" si="27"/>
        <v>403</v>
      </c>
      <c r="M95" s="230">
        <v>232</v>
      </c>
      <c r="N95" s="230">
        <v>323</v>
      </c>
      <c r="O95" s="230">
        <v>148</v>
      </c>
      <c r="P95" s="230">
        <v>16</v>
      </c>
      <c r="Q95" s="230">
        <v>22</v>
      </c>
      <c r="R95" s="230">
        <v>0</v>
      </c>
      <c r="S95" s="230">
        <v>0</v>
      </c>
      <c r="T95" s="230">
        <v>6</v>
      </c>
      <c r="U95" s="230"/>
      <c r="V95" s="230">
        <f t="shared" si="29"/>
        <v>747</v>
      </c>
      <c r="W95" s="245">
        <v>278</v>
      </c>
      <c r="X95" s="233"/>
      <c r="Y95" s="233"/>
      <c r="Z95" s="247">
        <f t="shared" si="30"/>
        <v>1428</v>
      </c>
      <c r="AA95" s="215">
        <f t="shared" si="28"/>
        <v>869</v>
      </c>
    </row>
    <row r="96" spans="1:28" x14ac:dyDescent="0.25">
      <c r="A96" s="136" t="s">
        <v>93</v>
      </c>
      <c r="B96" s="137" t="s">
        <v>359</v>
      </c>
      <c r="C96" s="230">
        <v>302</v>
      </c>
      <c r="D96" s="230">
        <v>398</v>
      </c>
      <c r="E96" s="230">
        <v>1716</v>
      </c>
      <c r="F96" s="230">
        <v>18</v>
      </c>
      <c r="G96" s="230">
        <v>14</v>
      </c>
      <c r="H96" s="230">
        <v>0</v>
      </c>
      <c r="I96" s="230">
        <v>1</v>
      </c>
      <c r="J96" s="230">
        <v>3187</v>
      </c>
      <c r="K96" s="230">
        <v>0</v>
      </c>
      <c r="L96" s="241">
        <f t="shared" si="27"/>
        <v>5636</v>
      </c>
      <c r="M96" s="230">
        <v>232</v>
      </c>
      <c r="N96" s="230">
        <v>379</v>
      </c>
      <c r="O96" s="230">
        <v>173</v>
      </c>
      <c r="P96" s="230">
        <v>16</v>
      </c>
      <c r="Q96" s="230">
        <v>6</v>
      </c>
      <c r="R96" s="230">
        <v>0</v>
      </c>
      <c r="S96" s="230">
        <v>0</v>
      </c>
      <c r="T96" s="230">
        <v>8</v>
      </c>
      <c r="U96" s="230"/>
      <c r="V96" s="230">
        <f t="shared" si="29"/>
        <v>814</v>
      </c>
      <c r="W96" s="245">
        <v>549</v>
      </c>
      <c r="X96" s="233"/>
      <c r="Y96" s="233"/>
      <c r="Z96" s="247">
        <f t="shared" si="30"/>
        <v>6999</v>
      </c>
      <c r="AA96" s="215">
        <f t="shared" si="28"/>
        <v>1345</v>
      </c>
    </row>
    <row r="97" spans="1:27" x14ac:dyDescent="0.25">
      <c r="A97" s="136" t="s">
        <v>97</v>
      </c>
      <c r="B97" s="137" t="s">
        <v>294</v>
      </c>
      <c r="C97" s="230">
        <v>578</v>
      </c>
      <c r="D97" s="230">
        <v>458</v>
      </c>
      <c r="E97" s="230">
        <v>145</v>
      </c>
      <c r="F97" s="230">
        <v>11</v>
      </c>
      <c r="G97" s="230">
        <v>21</v>
      </c>
      <c r="H97" s="230">
        <v>20</v>
      </c>
      <c r="I97" s="230">
        <v>0</v>
      </c>
      <c r="J97" s="230">
        <v>85</v>
      </c>
      <c r="K97" s="230">
        <v>0</v>
      </c>
      <c r="L97" s="241">
        <f t="shared" si="27"/>
        <v>1318</v>
      </c>
      <c r="M97" s="230">
        <v>395</v>
      </c>
      <c r="N97" s="230">
        <v>660</v>
      </c>
      <c r="O97" s="230">
        <v>238</v>
      </c>
      <c r="P97" s="230">
        <v>5</v>
      </c>
      <c r="Q97" s="230">
        <v>32</v>
      </c>
      <c r="R97" s="230">
        <v>0</v>
      </c>
      <c r="S97" s="230">
        <v>0</v>
      </c>
      <c r="T97" s="230">
        <v>2</v>
      </c>
      <c r="U97" s="230"/>
      <c r="V97" s="230">
        <f t="shared" si="29"/>
        <v>1332</v>
      </c>
      <c r="W97" s="245">
        <v>496</v>
      </c>
      <c r="X97" s="233"/>
      <c r="Y97" s="233"/>
      <c r="Z97" s="247">
        <f t="shared" si="30"/>
        <v>3146</v>
      </c>
      <c r="AA97" s="215">
        <f t="shared" si="28"/>
        <v>2107</v>
      </c>
    </row>
    <row r="98" spans="1:27" x14ac:dyDescent="0.25">
      <c r="A98" s="136" t="s">
        <v>125</v>
      </c>
      <c r="B98" s="137" t="s">
        <v>350</v>
      </c>
      <c r="C98" s="230">
        <v>435</v>
      </c>
      <c r="D98" s="230">
        <v>301</v>
      </c>
      <c r="E98" s="230">
        <v>438</v>
      </c>
      <c r="F98" s="230">
        <v>52</v>
      </c>
      <c r="G98" s="230">
        <v>19</v>
      </c>
      <c r="H98" s="230">
        <v>0</v>
      </c>
      <c r="I98" s="230">
        <v>8</v>
      </c>
      <c r="J98" s="230">
        <v>726</v>
      </c>
      <c r="K98" s="230">
        <v>0</v>
      </c>
      <c r="L98" s="241">
        <f t="shared" si="27"/>
        <v>1979</v>
      </c>
      <c r="M98" s="230">
        <v>184</v>
      </c>
      <c r="N98" s="230">
        <v>328</v>
      </c>
      <c r="O98" s="230">
        <v>218</v>
      </c>
      <c r="P98" s="230">
        <v>9</v>
      </c>
      <c r="Q98" s="230">
        <v>16</v>
      </c>
      <c r="R98" s="230">
        <v>0</v>
      </c>
      <c r="S98" s="230">
        <v>0</v>
      </c>
      <c r="T98" s="230">
        <v>481</v>
      </c>
      <c r="U98" s="230"/>
      <c r="V98" s="230">
        <f t="shared" si="29"/>
        <v>1236</v>
      </c>
      <c r="W98" s="245">
        <v>724</v>
      </c>
      <c r="X98" s="233"/>
      <c r="Y98" s="233"/>
      <c r="Z98" s="247">
        <f t="shared" si="30"/>
        <v>3939</v>
      </c>
      <c r="AA98" s="215">
        <f t="shared" si="28"/>
        <v>1309</v>
      </c>
    </row>
    <row r="99" spans="1:27" x14ac:dyDescent="0.25">
      <c r="A99" s="136" t="s">
        <v>135</v>
      </c>
      <c r="B99" s="137" t="s">
        <v>351</v>
      </c>
      <c r="C99" s="230">
        <v>402</v>
      </c>
      <c r="D99" s="230">
        <v>398</v>
      </c>
      <c r="E99" s="230">
        <v>345</v>
      </c>
      <c r="F99" s="230">
        <v>24</v>
      </c>
      <c r="G99" s="230">
        <v>22</v>
      </c>
      <c r="H99" s="230">
        <v>0</v>
      </c>
      <c r="I99" s="230">
        <v>0</v>
      </c>
      <c r="J99" s="230">
        <v>19</v>
      </c>
      <c r="K99" s="230">
        <v>0</v>
      </c>
      <c r="L99" s="241">
        <f t="shared" si="27"/>
        <v>1210</v>
      </c>
      <c r="M99" s="230">
        <v>288</v>
      </c>
      <c r="N99" s="230">
        <v>1057</v>
      </c>
      <c r="O99" s="230">
        <v>243</v>
      </c>
      <c r="P99" s="230">
        <v>4</v>
      </c>
      <c r="Q99" s="230">
        <v>66</v>
      </c>
      <c r="R99" s="230">
        <v>6</v>
      </c>
      <c r="S99" s="230">
        <v>0</v>
      </c>
      <c r="T99" s="230">
        <v>0</v>
      </c>
      <c r="U99" s="230"/>
      <c r="V99" s="230">
        <f t="shared" si="29"/>
        <v>1664</v>
      </c>
      <c r="W99" s="245">
        <v>163</v>
      </c>
      <c r="X99" s="233"/>
      <c r="Y99" s="233"/>
      <c r="Z99" s="247">
        <f t="shared" si="30"/>
        <v>3037</v>
      </c>
      <c r="AA99" s="215">
        <f t="shared" si="28"/>
        <v>2173</v>
      </c>
    </row>
    <row r="100" spans="1:27" x14ac:dyDescent="0.25">
      <c r="A100" s="136" t="s">
        <v>144</v>
      </c>
      <c r="B100" s="137" t="s">
        <v>352</v>
      </c>
      <c r="C100" s="230">
        <v>720</v>
      </c>
      <c r="D100" s="230">
        <v>177</v>
      </c>
      <c r="E100" s="230">
        <v>209</v>
      </c>
      <c r="F100" s="230">
        <v>35</v>
      </c>
      <c r="G100" s="230">
        <v>14</v>
      </c>
      <c r="H100" s="230">
        <v>0</v>
      </c>
      <c r="I100" s="230">
        <v>0</v>
      </c>
      <c r="J100" s="230">
        <v>202</v>
      </c>
      <c r="K100" s="230">
        <v>0</v>
      </c>
      <c r="L100" s="241">
        <f t="shared" si="27"/>
        <v>1357</v>
      </c>
      <c r="M100" s="393">
        <v>238</v>
      </c>
      <c r="N100" s="393">
        <v>205</v>
      </c>
      <c r="O100" s="393">
        <v>122</v>
      </c>
      <c r="P100" s="393">
        <v>9</v>
      </c>
      <c r="Q100" s="393">
        <v>25</v>
      </c>
      <c r="R100" s="393">
        <v>0</v>
      </c>
      <c r="S100" s="393">
        <v>0</v>
      </c>
      <c r="T100" s="393">
        <v>130</v>
      </c>
      <c r="U100" s="393"/>
      <c r="V100" s="230">
        <f t="shared" si="29"/>
        <v>729</v>
      </c>
      <c r="W100" s="245">
        <v>0</v>
      </c>
      <c r="X100" s="233"/>
      <c r="Y100" s="233"/>
      <c r="Z100" s="247">
        <f t="shared" si="30"/>
        <v>2086</v>
      </c>
      <c r="AA100" s="215">
        <f t="shared" si="28"/>
        <v>1384</v>
      </c>
    </row>
    <row r="101" spans="1:27" x14ac:dyDescent="0.25">
      <c r="A101" s="136" t="s">
        <v>176</v>
      </c>
      <c r="B101" s="137" t="s">
        <v>354</v>
      </c>
      <c r="C101" s="230">
        <v>213</v>
      </c>
      <c r="D101" s="230">
        <v>442</v>
      </c>
      <c r="E101" s="230">
        <v>51</v>
      </c>
      <c r="F101" s="230">
        <v>33</v>
      </c>
      <c r="G101" s="230">
        <v>17</v>
      </c>
      <c r="H101" s="230">
        <v>0</v>
      </c>
      <c r="I101" s="230">
        <v>0</v>
      </c>
      <c r="J101" s="230">
        <v>99</v>
      </c>
      <c r="K101" s="230">
        <v>0</v>
      </c>
      <c r="L101" s="241">
        <f t="shared" si="27"/>
        <v>855</v>
      </c>
      <c r="M101" s="393">
        <v>151</v>
      </c>
      <c r="N101" s="393">
        <v>458</v>
      </c>
      <c r="O101" s="393">
        <v>67</v>
      </c>
      <c r="P101" s="393">
        <v>15</v>
      </c>
      <c r="Q101" s="393">
        <v>28</v>
      </c>
      <c r="R101" s="393">
        <v>0</v>
      </c>
      <c r="S101" s="393">
        <v>0</v>
      </c>
      <c r="T101" s="393">
        <v>0</v>
      </c>
      <c r="U101" s="393"/>
      <c r="V101" s="230">
        <f t="shared" si="29"/>
        <v>719</v>
      </c>
      <c r="W101" s="245">
        <v>104</v>
      </c>
      <c r="X101" s="233"/>
      <c r="Y101" s="233"/>
      <c r="Z101" s="247">
        <f t="shared" si="30"/>
        <v>1678</v>
      </c>
      <c r="AA101" s="215">
        <f t="shared" si="28"/>
        <v>1312</v>
      </c>
    </row>
    <row r="102" spans="1:27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41">
        <f t="shared" si="27"/>
        <v>0</v>
      </c>
      <c r="M102" s="502"/>
      <c r="N102" s="502"/>
      <c r="O102" s="502"/>
      <c r="P102" s="393"/>
      <c r="Q102" s="502"/>
      <c r="R102" s="502"/>
      <c r="S102" s="502"/>
      <c r="T102" s="502"/>
      <c r="U102" s="502"/>
      <c r="V102" s="230">
        <f t="shared" si="29"/>
        <v>0</v>
      </c>
      <c r="W102" s="245">
        <f>0+1178+1476+2321+23636+10481+1022+1020+1236</f>
        <v>42370</v>
      </c>
      <c r="X102" s="233"/>
      <c r="Y102" s="233"/>
      <c r="Z102" s="247">
        <f t="shared" si="30"/>
        <v>42370</v>
      </c>
      <c r="AA102" s="215">
        <f>C102+D102+F102+K102+M102+N102+Q102+U102</f>
        <v>0</v>
      </c>
    </row>
    <row r="103" spans="1:27" x14ac:dyDescent="0.25">
      <c r="A103" s="136" t="s">
        <v>177</v>
      </c>
      <c r="B103" s="137" t="s">
        <v>302</v>
      </c>
      <c r="C103" s="230">
        <v>1118</v>
      </c>
      <c r="D103" s="230">
        <v>2086</v>
      </c>
      <c r="E103" s="230">
        <v>348</v>
      </c>
      <c r="F103" s="230">
        <v>18</v>
      </c>
      <c r="G103" s="230">
        <v>44</v>
      </c>
      <c r="H103" s="230">
        <v>0</v>
      </c>
      <c r="I103" s="230">
        <v>0</v>
      </c>
      <c r="J103" s="230">
        <v>251</v>
      </c>
      <c r="K103" s="230">
        <v>0</v>
      </c>
      <c r="L103" s="241">
        <f t="shared" si="27"/>
        <v>3865</v>
      </c>
      <c r="M103" s="393">
        <v>259</v>
      </c>
      <c r="N103" s="393">
        <v>1201</v>
      </c>
      <c r="O103" s="393">
        <v>346</v>
      </c>
      <c r="P103" s="393">
        <v>16</v>
      </c>
      <c r="Q103" s="393">
        <v>27</v>
      </c>
      <c r="R103" s="393">
        <v>0</v>
      </c>
      <c r="S103" s="393">
        <v>0</v>
      </c>
      <c r="T103" s="393">
        <v>22</v>
      </c>
      <c r="U103" s="393">
        <v>0</v>
      </c>
      <c r="V103" s="230">
        <f t="shared" si="29"/>
        <v>1871</v>
      </c>
      <c r="W103" s="245">
        <v>541</v>
      </c>
      <c r="X103" s="233"/>
      <c r="Y103" s="233"/>
      <c r="Z103" s="247">
        <f t="shared" si="30"/>
        <v>6277</v>
      </c>
      <c r="AA103" s="215">
        <f t="shared" si="28"/>
        <v>4698</v>
      </c>
    </row>
    <row r="104" spans="1:27" x14ac:dyDescent="0.25">
      <c r="A104" s="136" t="s">
        <v>178</v>
      </c>
      <c r="B104" s="137" t="s">
        <v>304</v>
      </c>
      <c r="C104" s="230">
        <v>352</v>
      </c>
      <c r="D104" s="230">
        <v>514</v>
      </c>
      <c r="E104" s="230">
        <v>118</v>
      </c>
      <c r="F104" s="230">
        <v>46</v>
      </c>
      <c r="G104" s="230">
        <v>25</v>
      </c>
      <c r="H104" s="230">
        <v>0</v>
      </c>
      <c r="I104" s="230">
        <v>1</v>
      </c>
      <c r="J104" s="230">
        <v>68</v>
      </c>
      <c r="K104" s="230">
        <v>0</v>
      </c>
      <c r="L104" s="241">
        <f t="shared" si="27"/>
        <v>1124</v>
      </c>
      <c r="M104" s="230">
        <v>94</v>
      </c>
      <c r="N104" s="230">
        <v>661</v>
      </c>
      <c r="O104" s="230">
        <v>132</v>
      </c>
      <c r="P104" s="230">
        <v>5</v>
      </c>
      <c r="Q104" s="230">
        <v>16</v>
      </c>
      <c r="R104" s="230">
        <v>0</v>
      </c>
      <c r="S104" s="230">
        <v>0</v>
      </c>
      <c r="T104" s="230">
        <v>0</v>
      </c>
      <c r="U104" s="230">
        <v>0</v>
      </c>
      <c r="V104" s="230">
        <f t="shared" si="29"/>
        <v>908</v>
      </c>
      <c r="W104" s="326">
        <v>302</v>
      </c>
      <c r="X104" s="235"/>
      <c r="Y104" s="235"/>
      <c r="Z104" s="247">
        <f t="shared" si="30"/>
        <v>2334</v>
      </c>
      <c r="AA104" s="217">
        <f t="shared" si="28"/>
        <v>1672</v>
      </c>
    </row>
    <row r="105" spans="1:27" ht="13.8" thickBot="1" x14ac:dyDescent="0.3">
      <c r="A105" s="136" t="s">
        <v>190</v>
      </c>
      <c r="B105" s="143" t="s">
        <v>364</v>
      </c>
      <c r="C105" s="265">
        <v>897</v>
      </c>
      <c r="D105" s="265">
        <v>1033</v>
      </c>
      <c r="E105" s="265">
        <v>401</v>
      </c>
      <c r="F105" s="265">
        <v>33</v>
      </c>
      <c r="G105" s="265">
        <v>43</v>
      </c>
      <c r="H105" s="265">
        <v>78</v>
      </c>
      <c r="I105" s="265">
        <v>0</v>
      </c>
      <c r="J105" s="265">
        <v>234</v>
      </c>
      <c r="K105" s="265">
        <v>208</v>
      </c>
      <c r="L105" s="268">
        <f t="shared" si="27"/>
        <v>2927</v>
      </c>
      <c r="M105" s="265">
        <v>608</v>
      </c>
      <c r="N105" s="265">
        <v>1634</v>
      </c>
      <c r="O105" s="265">
        <v>484</v>
      </c>
      <c r="P105" s="265">
        <v>50</v>
      </c>
      <c r="Q105" s="265">
        <v>80</v>
      </c>
      <c r="R105" s="265">
        <v>0</v>
      </c>
      <c r="S105" s="265">
        <v>0</v>
      </c>
      <c r="T105" s="265">
        <v>405</v>
      </c>
      <c r="U105" s="265">
        <v>0</v>
      </c>
      <c r="V105" s="265">
        <f t="shared" si="29"/>
        <v>3261</v>
      </c>
      <c r="W105" s="326">
        <v>259</v>
      </c>
      <c r="X105" s="209"/>
      <c r="Y105" s="209"/>
      <c r="Z105" s="247">
        <f t="shared" si="30"/>
        <v>6447</v>
      </c>
      <c r="AA105" s="217">
        <f t="shared" si="28"/>
        <v>4463</v>
      </c>
    </row>
    <row r="106" spans="1:27" s="109" customFormat="1" ht="14.4" thickBot="1" x14ac:dyDescent="0.3">
      <c r="A106" s="134"/>
      <c r="B106" s="159" t="s">
        <v>462</v>
      </c>
      <c r="C106" s="293">
        <f t="shared" ref="C106:AA106" si="31">SUM(C90:C105)</f>
        <v>7688</v>
      </c>
      <c r="D106" s="157">
        <f t="shared" si="31"/>
        <v>8765</v>
      </c>
      <c r="E106" s="157">
        <f t="shared" si="31"/>
        <v>5319</v>
      </c>
      <c r="F106" s="157">
        <f t="shared" si="31"/>
        <v>365</v>
      </c>
      <c r="G106" s="157">
        <f t="shared" si="31"/>
        <v>378</v>
      </c>
      <c r="H106" s="157">
        <f t="shared" si="31"/>
        <v>125</v>
      </c>
      <c r="I106" s="166">
        <f t="shared" si="31"/>
        <v>63</v>
      </c>
      <c r="J106" s="362">
        <f t="shared" si="31"/>
        <v>6686</v>
      </c>
      <c r="K106" s="259">
        <f t="shared" si="31"/>
        <v>208</v>
      </c>
      <c r="L106" s="260">
        <f t="shared" si="31"/>
        <v>29597</v>
      </c>
      <c r="M106" s="263">
        <f t="shared" si="31"/>
        <v>3936</v>
      </c>
      <c r="N106" s="363">
        <f t="shared" si="31"/>
        <v>9458</v>
      </c>
      <c r="O106" s="158">
        <f t="shared" si="31"/>
        <v>2923</v>
      </c>
      <c r="P106" s="158">
        <f t="shared" si="31"/>
        <v>199</v>
      </c>
      <c r="Q106" s="158">
        <f t="shared" si="31"/>
        <v>394</v>
      </c>
      <c r="R106" s="158">
        <f t="shared" si="31"/>
        <v>66</v>
      </c>
      <c r="S106" s="158">
        <f t="shared" si="31"/>
        <v>0</v>
      </c>
      <c r="T106" s="264">
        <f t="shared" si="31"/>
        <v>1194</v>
      </c>
      <c r="U106" s="401">
        <f t="shared" si="31"/>
        <v>0</v>
      </c>
      <c r="V106" s="401">
        <f t="shared" si="31"/>
        <v>18170</v>
      </c>
      <c r="W106" s="261">
        <f t="shared" si="31"/>
        <v>47862</v>
      </c>
      <c r="X106" s="210">
        <f>SUM(X90:X105)</f>
        <v>0</v>
      </c>
      <c r="Y106" s="210">
        <f>SUM(Y90:Y105)</f>
        <v>0</v>
      </c>
      <c r="Z106" s="210">
        <f t="shared" si="31"/>
        <v>95629</v>
      </c>
      <c r="AA106" s="210">
        <f t="shared" si="31"/>
        <v>30619</v>
      </c>
    </row>
    <row r="107" spans="1:27" ht="18" thickBot="1" x14ac:dyDescent="0.35">
      <c r="A107" s="135"/>
      <c r="B107" s="169" t="s">
        <v>463</v>
      </c>
      <c r="C107" s="186">
        <f t="shared" ref="C107:AA107" si="32">C106+C89+C72+C55+C37+C23</f>
        <v>81263</v>
      </c>
      <c r="D107" s="162">
        <f t="shared" si="32"/>
        <v>51090</v>
      </c>
      <c r="E107" s="162">
        <f t="shared" si="32"/>
        <v>28821</v>
      </c>
      <c r="F107" s="162">
        <f t="shared" si="32"/>
        <v>2160</v>
      </c>
      <c r="G107" s="162">
        <f t="shared" si="32"/>
        <v>2370</v>
      </c>
      <c r="H107" s="162">
        <f t="shared" si="32"/>
        <v>426</v>
      </c>
      <c r="I107" s="162">
        <f t="shared" si="32"/>
        <v>2261</v>
      </c>
      <c r="J107" s="162">
        <f t="shared" si="32"/>
        <v>31485</v>
      </c>
      <c r="K107" s="163">
        <f t="shared" si="32"/>
        <v>1235</v>
      </c>
      <c r="L107" s="187">
        <f t="shared" si="32"/>
        <v>201111</v>
      </c>
      <c r="M107" s="186">
        <f t="shared" si="32"/>
        <v>29992</v>
      </c>
      <c r="N107" s="162">
        <f t="shared" si="32"/>
        <v>51117</v>
      </c>
      <c r="O107" s="162">
        <f t="shared" si="32"/>
        <v>17422</v>
      </c>
      <c r="P107" s="162">
        <f t="shared" si="32"/>
        <v>1182</v>
      </c>
      <c r="Q107" s="162">
        <f t="shared" si="32"/>
        <v>2065</v>
      </c>
      <c r="R107" s="162">
        <f t="shared" si="32"/>
        <v>1435</v>
      </c>
      <c r="S107" s="162">
        <f t="shared" si="32"/>
        <v>132</v>
      </c>
      <c r="T107" s="162">
        <f t="shared" si="32"/>
        <v>2612</v>
      </c>
      <c r="U107" s="163">
        <f t="shared" si="32"/>
        <v>43</v>
      </c>
      <c r="V107" s="187">
        <f t="shared" si="32"/>
        <v>106000</v>
      </c>
      <c r="W107" s="212">
        <f t="shared" si="32"/>
        <v>105616</v>
      </c>
      <c r="X107" s="212">
        <f t="shared" si="32"/>
        <v>2255</v>
      </c>
      <c r="Y107" s="212">
        <f>+Y89+Y72+Y55+Y37+Y23</f>
        <v>177</v>
      </c>
      <c r="Z107" s="212">
        <f t="shared" si="32"/>
        <v>415159</v>
      </c>
      <c r="AA107" s="212">
        <f t="shared" si="32"/>
        <v>218082</v>
      </c>
    </row>
    <row r="109" spans="1:27" x14ac:dyDescent="0.25">
      <c r="C109" s="122">
        <f>C107</f>
        <v>81263</v>
      </c>
      <c r="D109" s="122">
        <f t="shared" ref="D109:AA109" si="33">D107</f>
        <v>51090</v>
      </c>
      <c r="E109" s="122">
        <f t="shared" si="33"/>
        <v>28821</v>
      </c>
      <c r="F109" s="122">
        <f t="shared" si="33"/>
        <v>2160</v>
      </c>
      <c r="G109" s="122">
        <f t="shared" si="33"/>
        <v>2370</v>
      </c>
      <c r="H109" s="122">
        <f t="shared" si="33"/>
        <v>426</v>
      </c>
      <c r="I109" s="122">
        <f t="shared" si="33"/>
        <v>2261</v>
      </c>
      <c r="J109" s="122">
        <f t="shared" si="33"/>
        <v>31485</v>
      </c>
      <c r="K109" s="122">
        <f t="shared" si="33"/>
        <v>1235</v>
      </c>
      <c r="L109" s="122">
        <f t="shared" si="33"/>
        <v>201111</v>
      </c>
      <c r="M109" s="122">
        <f t="shared" si="33"/>
        <v>29992</v>
      </c>
      <c r="N109" s="122">
        <f t="shared" si="33"/>
        <v>51117</v>
      </c>
      <c r="O109" s="122">
        <f t="shared" si="33"/>
        <v>17422</v>
      </c>
      <c r="P109" s="122">
        <f t="shared" si="33"/>
        <v>1182</v>
      </c>
      <c r="Q109" s="122">
        <f t="shared" si="33"/>
        <v>2065</v>
      </c>
      <c r="R109" s="122">
        <f t="shared" si="33"/>
        <v>1435</v>
      </c>
      <c r="S109" s="122">
        <f t="shared" si="33"/>
        <v>132</v>
      </c>
      <c r="T109" s="122">
        <f t="shared" si="33"/>
        <v>2612</v>
      </c>
      <c r="U109" s="122">
        <f t="shared" si="33"/>
        <v>43</v>
      </c>
      <c r="V109" s="122">
        <f t="shared" si="33"/>
        <v>106000</v>
      </c>
      <c r="W109" s="122">
        <f t="shared" si="33"/>
        <v>105616</v>
      </c>
      <c r="X109" s="122">
        <f t="shared" si="33"/>
        <v>2255</v>
      </c>
      <c r="Y109" s="122">
        <f t="shared" si="33"/>
        <v>177</v>
      </c>
      <c r="Z109" s="122">
        <f t="shared" si="33"/>
        <v>415159</v>
      </c>
      <c r="AA109" s="122">
        <f t="shared" si="33"/>
        <v>218082</v>
      </c>
    </row>
    <row r="111" spans="1:27" x14ac:dyDescent="0.25">
      <c r="E111" s="122"/>
      <c r="I111" s="122"/>
      <c r="V111" s="122"/>
    </row>
    <row r="114" spans="17:22" x14ac:dyDescent="0.25">
      <c r="V114" s="122"/>
    </row>
    <row r="118" spans="17:22" x14ac:dyDescent="0.25">
      <c r="Q118" s="122"/>
    </row>
  </sheetData>
  <mergeCells count="6">
    <mergeCell ref="B1:B3"/>
    <mergeCell ref="C4:L4"/>
    <mergeCell ref="M4:V4"/>
    <mergeCell ref="C1:Z1"/>
    <mergeCell ref="C2:Z2"/>
    <mergeCell ref="X4:Y4"/>
  </mergeCells>
  <conditionalFormatting sqref="W6:W22 W38:W48 W73:W88 W24:W36 W61:W71 W52:W54">
    <cfRule type="cellIs" dxfId="63" priority="8" stopIfTrue="1" operator="notBetween">
      <formula>-2000</formula>
      <formula>2000</formula>
    </cfRule>
  </conditionalFormatting>
  <conditionalFormatting sqref="V3">
    <cfRule type="cellIs" dxfId="62" priority="11" stopIfTrue="1" operator="greaterThan">
      <formula>10</formula>
    </cfRule>
    <cfRule type="cellIs" dxfId="61" priority="12" stopIfTrue="1" operator="lessThan">
      <formula>10</formula>
    </cfRule>
  </conditionalFormatting>
  <conditionalFormatting sqref="W90:W105">
    <cfRule type="cellIs" dxfId="60" priority="10" stopIfTrue="1" operator="notBetween">
      <formula>-2000</formula>
      <formula>2000</formula>
    </cfRule>
  </conditionalFormatting>
  <conditionalFormatting sqref="W18">
    <cfRule type="cellIs" dxfId="59" priority="9" stopIfTrue="1" operator="notBetween">
      <formula>-2000</formula>
      <formula>2000</formula>
    </cfRule>
  </conditionalFormatting>
  <conditionalFormatting sqref="X24:Y28 X56:Y71 X38:Y54 X6:Y22 X29:X33">
    <cfRule type="cellIs" dxfId="58" priority="5" stopIfTrue="1" operator="notBetween">
      <formula>-2000</formula>
      <formula>2000</formula>
    </cfRule>
  </conditionalFormatting>
  <conditionalFormatting sqref="X90:Y105">
    <cfRule type="cellIs" dxfId="57" priority="7" stopIfTrue="1" operator="notBetween">
      <formula>-2000</formula>
      <formula>2000</formula>
    </cfRule>
  </conditionalFormatting>
  <conditionalFormatting sqref="X18:Y18">
    <cfRule type="cellIs" dxfId="56" priority="6" stopIfTrue="1" operator="notBetween">
      <formula>-2000</formula>
      <formula>2000</formula>
    </cfRule>
  </conditionalFormatting>
  <conditionalFormatting sqref="Y29:Y35">
    <cfRule type="cellIs" dxfId="55" priority="4" stopIfTrue="1" operator="notBetween">
      <formula>-2000</formula>
      <formula>2000</formula>
    </cfRule>
  </conditionalFormatting>
  <conditionalFormatting sqref="Y73:Y88">
    <cfRule type="cellIs" dxfId="54" priority="3" stopIfTrue="1" operator="notBetween">
      <formula>-2000</formula>
      <formula>2000</formula>
    </cfRule>
  </conditionalFormatting>
  <conditionalFormatting sqref="W58">
    <cfRule type="cellIs" dxfId="53" priority="2" stopIfTrue="1" operator="notBetween">
      <formula>-2000</formula>
      <formula>2000</formula>
    </cfRule>
  </conditionalFormatting>
  <conditionalFormatting sqref="W60">
    <cfRule type="cellIs" dxfId="52" priority="1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4" fitToHeight="4" orientation="landscape" r:id="rId1"/>
  <headerFooter alignWithMargins="0">
    <oddFooter xml:space="preserve">&amp;L&amp;8&amp;Z&amp;F&amp;A&amp;10
</oddFooter>
  </headerFooter>
  <ignoredErrors>
    <ignoredError sqref="L37 L55 V37 L89 L72 V89 V72 V55 L23 V23 Z89:AA89 Z72:AA72 Z55:AA55 Z37:AA37 Z23:AA23 Y10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M111"/>
  <sheetViews>
    <sheetView showZeros="0" zoomScaleNormal="100" zoomScaleSheetLayoutView="50" workbookViewId="0">
      <pane xSplit="2" ySplit="5" topLeftCell="P6" activePane="bottomRight" state="frozen"/>
      <selection activeCell="R34" sqref="R34"/>
      <selection pane="topRight" activeCell="R34" sqref="R34"/>
      <selection pane="bottomLeft" activeCell="R34" sqref="R34"/>
      <selection pane="bottomRight" activeCell="AB68" sqref="AB68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customWidth="1"/>
    <col min="27" max="27" width="13.109375" customWidth="1"/>
    <col min="28" max="28" width="6" customWidth="1"/>
  </cols>
  <sheetData>
    <row r="1" spans="1:39" s="111" customFormat="1" ht="22.8" x14ac:dyDescent="0.35">
      <c r="B1" s="544"/>
      <c r="C1" s="546" t="s">
        <v>263</v>
      </c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6"/>
      <c r="S1" s="546"/>
      <c r="T1" s="546"/>
      <c r="U1" s="546"/>
      <c r="V1" s="546"/>
      <c r="W1" s="546"/>
      <c r="X1" s="546"/>
      <c r="Y1" s="546"/>
      <c r="Z1" s="546"/>
    </row>
    <row r="2" spans="1:39" s="111" customFormat="1" ht="22.8" x14ac:dyDescent="0.35">
      <c r="B2" s="544"/>
      <c r="C2" s="550"/>
      <c r="D2" s="550"/>
      <c r="E2" s="550"/>
      <c r="F2" s="550"/>
      <c r="G2" s="550"/>
      <c r="H2" s="550"/>
      <c r="I2" s="550"/>
      <c r="J2" s="550"/>
      <c r="K2" s="550"/>
      <c r="L2" s="550"/>
      <c r="M2" s="550"/>
      <c r="N2" s="550"/>
      <c r="O2" s="550"/>
      <c r="P2" s="550"/>
      <c r="Q2" s="550"/>
      <c r="R2" s="550"/>
      <c r="S2" s="550"/>
      <c r="T2" s="550"/>
      <c r="U2" s="550"/>
      <c r="V2" s="550"/>
      <c r="W2" s="550"/>
      <c r="X2" s="550"/>
      <c r="Y2" s="550"/>
      <c r="Z2" s="550"/>
      <c r="AC2"/>
      <c r="AD2"/>
      <c r="AE2"/>
      <c r="AF2"/>
      <c r="AG2"/>
      <c r="AH2"/>
      <c r="AI2"/>
      <c r="AJ2"/>
      <c r="AK2"/>
      <c r="AL2"/>
      <c r="AM2"/>
    </row>
    <row r="3" spans="1:39" s="111" customFormat="1" ht="21" thickBot="1" x14ac:dyDescent="0.4">
      <c r="B3" s="545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C3"/>
      <c r="AD3"/>
      <c r="AE3"/>
      <c r="AF3"/>
      <c r="AG3"/>
      <c r="AH3"/>
      <c r="AI3"/>
      <c r="AJ3"/>
      <c r="AK3"/>
      <c r="AL3"/>
      <c r="AM3"/>
    </row>
    <row r="4" spans="1:39" ht="21" customHeight="1" thickTop="1" thickBot="1" x14ac:dyDescent="0.3">
      <c r="A4" s="145"/>
      <c r="B4" s="167"/>
      <c r="C4" s="547" t="s">
        <v>253</v>
      </c>
      <c r="D4" s="548"/>
      <c r="E4" s="548"/>
      <c r="F4" s="548"/>
      <c r="G4" s="548"/>
      <c r="H4" s="548"/>
      <c r="I4" s="548"/>
      <c r="J4" s="548"/>
      <c r="K4" s="548"/>
      <c r="L4" s="549"/>
      <c r="M4" s="547" t="s">
        <v>262</v>
      </c>
      <c r="N4" s="548"/>
      <c r="O4" s="548"/>
      <c r="P4" s="548"/>
      <c r="Q4" s="548"/>
      <c r="R4" s="548"/>
      <c r="S4" s="548"/>
      <c r="T4" s="548"/>
      <c r="U4" s="548"/>
      <c r="V4" s="549"/>
      <c r="W4" s="202"/>
      <c r="X4" s="202"/>
      <c r="Y4" s="272" t="s">
        <v>472</v>
      </c>
      <c r="Z4" s="202"/>
      <c r="AA4" s="202"/>
    </row>
    <row r="5" spans="1:39" ht="45" customHeight="1" thickBot="1" x14ac:dyDescent="0.3">
      <c r="A5" s="480" t="s">
        <v>360</v>
      </c>
      <c r="B5" s="481" t="s">
        <v>456</v>
      </c>
      <c r="C5" s="478" t="s">
        <v>254</v>
      </c>
      <c r="D5" s="479" t="s">
        <v>219</v>
      </c>
      <c r="E5" s="477" t="s">
        <v>255</v>
      </c>
      <c r="F5" s="477" t="s">
        <v>256</v>
      </c>
      <c r="G5" s="477" t="s">
        <v>257</v>
      </c>
      <c r="H5" s="477" t="s">
        <v>258</v>
      </c>
      <c r="I5" s="477" t="s">
        <v>259</v>
      </c>
      <c r="J5" s="477" t="s">
        <v>260</v>
      </c>
      <c r="K5" s="477" t="s">
        <v>261</v>
      </c>
      <c r="L5" s="223" t="s">
        <v>208</v>
      </c>
      <c r="M5" s="324" t="s">
        <v>254</v>
      </c>
      <c r="N5" s="316" t="s">
        <v>219</v>
      </c>
      <c r="O5" s="317" t="s">
        <v>255</v>
      </c>
      <c r="P5" s="318" t="s">
        <v>256</v>
      </c>
      <c r="Q5" s="318" t="s">
        <v>257</v>
      </c>
      <c r="R5" s="318" t="s">
        <v>258</v>
      </c>
      <c r="S5" s="318" t="s">
        <v>259</v>
      </c>
      <c r="T5" s="318" t="s">
        <v>260</v>
      </c>
      <c r="U5" s="319" t="s">
        <v>261</v>
      </c>
      <c r="V5" s="325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</row>
    <row r="6" spans="1:39" ht="12.75" customHeight="1" x14ac:dyDescent="0.25">
      <c r="A6" s="136" t="s">
        <v>68</v>
      </c>
      <c r="B6" s="279" t="s">
        <v>268</v>
      </c>
      <c r="C6" s="230">
        <v>243</v>
      </c>
      <c r="D6" s="230">
        <v>189</v>
      </c>
      <c r="E6" s="230">
        <v>69</v>
      </c>
      <c r="F6" s="230">
        <v>9</v>
      </c>
      <c r="G6" s="230">
        <v>11</v>
      </c>
      <c r="H6" s="230">
        <v>0</v>
      </c>
      <c r="I6" s="230">
        <v>0</v>
      </c>
      <c r="J6" s="230">
        <v>278</v>
      </c>
      <c r="K6" s="230">
        <v>0</v>
      </c>
      <c r="L6" s="356">
        <f>SUM(C6:K6)</f>
        <v>799</v>
      </c>
      <c r="M6" s="230">
        <v>0</v>
      </c>
      <c r="N6" s="230">
        <v>0</v>
      </c>
      <c r="O6" s="230">
        <v>0</v>
      </c>
      <c r="P6" s="230">
        <v>0</v>
      </c>
      <c r="Q6" s="230">
        <v>0</v>
      </c>
      <c r="R6" s="230">
        <v>0</v>
      </c>
      <c r="S6" s="230">
        <v>0</v>
      </c>
      <c r="T6" s="230">
        <v>0</v>
      </c>
      <c r="U6" s="355"/>
      <c r="V6" s="355">
        <f>SUM(M6:U6)</f>
        <v>0</v>
      </c>
      <c r="W6" s="204">
        <v>188</v>
      </c>
      <c r="X6" s="204"/>
      <c r="Y6" s="204"/>
      <c r="Z6" s="214">
        <f>L6+V6+W6+X6+Y6</f>
        <v>987</v>
      </c>
      <c r="AA6" s="215">
        <f>C6+D6+F6+K6+M6+N6+P6+U6</f>
        <v>441</v>
      </c>
    </row>
    <row r="7" spans="1:39" x14ac:dyDescent="0.25">
      <c r="A7" s="136" t="s">
        <v>69</v>
      </c>
      <c r="B7" s="137" t="s">
        <v>269</v>
      </c>
      <c r="C7" s="230">
        <v>573</v>
      </c>
      <c r="D7" s="230">
        <v>408</v>
      </c>
      <c r="E7" s="230">
        <v>49</v>
      </c>
      <c r="F7" s="230">
        <v>6</v>
      </c>
      <c r="G7" s="230">
        <v>4</v>
      </c>
      <c r="H7" s="230">
        <v>0</v>
      </c>
      <c r="I7" s="230">
        <v>89</v>
      </c>
      <c r="J7" s="230">
        <v>658</v>
      </c>
      <c r="K7" s="230">
        <v>1</v>
      </c>
      <c r="L7" s="234">
        <f t="shared" ref="L7:L22" si="0">SUM(C7:K7)</f>
        <v>1788</v>
      </c>
      <c r="M7" s="230">
        <v>155</v>
      </c>
      <c r="N7" s="230">
        <v>128</v>
      </c>
      <c r="O7" s="230">
        <v>24</v>
      </c>
      <c r="P7" s="230">
        <v>0</v>
      </c>
      <c r="Q7" s="230">
        <v>4</v>
      </c>
      <c r="R7" s="230">
        <v>0</v>
      </c>
      <c r="S7" s="230">
        <v>21</v>
      </c>
      <c r="T7" s="230">
        <v>13</v>
      </c>
      <c r="U7" s="355"/>
      <c r="V7" s="355">
        <f t="shared" ref="V7:V22" si="1">SUM(M7:U7)</f>
        <v>345</v>
      </c>
      <c r="W7" s="204"/>
      <c r="X7" s="204"/>
      <c r="Y7" s="204"/>
      <c r="Z7" s="214">
        <f t="shared" ref="Z7:Z22" si="2">L7+V7+W7+X7+Y7</f>
        <v>2133</v>
      </c>
      <c r="AA7" s="215">
        <f>C7+D7+F7+K7+M7+N7+P7+U7</f>
        <v>1271</v>
      </c>
    </row>
    <row r="8" spans="1:39" x14ac:dyDescent="0.25">
      <c r="A8" s="136" t="s">
        <v>73</v>
      </c>
      <c r="B8" s="137" t="s">
        <v>270</v>
      </c>
      <c r="C8" s="230">
        <v>20</v>
      </c>
      <c r="D8" s="230">
        <v>18</v>
      </c>
      <c r="E8" s="230">
        <v>0</v>
      </c>
      <c r="F8" s="230">
        <v>0</v>
      </c>
      <c r="G8" s="230">
        <v>0</v>
      </c>
      <c r="H8" s="230">
        <v>0</v>
      </c>
      <c r="I8" s="230">
        <v>0</v>
      </c>
      <c r="J8" s="230">
        <v>10</v>
      </c>
      <c r="K8" s="230">
        <v>1</v>
      </c>
      <c r="L8" s="232">
        <f t="shared" si="0"/>
        <v>49</v>
      </c>
      <c r="M8" s="230">
        <v>188</v>
      </c>
      <c r="N8" s="230">
        <v>181</v>
      </c>
      <c r="O8" s="230">
        <v>7</v>
      </c>
      <c r="P8" s="230">
        <v>8</v>
      </c>
      <c r="Q8" s="230">
        <v>0</v>
      </c>
      <c r="R8" s="230">
        <v>0</v>
      </c>
      <c r="S8" s="230">
        <v>246</v>
      </c>
      <c r="T8" s="230">
        <v>80</v>
      </c>
      <c r="U8" s="355"/>
      <c r="V8" s="355">
        <f t="shared" si="1"/>
        <v>710</v>
      </c>
      <c r="W8" s="204"/>
      <c r="X8" s="204"/>
      <c r="Y8" s="204"/>
      <c r="Z8" s="214">
        <f t="shared" si="2"/>
        <v>759</v>
      </c>
      <c r="AA8" s="215">
        <f>C8+D8+F8+K8+M8+N8+P8+U8</f>
        <v>416</v>
      </c>
    </row>
    <row r="9" spans="1:39" x14ac:dyDescent="0.25">
      <c r="A9" s="136" t="s">
        <v>74</v>
      </c>
      <c r="B9" s="137" t="s">
        <v>358</v>
      </c>
      <c r="C9" s="128"/>
      <c r="D9" s="128"/>
      <c r="E9" s="128"/>
      <c r="F9" s="128"/>
      <c r="G9" s="128"/>
      <c r="H9" s="128"/>
      <c r="I9" s="128"/>
      <c r="J9" s="128"/>
      <c r="K9" s="128"/>
      <c r="L9" s="232">
        <f t="shared" si="0"/>
        <v>0</v>
      </c>
      <c r="M9" s="147"/>
      <c r="N9" s="147"/>
      <c r="O9" s="147"/>
      <c r="P9" s="147"/>
      <c r="Q9" s="147"/>
      <c r="R9" s="147"/>
      <c r="S9" s="147"/>
      <c r="T9" s="147"/>
      <c r="U9" s="147"/>
      <c r="V9" s="355">
        <f t="shared" si="1"/>
        <v>0</v>
      </c>
      <c r="W9" s="204">
        <v>6066</v>
      </c>
      <c r="X9" s="204"/>
      <c r="Y9" s="204"/>
      <c r="Z9" s="214">
        <f t="shared" si="2"/>
        <v>6066</v>
      </c>
      <c r="AA9" s="215">
        <f>C9+D9+F9+K9+M9+N9+P9+U9</f>
        <v>0</v>
      </c>
    </row>
    <row r="10" spans="1:39" x14ac:dyDescent="0.25">
      <c r="A10" s="136" t="s">
        <v>94</v>
      </c>
      <c r="B10" s="137" t="s">
        <v>271</v>
      </c>
      <c r="C10" s="230">
        <v>596</v>
      </c>
      <c r="D10" s="230">
        <v>372</v>
      </c>
      <c r="E10" s="230">
        <v>95</v>
      </c>
      <c r="F10" s="230">
        <v>33</v>
      </c>
      <c r="G10" s="230"/>
      <c r="H10" s="230">
        <v>0</v>
      </c>
      <c r="I10" s="230">
        <v>0</v>
      </c>
      <c r="J10" s="230">
        <v>31</v>
      </c>
      <c r="K10" s="230">
        <v>0</v>
      </c>
      <c r="L10" s="241">
        <f t="shared" si="0"/>
        <v>1127</v>
      </c>
      <c r="M10" s="230">
        <v>658</v>
      </c>
      <c r="N10" s="230">
        <v>1445</v>
      </c>
      <c r="O10" s="230">
        <v>175</v>
      </c>
      <c r="P10" s="230">
        <v>89</v>
      </c>
      <c r="Q10" s="230">
        <v>37</v>
      </c>
      <c r="R10" s="230">
        <v>0</v>
      </c>
      <c r="S10" s="230">
        <v>0</v>
      </c>
      <c r="T10" s="230">
        <v>0</v>
      </c>
      <c r="U10" s="355"/>
      <c r="V10" s="355">
        <f t="shared" si="1"/>
        <v>2404</v>
      </c>
      <c r="W10" s="204">
        <v>435</v>
      </c>
      <c r="X10" s="204"/>
      <c r="Y10" s="204"/>
      <c r="Z10" s="214">
        <f t="shared" si="2"/>
        <v>3966</v>
      </c>
      <c r="AA10" s="215">
        <f t="shared" ref="AA10:AA22" si="3">C10+D10+F10+K10+M10+N10+P10+U10</f>
        <v>3193</v>
      </c>
    </row>
    <row r="11" spans="1:39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0</v>
      </c>
      <c r="F11" s="230">
        <v>0</v>
      </c>
      <c r="G11" s="230">
        <v>16</v>
      </c>
      <c r="H11" s="230">
        <v>0</v>
      </c>
      <c r="I11" s="230">
        <v>0</v>
      </c>
      <c r="J11" s="230">
        <v>16</v>
      </c>
      <c r="K11" s="230">
        <v>0</v>
      </c>
      <c r="L11" s="241">
        <f t="shared" si="0"/>
        <v>32</v>
      </c>
      <c r="M11" s="230">
        <v>0</v>
      </c>
      <c r="N11" s="230">
        <v>0</v>
      </c>
      <c r="O11" s="230">
        <v>26</v>
      </c>
      <c r="P11" s="230">
        <v>0</v>
      </c>
      <c r="Q11" s="230">
        <v>0</v>
      </c>
      <c r="R11" s="230">
        <v>0</v>
      </c>
      <c r="S11" s="230">
        <v>0</v>
      </c>
      <c r="T11" s="230">
        <v>103</v>
      </c>
      <c r="U11" s="355"/>
      <c r="V11" s="355">
        <f t="shared" si="1"/>
        <v>129</v>
      </c>
      <c r="W11" s="414"/>
      <c r="X11" s="204"/>
      <c r="Y11" s="204"/>
      <c r="Z11" s="214">
        <f t="shared" si="2"/>
        <v>161</v>
      </c>
      <c r="AA11" s="215">
        <f t="shared" si="3"/>
        <v>0</v>
      </c>
    </row>
    <row r="12" spans="1:39" x14ac:dyDescent="0.25">
      <c r="A12" s="136" t="s">
        <v>361</v>
      </c>
      <c r="B12" s="137" t="s">
        <v>355</v>
      </c>
      <c r="C12" s="128"/>
      <c r="D12" s="128"/>
      <c r="E12" s="128"/>
      <c r="F12" s="128"/>
      <c r="G12" s="128"/>
      <c r="H12" s="128"/>
      <c r="I12" s="128"/>
      <c r="J12" s="128"/>
      <c r="K12" s="128"/>
      <c r="L12" s="241">
        <f t="shared" si="0"/>
        <v>0</v>
      </c>
      <c r="M12" s="257"/>
      <c r="N12" s="147"/>
      <c r="O12" s="147"/>
      <c r="P12" s="147"/>
      <c r="Q12" s="147"/>
      <c r="R12" s="147"/>
      <c r="S12" s="147"/>
      <c r="T12" s="147"/>
      <c r="U12" s="147"/>
      <c r="V12" s="355">
        <f t="shared" si="1"/>
        <v>0</v>
      </c>
      <c r="W12" s="358"/>
      <c r="X12" s="204">
        <v>10</v>
      </c>
      <c r="Y12" s="204"/>
      <c r="Z12" s="214">
        <f t="shared" si="2"/>
        <v>10</v>
      </c>
      <c r="AA12" s="215">
        <f t="shared" si="3"/>
        <v>0</v>
      </c>
    </row>
    <row r="13" spans="1:39" x14ac:dyDescent="0.25">
      <c r="A13" s="136" t="s">
        <v>106</v>
      </c>
      <c r="B13" s="137" t="s">
        <v>273</v>
      </c>
      <c r="C13" s="230">
        <v>228</v>
      </c>
      <c r="D13" s="230">
        <v>75</v>
      </c>
      <c r="E13" s="230">
        <v>9</v>
      </c>
      <c r="F13" s="230">
        <v>2</v>
      </c>
      <c r="G13" s="230">
        <v>8</v>
      </c>
      <c r="H13" s="230">
        <v>0</v>
      </c>
      <c r="I13" s="230">
        <v>0</v>
      </c>
      <c r="J13" s="230">
        <v>18</v>
      </c>
      <c r="K13" s="230"/>
      <c r="L13" s="379">
        <f t="shared" si="0"/>
        <v>340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355"/>
      <c r="V13" s="355">
        <f t="shared" si="1"/>
        <v>0</v>
      </c>
      <c r="W13" s="204"/>
      <c r="X13" s="204"/>
      <c r="Y13" s="204"/>
      <c r="Z13" s="214">
        <f t="shared" si="2"/>
        <v>340</v>
      </c>
      <c r="AA13" s="215">
        <f t="shared" si="3"/>
        <v>305</v>
      </c>
    </row>
    <row r="14" spans="1:39" x14ac:dyDescent="0.25">
      <c r="A14" s="136" t="s">
        <v>110</v>
      </c>
      <c r="B14" s="137" t="s">
        <v>274</v>
      </c>
      <c r="C14" s="230">
        <v>4226</v>
      </c>
      <c r="D14" s="230">
        <v>1287</v>
      </c>
      <c r="E14" s="230">
        <v>920</v>
      </c>
      <c r="F14" s="230">
        <v>32</v>
      </c>
      <c r="G14" s="230">
        <v>69</v>
      </c>
      <c r="H14" s="230">
        <v>0</v>
      </c>
      <c r="I14" s="230">
        <v>0</v>
      </c>
      <c r="J14" s="230">
        <v>84</v>
      </c>
      <c r="K14" s="230"/>
      <c r="L14" s="379">
        <f t="shared" si="0"/>
        <v>6618</v>
      </c>
      <c r="M14" s="230">
        <v>88</v>
      </c>
      <c r="N14" s="230">
        <v>54</v>
      </c>
      <c r="O14" s="230">
        <v>12</v>
      </c>
      <c r="P14" s="230">
        <v>0</v>
      </c>
      <c r="Q14" s="230">
        <v>1</v>
      </c>
      <c r="R14" s="230">
        <v>0</v>
      </c>
      <c r="S14" s="230">
        <v>22</v>
      </c>
      <c r="T14" s="230">
        <v>0</v>
      </c>
      <c r="U14" s="355"/>
      <c r="V14" s="355">
        <f t="shared" si="1"/>
        <v>177</v>
      </c>
      <c r="W14" s="204"/>
      <c r="X14" s="204"/>
      <c r="Y14" s="204"/>
      <c r="Z14" s="214">
        <f t="shared" si="2"/>
        <v>6795</v>
      </c>
      <c r="AA14" s="215">
        <f t="shared" si="3"/>
        <v>5687</v>
      </c>
    </row>
    <row r="15" spans="1:39" x14ac:dyDescent="0.25">
      <c r="A15" s="136" t="s">
        <v>119</v>
      </c>
      <c r="B15" s="137" t="s">
        <v>275</v>
      </c>
      <c r="C15" s="230">
        <v>1130</v>
      </c>
      <c r="D15" s="230">
        <v>1513</v>
      </c>
      <c r="E15" s="230">
        <v>142</v>
      </c>
      <c r="F15" s="230">
        <v>4</v>
      </c>
      <c r="G15" s="230">
        <v>12</v>
      </c>
      <c r="H15" s="230">
        <v>0</v>
      </c>
      <c r="I15" s="230">
        <v>58</v>
      </c>
      <c r="J15" s="230">
        <v>83</v>
      </c>
      <c r="K15" s="230"/>
      <c r="L15" s="379">
        <f t="shared" si="0"/>
        <v>2942</v>
      </c>
      <c r="M15" s="230">
        <v>184</v>
      </c>
      <c r="N15" s="230">
        <v>308</v>
      </c>
      <c r="O15" s="230">
        <v>30</v>
      </c>
      <c r="P15" s="230">
        <v>0</v>
      </c>
      <c r="Q15" s="230">
        <v>10</v>
      </c>
      <c r="R15" s="230">
        <v>0</v>
      </c>
      <c r="S15" s="230">
        <v>0</v>
      </c>
      <c r="T15" s="230">
        <v>10</v>
      </c>
      <c r="U15" s="355"/>
      <c r="V15" s="355">
        <f t="shared" si="1"/>
        <v>542</v>
      </c>
      <c r="W15" s="204"/>
      <c r="X15" s="204">
        <v>1100</v>
      </c>
      <c r="Y15" s="204"/>
      <c r="Z15" s="214">
        <f t="shared" si="2"/>
        <v>4584</v>
      </c>
      <c r="AA15" s="215">
        <f t="shared" si="3"/>
        <v>3139</v>
      </c>
    </row>
    <row r="16" spans="1:39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931</v>
      </c>
      <c r="K16" s="230"/>
      <c r="L16" s="232">
        <f t="shared" si="0"/>
        <v>931</v>
      </c>
      <c r="M16" s="230">
        <v>0</v>
      </c>
      <c r="N16" s="230">
        <v>0</v>
      </c>
      <c r="O16" s="230">
        <v>0</v>
      </c>
      <c r="P16" s="230">
        <v>0</v>
      </c>
      <c r="Q16" s="230">
        <v>0</v>
      </c>
      <c r="R16" s="230">
        <v>0</v>
      </c>
      <c r="S16" s="230">
        <v>0</v>
      </c>
      <c r="T16" s="230">
        <v>0</v>
      </c>
      <c r="U16" s="355"/>
      <c r="V16" s="355">
        <f t="shared" si="1"/>
        <v>0</v>
      </c>
      <c r="W16" s="204"/>
      <c r="X16" s="204"/>
      <c r="Y16" s="204"/>
      <c r="Z16" s="214">
        <f t="shared" si="2"/>
        <v>931</v>
      </c>
      <c r="AA16" s="215">
        <f t="shared" si="3"/>
        <v>0</v>
      </c>
    </row>
    <row r="17" spans="1:39" x14ac:dyDescent="0.25">
      <c r="A17" s="136" t="s">
        <v>123</v>
      </c>
      <c r="B17" s="137" t="s">
        <v>277</v>
      </c>
      <c r="C17" s="230">
        <v>33</v>
      </c>
      <c r="D17" s="230">
        <v>16</v>
      </c>
      <c r="E17" s="230">
        <v>4</v>
      </c>
      <c r="F17" s="230">
        <v>1</v>
      </c>
      <c r="G17" s="230">
        <v>0</v>
      </c>
      <c r="H17" s="230">
        <v>0</v>
      </c>
      <c r="I17" s="230">
        <v>0</v>
      </c>
      <c r="J17" s="230">
        <v>7</v>
      </c>
      <c r="K17" s="230">
        <v>0</v>
      </c>
      <c r="L17" s="232">
        <f t="shared" si="0"/>
        <v>61</v>
      </c>
      <c r="M17" s="230">
        <v>36</v>
      </c>
      <c r="N17" s="230">
        <v>83</v>
      </c>
      <c r="O17" s="230">
        <v>16</v>
      </c>
      <c r="P17" s="230">
        <v>1</v>
      </c>
      <c r="Q17" s="230">
        <v>4</v>
      </c>
      <c r="R17" s="230">
        <v>0</v>
      </c>
      <c r="S17" s="230">
        <v>0</v>
      </c>
      <c r="T17" s="230">
        <v>21</v>
      </c>
      <c r="U17" s="355"/>
      <c r="V17" s="355">
        <f t="shared" si="1"/>
        <v>161</v>
      </c>
      <c r="W17" s="204">
        <v>79</v>
      </c>
      <c r="X17" s="204"/>
      <c r="Y17" s="204"/>
      <c r="Z17" s="214">
        <f t="shared" si="2"/>
        <v>301</v>
      </c>
      <c r="AA17" s="215">
        <f t="shared" si="3"/>
        <v>170</v>
      </c>
    </row>
    <row r="18" spans="1:39" x14ac:dyDescent="0.25">
      <c r="A18" s="136" t="s">
        <v>128</v>
      </c>
      <c r="B18" s="137" t="s">
        <v>332</v>
      </c>
      <c r="C18" s="230">
        <v>57</v>
      </c>
      <c r="D18" s="230">
        <v>54</v>
      </c>
      <c r="E18" s="230">
        <v>12</v>
      </c>
      <c r="F18" s="230">
        <v>2</v>
      </c>
      <c r="G18" s="230">
        <v>4</v>
      </c>
      <c r="H18" s="230">
        <v>0</v>
      </c>
      <c r="I18" s="230">
        <v>35</v>
      </c>
      <c r="J18" s="230">
        <v>7</v>
      </c>
      <c r="K18" s="230">
        <v>0</v>
      </c>
      <c r="L18" s="232">
        <f t="shared" si="0"/>
        <v>171</v>
      </c>
      <c r="M18" s="230">
        <v>96</v>
      </c>
      <c r="N18" s="230">
        <v>94</v>
      </c>
      <c r="O18" s="230">
        <v>28</v>
      </c>
      <c r="P18" s="230">
        <v>2</v>
      </c>
      <c r="Q18" s="230">
        <v>2</v>
      </c>
      <c r="R18" s="230">
        <v>0</v>
      </c>
      <c r="S18" s="230">
        <v>0</v>
      </c>
      <c r="T18" s="230">
        <v>0</v>
      </c>
      <c r="U18" s="355"/>
      <c r="V18" s="355">
        <f t="shared" si="1"/>
        <v>222</v>
      </c>
      <c r="W18" s="204"/>
      <c r="X18" s="204"/>
      <c r="Y18" s="204"/>
      <c r="Z18" s="214">
        <f t="shared" si="2"/>
        <v>393</v>
      </c>
      <c r="AA18" s="215">
        <f>C18+D18+F18+K18+M18+N18+P18+U18</f>
        <v>305</v>
      </c>
    </row>
    <row r="19" spans="1:39" x14ac:dyDescent="0.25">
      <c r="A19" s="136" t="s">
        <v>150</v>
      </c>
      <c r="B19" s="137" t="s">
        <v>278</v>
      </c>
      <c r="C19" s="230">
        <v>781</v>
      </c>
      <c r="D19" s="230">
        <v>156</v>
      </c>
      <c r="E19" s="230">
        <v>252</v>
      </c>
      <c r="F19" s="230">
        <v>26</v>
      </c>
      <c r="G19" s="230">
        <v>7</v>
      </c>
      <c r="H19" s="230">
        <v>0</v>
      </c>
      <c r="I19" s="230">
        <v>14</v>
      </c>
      <c r="J19" s="230">
        <v>39</v>
      </c>
      <c r="K19" s="230">
        <v>0</v>
      </c>
      <c r="L19" s="232">
        <f t="shared" si="0"/>
        <v>1275</v>
      </c>
      <c r="M19" s="230">
        <v>446</v>
      </c>
      <c r="N19" s="230">
        <v>300</v>
      </c>
      <c r="O19" s="230">
        <v>65</v>
      </c>
      <c r="P19" s="230">
        <v>10</v>
      </c>
      <c r="Q19" s="230">
        <v>14</v>
      </c>
      <c r="R19" s="230">
        <v>60</v>
      </c>
      <c r="S19" s="230">
        <v>0</v>
      </c>
      <c r="T19" s="230">
        <v>1</v>
      </c>
      <c r="U19" s="355"/>
      <c r="V19" s="355">
        <f t="shared" si="1"/>
        <v>896</v>
      </c>
      <c r="W19" s="204">
        <v>550</v>
      </c>
      <c r="X19" s="204"/>
      <c r="Y19" s="204"/>
      <c r="Z19" s="214">
        <f t="shared" si="2"/>
        <v>2721</v>
      </c>
      <c r="AA19" s="215">
        <f t="shared" si="3"/>
        <v>1719</v>
      </c>
    </row>
    <row r="20" spans="1:39" x14ac:dyDescent="0.25">
      <c r="A20" s="136" t="s">
        <v>181</v>
      </c>
      <c r="B20" s="137" t="s">
        <v>335</v>
      </c>
      <c r="C20" s="230">
        <v>790</v>
      </c>
      <c r="D20" s="230">
        <v>1183</v>
      </c>
      <c r="E20" s="230">
        <v>164</v>
      </c>
      <c r="F20" s="230">
        <v>43</v>
      </c>
      <c r="G20" s="230">
        <v>44</v>
      </c>
      <c r="H20" s="230">
        <v>0</v>
      </c>
      <c r="I20" s="230">
        <v>0</v>
      </c>
      <c r="J20" s="230">
        <v>364</v>
      </c>
      <c r="K20" s="230">
        <v>161</v>
      </c>
      <c r="L20" s="232">
        <f t="shared" si="0"/>
        <v>2749</v>
      </c>
      <c r="M20" s="230">
        <v>250</v>
      </c>
      <c r="N20" s="230">
        <v>1417</v>
      </c>
      <c r="O20" s="230">
        <v>113</v>
      </c>
      <c r="P20" s="230">
        <v>16</v>
      </c>
      <c r="Q20" s="230">
        <v>13</v>
      </c>
      <c r="R20" s="230">
        <v>0</v>
      </c>
      <c r="S20" s="230">
        <v>0</v>
      </c>
      <c r="T20" s="230">
        <v>48</v>
      </c>
      <c r="U20" s="355"/>
      <c r="V20" s="355">
        <f t="shared" si="1"/>
        <v>1857</v>
      </c>
      <c r="W20" s="204"/>
      <c r="X20" s="209"/>
      <c r="Y20" s="209"/>
      <c r="Z20" s="214">
        <f t="shared" si="2"/>
        <v>4606</v>
      </c>
      <c r="AA20" s="215">
        <f>C20+D20+F20+K20+M20+N20+P20+U20</f>
        <v>3860</v>
      </c>
    </row>
    <row r="21" spans="1:39" x14ac:dyDescent="0.25">
      <c r="A21" s="136" t="s">
        <v>184</v>
      </c>
      <c r="B21" s="137" t="s">
        <v>279</v>
      </c>
      <c r="C21" s="230">
        <v>361</v>
      </c>
      <c r="D21" s="230">
        <v>80</v>
      </c>
      <c r="E21" s="230">
        <v>42</v>
      </c>
      <c r="F21" s="230">
        <v>5</v>
      </c>
      <c r="G21" s="230">
        <v>16</v>
      </c>
      <c r="H21" s="230">
        <v>0</v>
      </c>
      <c r="I21" s="230">
        <v>281</v>
      </c>
      <c r="J21" s="230">
        <v>4</v>
      </c>
      <c r="K21" s="230">
        <v>0</v>
      </c>
      <c r="L21" s="232">
        <f t="shared" si="0"/>
        <v>789</v>
      </c>
      <c r="M21" s="230">
        <v>414</v>
      </c>
      <c r="N21" s="230">
        <v>805</v>
      </c>
      <c r="O21" s="230">
        <v>47</v>
      </c>
      <c r="P21" s="230">
        <v>7</v>
      </c>
      <c r="Q21" s="230">
        <v>23</v>
      </c>
      <c r="R21" s="230">
        <v>0</v>
      </c>
      <c r="S21" s="230">
        <v>0</v>
      </c>
      <c r="T21" s="230">
        <v>4</v>
      </c>
      <c r="U21" s="355"/>
      <c r="V21" s="355">
        <f t="shared" si="1"/>
        <v>1300</v>
      </c>
      <c r="W21" s="209">
        <v>181</v>
      </c>
      <c r="X21" s="204"/>
      <c r="Y21" s="204"/>
      <c r="Z21" s="214">
        <f t="shared" si="2"/>
        <v>2270</v>
      </c>
      <c r="AA21" s="215">
        <f t="shared" si="3"/>
        <v>1672</v>
      </c>
    </row>
    <row r="22" spans="1:39" ht="17.25" customHeight="1" thickBot="1" x14ac:dyDescent="0.3">
      <c r="A22" s="136" t="s">
        <v>194</v>
      </c>
      <c r="B22" s="138" t="s">
        <v>280</v>
      </c>
      <c r="C22" s="265">
        <v>0</v>
      </c>
      <c r="D22" s="265">
        <v>0</v>
      </c>
      <c r="E22" s="265">
        <v>685</v>
      </c>
      <c r="F22" s="265">
        <v>0</v>
      </c>
      <c r="G22" s="265">
        <v>0</v>
      </c>
      <c r="H22" s="265">
        <v>0</v>
      </c>
      <c r="I22" s="265">
        <v>0</v>
      </c>
      <c r="J22" s="265">
        <v>3122</v>
      </c>
      <c r="K22" s="265">
        <v>0</v>
      </c>
      <c r="L22" s="357">
        <f t="shared" si="0"/>
        <v>3807</v>
      </c>
      <c r="M22" s="265">
        <v>0</v>
      </c>
      <c r="N22" s="265">
        <v>0</v>
      </c>
      <c r="O22" s="265">
        <v>0</v>
      </c>
      <c r="P22" s="265">
        <v>0</v>
      </c>
      <c r="Q22" s="265">
        <v>0</v>
      </c>
      <c r="R22" s="265">
        <v>0</v>
      </c>
      <c r="S22" s="265">
        <v>0</v>
      </c>
      <c r="T22" s="265">
        <v>0</v>
      </c>
      <c r="U22" s="412"/>
      <c r="V22" s="412">
        <f t="shared" si="1"/>
        <v>0</v>
      </c>
      <c r="W22" s="209"/>
      <c r="X22" s="227"/>
      <c r="Y22" s="209"/>
      <c r="Z22" s="214">
        <f t="shared" si="2"/>
        <v>3807</v>
      </c>
      <c r="AA22" s="216">
        <f t="shared" si="3"/>
        <v>0</v>
      </c>
    </row>
    <row r="23" spans="1:39" s="110" customFormat="1" ht="14.4" thickBot="1" x14ac:dyDescent="0.3">
      <c r="A23" s="134"/>
      <c r="B23" s="159" t="s">
        <v>457</v>
      </c>
      <c r="C23" s="258">
        <f t="shared" ref="C23:AA23" si="4">SUM(C6:C22)</f>
        <v>9038</v>
      </c>
      <c r="D23" s="157">
        <f t="shared" si="4"/>
        <v>5351</v>
      </c>
      <c r="E23" s="157">
        <f t="shared" si="4"/>
        <v>2443</v>
      </c>
      <c r="F23" s="157">
        <f t="shared" si="4"/>
        <v>163</v>
      </c>
      <c r="G23" s="157">
        <f t="shared" si="4"/>
        <v>191</v>
      </c>
      <c r="H23" s="157">
        <f t="shared" si="4"/>
        <v>0</v>
      </c>
      <c r="I23" s="157">
        <f t="shared" si="4"/>
        <v>477</v>
      </c>
      <c r="J23" s="157">
        <f t="shared" si="4"/>
        <v>5652</v>
      </c>
      <c r="K23" s="259">
        <f t="shared" si="4"/>
        <v>163</v>
      </c>
      <c r="L23" s="260">
        <f t="shared" si="4"/>
        <v>23478</v>
      </c>
      <c r="M23" s="262">
        <f t="shared" si="4"/>
        <v>2515</v>
      </c>
      <c r="N23" s="158">
        <f t="shared" si="4"/>
        <v>4815</v>
      </c>
      <c r="O23" s="158">
        <f t="shared" si="4"/>
        <v>543</v>
      </c>
      <c r="P23" s="158">
        <f t="shared" si="4"/>
        <v>133</v>
      </c>
      <c r="Q23" s="158">
        <f t="shared" si="4"/>
        <v>108</v>
      </c>
      <c r="R23" s="158">
        <f t="shared" si="4"/>
        <v>60</v>
      </c>
      <c r="S23" s="158">
        <f t="shared" si="4"/>
        <v>289</v>
      </c>
      <c r="T23" s="158">
        <f t="shared" si="4"/>
        <v>280</v>
      </c>
      <c r="U23" s="264">
        <f t="shared" si="4"/>
        <v>0</v>
      </c>
      <c r="V23" s="180">
        <f t="shared" si="4"/>
        <v>8743</v>
      </c>
      <c r="W23" s="276">
        <f t="shared" si="4"/>
        <v>7499</v>
      </c>
      <c r="X23" s="413">
        <f t="shared" si="4"/>
        <v>1110</v>
      </c>
      <c r="Y23" s="388">
        <f t="shared" si="4"/>
        <v>0</v>
      </c>
      <c r="Z23" s="483">
        <f t="shared" si="4"/>
        <v>40830</v>
      </c>
      <c r="AA23" s="274">
        <f t="shared" si="4"/>
        <v>22178</v>
      </c>
      <c r="AC23"/>
      <c r="AD23"/>
      <c r="AE23"/>
      <c r="AF23"/>
      <c r="AG23"/>
      <c r="AH23"/>
      <c r="AI23"/>
      <c r="AJ23"/>
      <c r="AK23"/>
      <c r="AL23"/>
      <c r="AM23"/>
    </row>
    <row r="24" spans="1:39" x14ac:dyDescent="0.25">
      <c r="A24" s="136" t="s">
        <v>72</v>
      </c>
      <c r="B24" s="279" t="s">
        <v>356</v>
      </c>
      <c r="C24" s="280">
        <v>1003</v>
      </c>
      <c r="D24" s="280">
        <v>1642</v>
      </c>
      <c r="E24" s="280">
        <v>164</v>
      </c>
      <c r="F24" s="280">
        <v>47</v>
      </c>
      <c r="G24" s="280">
        <v>41</v>
      </c>
      <c r="H24" s="280">
        <v>397</v>
      </c>
      <c r="I24" s="280">
        <v>0</v>
      </c>
      <c r="J24" s="280">
        <v>35</v>
      </c>
      <c r="K24" s="280">
        <v>80</v>
      </c>
      <c r="L24" s="234">
        <f>SUM(C24:K24)</f>
        <v>3409</v>
      </c>
      <c r="M24" s="280">
        <v>10</v>
      </c>
      <c r="N24" s="280">
        <v>9</v>
      </c>
      <c r="O24" s="280">
        <v>4</v>
      </c>
      <c r="P24" s="280">
        <v>0</v>
      </c>
      <c r="Q24" s="280">
        <v>0</v>
      </c>
      <c r="R24" s="280">
        <v>4</v>
      </c>
      <c r="S24" s="280">
        <v>0</v>
      </c>
      <c r="T24" s="280">
        <v>0</v>
      </c>
      <c r="U24" s="280"/>
      <c r="V24" s="411">
        <f>SUM(M24:U24)</f>
        <v>27</v>
      </c>
      <c r="W24" s="411"/>
      <c r="X24" s="233"/>
      <c r="Y24" s="204"/>
      <c r="Z24" s="214">
        <f>L24+V24+W24+X24</f>
        <v>3436</v>
      </c>
      <c r="AA24" s="215">
        <f>C24+D24+F24+K24+M24+N24+P24+U24</f>
        <v>2791</v>
      </c>
    </row>
    <row r="25" spans="1:39" x14ac:dyDescent="0.25">
      <c r="A25" s="136" t="s">
        <v>85</v>
      </c>
      <c r="B25" s="137" t="s">
        <v>281</v>
      </c>
      <c r="C25" s="230">
        <v>1115</v>
      </c>
      <c r="D25" s="230">
        <v>804</v>
      </c>
      <c r="E25" s="230">
        <v>105</v>
      </c>
      <c r="F25" s="230">
        <v>59</v>
      </c>
      <c r="G25" s="230">
        <v>37</v>
      </c>
      <c r="H25" s="230">
        <v>0</v>
      </c>
      <c r="I25" s="230">
        <v>0</v>
      </c>
      <c r="J25" s="230">
        <v>28</v>
      </c>
      <c r="K25" s="230">
        <v>0</v>
      </c>
      <c r="L25" s="232">
        <f t="shared" ref="L25:L36" si="5">SUM(C25:K25)</f>
        <v>2148</v>
      </c>
      <c r="M25" s="230">
        <v>323</v>
      </c>
      <c r="N25" s="230">
        <v>904</v>
      </c>
      <c r="O25" s="230">
        <v>77</v>
      </c>
      <c r="P25" s="230">
        <v>24</v>
      </c>
      <c r="Q25" s="230">
        <v>27</v>
      </c>
      <c r="R25" s="230">
        <v>45</v>
      </c>
      <c r="S25" s="230">
        <v>0</v>
      </c>
      <c r="T25" s="230">
        <v>3</v>
      </c>
      <c r="U25" s="230"/>
      <c r="V25" s="355">
        <f t="shared" ref="V25:V36" si="6">SUM(M25:U25)</f>
        <v>1403</v>
      </c>
      <c r="W25" s="415">
        <v>201</v>
      </c>
      <c r="X25" s="233"/>
      <c r="Y25" s="204"/>
      <c r="Z25" s="214">
        <f t="shared" ref="Z25:Z88" si="7">L25+V25+W25+X25</f>
        <v>3752</v>
      </c>
      <c r="AA25" s="215">
        <f>C25+D25+F25+K25+M25+N25+P25+U25</f>
        <v>3229</v>
      </c>
    </row>
    <row r="26" spans="1:39" x14ac:dyDescent="0.25">
      <c r="A26" s="136" t="s">
        <v>214</v>
      </c>
      <c r="B26" s="137" t="s">
        <v>282</v>
      </c>
      <c r="C26" s="230">
        <v>1146</v>
      </c>
      <c r="D26" s="230">
        <v>1771</v>
      </c>
      <c r="E26" s="230">
        <v>155</v>
      </c>
      <c r="F26" s="230">
        <v>61</v>
      </c>
      <c r="G26" s="230">
        <v>27</v>
      </c>
      <c r="H26" s="230">
        <v>0</v>
      </c>
      <c r="I26" s="230">
        <v>7</v>
      </c>
      <c r="J26" s="230">
        <v>36</v>
      </c>
      <c r="K26" s="230">
        <v>0</v>
      </c>
      <c r="L26" s="232">
        <f t="shared" si="5"/>
        <v>3203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230"/>
      <c r="V26" s="355">
        <f t="shared" si="6"/>
        <v>0</v>
      </c>
      <c r="W26" s="415"/>
      <c r="X26" s="233"/>
      <c r="Y26" s="204"/>
      <c r="Z26" s="214">
        <f t="shared" si="7"/>
        <v>3203</v>
      </c>
      <c r="AA26" s="215">
        <f t="shared" ref="AA26:AA36" si="8">C26+D26+F26+K26+M26+N26+P26+U26</f>
        <v>2978</v>
      </c>
    </row>
    <row r="27" spans="1:39" x14ac:dyDescent="0.25">
      <c r="A27" s="136" t="s">
        <v>101</v>
      </c>
      <c r="B27" s="137" t="s">
        <v>283</v>
      </c>
      <c r="C27" s="230">
        <v>1119</v>
      </c>
      <c r="D27" s="230">
        <v>810</v>
      </c>
      <c r="E27" s="230">
        <v>194</v>
      </c>
      <c r="F27" s="230">
        <v>24</v>
      </c>
      <c r="G27" s="230">
        <v>55</v>
      </c>
      <c r="H27" s="230">
        <v>4</v>
      </c>
      <c r="I27" s="230">
        <v>0</v>
      </c>
      <c r="J27" s="230">
        <v>40</v>
      </c>
      <c r="K27" s="230">
        <v>0</v>
      </c>
      <c r="L27" s="232">
        <f t="shared" si="5"/>
        <v>2246</v>
      </c>
      <c r="M27" s="230">
        <v>212</v>
      </c>
      <c r="N27" s="230">
        <v>2269</v>
      </c>
      <c r="O27" s="230">
        <v>7</v>
      </c>
      <c r="P27" s="230">
        <v>9</v>
      </c>
      <c r="Q27" s="230">
        <v>160</v>
      </c>
      <c r="R27" s="230">
        <v>0</v>
      </c>
      <c r="S27" s="230">
        <v>0</v>
      </c>
      <c r="T27" s="230">
        <v>0</v>
      </c>
      <c r="U27" s="230"/>
      <c r="V27" s="355">
        <f t="shared" si="6"/>
        <v>2657</v>
      </c>
      <c r="W27" s="214">
        <v>0</v>
      </c>
      <c r="X27" s="233"/>
      <c r="Y27" s="204"/>
      <c r="Z27" s="214">
        <f t="shared" si="7"/>
        <v>4903</v>
      </c>
      <c r="AA27" s="215">
        <f t="shared" si="8"/>
        <v>4443</v>
      </c>
    </row>
    <row r="28" spans="1:39" x14ac:dyDescent="0.25">
      <c r="A28" s="136" t="s">
        <v>114</v>
      </c>
      <c r="B28" s="137" t="s">
        <v>284</v>
      </c>
      <c r="C28" s="230">
        <v>560</v>
      </c>
      <c r="D28" s="230">
        <v>202</v>
      </c>
      <c r="E28" s="230">
        <v>131</v>
      </c>
      <c r="F28" s="230">
        <v>25</v>
      </c>
      <c r="G28" s="230">
        <v>53</v>
      </c>
      <c r="H28" s="230">
        <v>0</v>
      </c>
      <c r="I28" s="230">
        <v>0</v>
      </c>
      <c r="J28" s="230">
        <v>36</v>
      </c>
      <c r="K28" s="230">
        <v>0</v>
      </c>
      <c r="L28" s="232">
        <f t="shared" si="5"/>
        <v>1007</v>
      </c>
      <c r="M28" s="230">
        <v>176</v>
      </c>
      <c r="N28" s="230">
        <v>747</v>
      </c>
      <c r="O28" s="230">
        <v>146</v>
      </c>
      <c r="P28" s="230">
        <v>31</v>
      </c>
      <c r="Q28" s="230">
        <v>28</v>
      </c>
      <c r="R28" s="230">
        <v>70</v>
      </c>
      <c r="S28" s="230">
        <v>0</v>
      </c>
      <c r="T28" s="230">
        <v>124</v>
      </c>
      <c r="U28" s="230"/>
      <c r="V28" s="355">
        <f t="shared" si="6"/>
        <v>1322</v>
      </c>
      <c r="W28" s="415">
        <v>183</v>
      </c>
      <c r="X28" s="233"/>
      <c r="Y28" s="204"/>
      <c r="Z28" s="214">
        <f t="shared" si="7"/>
        <v>2512</v>
      </c>
      <c r="AA28" s="215">
        <f t="shared" si="8"/>
        <v>1741</v>
      </c>
    </row>
    <row r="29" spans="1:39" x14ac:dyDescent="0.25">
      <c r="A29" s="136" t="s">
        <v>115</v>
      </c>
      <c r="B29" s="137" t="s">
        <v>285</v>
      </c>
      <c r="C29" s="230">
        <v>744</v>
      </c>
      <c r="D29" s="230">
        <v>1521</v>
      </c>
      <c r="E29" s="230">
        <v>39</v>
      </c>
      <c r="F29" s="230">
        <v>26</v>
      </c>
      <c r="G29" s="230">
        <v>87</v>
      </c>
      <c r="H29" s="230">
        <v>0</v>
      </c>
      <c r="I29" s="230">
        <v>9</v>
      </c>
      <c r="J29" s="230">
        <v>61</v>
      </c>
      <c r="K29" s="230">
        <v>0</v>
      </c>
      <c r="L29" s="232">
        <f t="shared" si="5"/>
        <v>2487</v>
      </c>
      <c r="M29" s="230">
        <v>0</v>
      </c>
      <c r="N29" s="230">
        <v>0</v>
      </c>
      <c r="O29" s="230">
        <v>0</v>
      </c>
      <c r="P29" s="230">
        <v>0</v>
      </c>
      <c r="Q29" s="230">
        <v>0</v>
      </c>
      <c r="R29" s="230">
        <v>0</v>
      </c>
      <c r="S29" s="230">
        <v>0</v>
      </c>
      <c r="T29" s="230">
        <v>0</v>
      </c>
      <c r="U29" s="230"/>
      <c r="V29" s="355">
        <f t="shared" si="6"/>
        <v>0</v>
      </c>
      <c r="W29" s="415">
        <v>258</v>
      </c>
      <c r="X29" s="233"/>
      <c r="Y29" s="204"/>
      <c r="Z29" s="214">
        <f t="shared" si="7"/>
        <v>2745</v>
      </c>
      <c r="AA29" s="215">
        <f t="shared" si="8"/>
        <v>2291</v>
      </c>
    </row>
    <row r="30" spans="1:39" x14ac:dyDescent="0.25">
      <c r="A30" s="136" t="s">
        <v>127</v>
      </c>
      <c r="B30" s="137" t="s">
        <v>286</v>
      </c>
      <c r="C30" s="230">
        <v>4964</v>
      </c>
      <c r="D30" s="230">
        <v>1770</v>
      </c>
      <c r="E30" s="230">
        <v>2827</v>
      </c>
      <c r="F30" s="230">
        <v>42</v>
      </c>
      <c r="G30" s="230">
        <v>132</v>
      </c>
      <c r="H30" s="230">
        <v>7</v>
      </c>
      <c r="I30" s="230">
        <v>31</v>
      </c>
      <c r="J30" s="230">
        <v>76</v>
      </c>
      <c r="K30" s="230">
        <v>0</v>
      </c>
      <c r="L30" s="232">
        <f t="shared" si="5"/>
        <v>9849</v>
      </c>
      <c r="M30" s="230">
        <v>360</v>
      </c>
      <c r="N30" s="230">
        <v>821</v>
      </c>
      <c r="O30" s="230">
        <v>66</v>
      </c>
      <c r="P30" s="230">
        <v>16</v>
      </c>
      <c r="Q30" s="230">
        <v>64</v>
      </c>
      <c r="R30" s="230">
        <v>0</v>
      </c>
      <c r="S30" s="230">
        <v>0</v>
      </c>
      <c r="T30" s="230">
        <v>0</v>
      </c>
      <c r="U30" s="230"/>
      <c r="V30" s="355">
        <f t="shared" si="6"/>
        <v>1327</v>
      </c>
      <c r="W30" s="415">
        <v>213</v>
      </c>
      <c r="X30" s="233"/>
      <c r="Y30" s="204"/>
      <c r="Z30" s="214">
        <f t="shared" si="7"/>
        <v>11389</v>
      </c>
      <c r="AA30" s="215">
        <f t="shared" si="8"/>
        <v>7973</v>
      </c>
    </row>
    <row r="31" spans="1:39" x14ac:dyDescent="0.25">
      <c r="A31" s="136" t="s">
        <v>129</v>
      </c>
      <c r="B31" s="137" t="s">
        <v>287</v>
      </c>
      <c r="C31" s="230">
        <v>1054</v>
      </c>
      <c r="D31" s="230">
        <v>963</v>
      </c>
      <c r="E31" s="230">
        <v>1155</v>
      </c>
      <c r="F31" s="230">
        <v>60</v>
      </c>
      <c r="G31" s="230">
        <v>67</v>
      </c>
      <c r="H31" s="230">
        <v>0</v>
      </c>
      <c r="I31" s="230">
        <v>0</v>
      </c>
      <c r="J31" s="230">
        <v>702</v>
      </c>
      <c r="K31" s="230">
        <v>0</v>
      </c>
      <c r="L31" s="232">
        <f t="shared" si="5"/>
        <v>4001</v>
      </c>
      <c r="M31" s="230">
        <v>283</v>
      </c>
      <c r="N31" s="230">
        <v>2277</v>
      </c>
      <c r="O31" s="230">
        <v>232</v>
      </c>
      <c r="P31" s="230">
        <v>28</v>
      </c>
      <c r="Q31" s="230">
        <v>25</v>
      </c>
      <c r="R31" s="230">
        <v>9</v>
      </c>
      <c r="S31" s="230">
        <v>0</v>
      </c>
      <c r="T31" s="230">
        <v>4</v>
      </c>
      <c r="U31" s="230"/>
      <c r="V31" s="355">
        <f t="shared" si="6"/>
        <v>2858</v>
      </c>
      <c r="W31" s="415">
        <v>163</v>
      </c>
      <c r="X31" s="233"/>
      <c r="Y31" s="204"/>
      <c r="Z31" s="214">
        <f t="shared" si="7"/>
        <v>7022</v>
      </c>
      <c r="AA31" s="215">
        <f t="shared" si="8"/>
        <v>4665</v>
      </c>
    </row>
    <row r="32" spans="1:39" x14ac:dyDescent="0.25">
      <c r="A32" s="136" t="s">
        <v>139</v>
      </c>
      <c r="B32" s="137" t="s">
        <v>321</v>
      </c>
      <c r="C32" s="230">
        <v>543</v>
      </c>
      <c r="D32" s="230">
        <v>904</v>
      </c>
      <c r="E32" s="230">
        <v>287</v>
      </c>
      <c r="F32" s="230">
        <v>30</v>
      </c>
      <c r="G32" s="230">
        <v>42</v>
      </c>
      <c r="H32" s="230">
        <v>0</v>
      </c>
      <c r="I32" s="230">
        <v>0</v>
      </c>
      <c r="J32" s="230">
        <v>115</v>
      </c>
      <c r="K32" s="230">
        <v>97</v>
      </c>
      <c r="L32" s="232">
        <f t="shared" si="5"/>
        <v>2018</v>
      </c>
      <c r="M32" s="230">
        <v>145</v>
      </c>
      <c r="N32" s="230">
        <v>505</v>
      </c>
      <c r="O32" s="230">
        <v>90</v>
      </c>
      <c r="P32" s="230">
        <v>3</v>
      </c>
      <c r="Q32" s="230">
        <v>5</v>
      </c>
      <c r="R32" s="230">
        <v>14</v>
      </c>
      <c r="S32" s="230">
        <v>0</v>
      </c>
      <c r="T32" s="230">
        <v>0</v>
      </c>
      <c r="U32" s="230"/>
      <c r="V32" s="355">
        <f t="shared" si="6"/>
        <v>762</v>
      </c>
      <c r="W32" s="415">
        <v>515</v>
      </c>
      <c r="X32" s="233"/>
      <c r="Y32" s="204"/>
      <c r="Z32" s="214">
        <f t="shared" si="7"/>
        <v>3295</v>
      </c>
      <c r="AA32" s="215">
        <f>C32+D32+F32+K32+M32+N32+P32+U32</f>
        <v>2227</v>
      </c>
    </row>
    <row r="33" spans="1:39" x14ac:dyDescent="0.25">
      <c r="A33" s="140" t="s">
        <v>151</v>
      </c>
      <c r="B33" s="161" t="s">
        <v>323</v>
      </c>
      <c r="C33" s="230">
        <v>0</v>
      </c>
      <c r="D33" s="230">
        <v>0</v>
      </c>
      <c r="E33" s="230">
        <v>154</v>
      </c>
      <c r="F33" s="230">
        <v>0</v>
      </c>
      <c r="G33" s="230">
        <v>0</v>
      </c>
      <c r="H33" s="230">
        <v>0</v>
      </c>
      <c r="I33" s="230">
        <v>0</v>
      </c>
      <c r="J33" s="230">
        <v>881</v>
      </c>
      <c r="K33" s="230">
        <v>0</v>
      </c>
      <c r="L33" s="232">
        <f t="shared" si="5"/>
        <v>1035</v>
      </c>
      <c r="M33" s="147"/>
      <c r="N33" s="147"/>
      <c r="O33" s="147"/>
      <c r="P33" s="147"/>
      <c r="Q33" s="147"/>
      <c r="R33" s="147"/>
      <c r="S33" s="147"/>
      <c r="T33" s="147"/>
      <c r="U33" s="147"/>
      <c r="V33" s="355">
        <f t="shared" si="6"/>
        <v>0</v>
      </c>
      <c r="W33" s="206"/>
      <c r="X33" s="209"/>
      <c r="Y33" s="209"/>
      <c r="Z33" s="214">
        <f t="shared" si="7"/>
        <v>1035</v>
      </c>
      <c r="AA33" s="215">
        <f>C33+D33+F33+K33+M33+N33+P33+U33</f>
        <v>0</v>
      </c>
    </row>
    <row r="34" spans="1:39" x14ac:dyDescent="0.25">
      <c r="A34" s="136" t="s">
        <v>170</v>
      </c>
      <c r="B34" s="137" t="s">
        <v>288</v>
      </c>
      <c r="C34" s="230"/>
      <c r="D34" s="230"/>
      <c r="E34" s="230"/>
      <c r="F34" s="230"/>
      <c r="G34" s="230"/>
      <c r="H34" s="230"/>
      <c r="I34" s="230"/>
      <c r="J34" s="230"/>
      <c r="K34" s="230"/>
      <c r="L34" s="232">
        <f t="shared" si="5"/>
        <v>0</v>
      </c>
      <c r="M34" s="230"/>
      <c r="N34" s="230"/>
      <c r="O34" s="230"/>
      <c r="P34" s="230"/>
      <c r="Q34" s="230"/>
      <c r="R34" s="230"/>
      <c r="S34" s="230"/>
      <c r="T34" s="230"/>
      <c r="U34" s="230"/>
      <c r="V34" s="355">
        <f t="shared" si="6"/>
        <v>0</v>
      </c>
      <c r="W34" s="214">
        <v>0</v>
      </c>
      <c r="X34" s="235"/>
      <c r="Y34" s="209"/>
      <c r="Z34" s="214">
        <f t="shared" si="7"/>
        <v>0</v>
      </c>
      <c r="AA34" s="217">
        <f t="shared" si="8"/>
        <v>0</v>
      </c>
    </row>
    <row r="35" spans="1:39" x14ac:dyDescent="0.25">
      <c r="A35" s="136" t="s">
        <v>171</v>
      </c>
      <c r="B35" s="137" t="s">
        <v>324</v>
      </c>
      <c r="C35" s="230">
        <v>753</v>
      </c>
      <c r="D35" s="230">
        <v>631</v>
      </c>
      <c r="E35" s="230">
        <v>332</v>
      </c>
      <c r="F35" s="230">
        <v>22</v>
      </c>
      <c r="G35" s="230">
        <v>17</v>
      </c>
      <c r="H35" s="230">
        <v>0</v>
      </c>
      <c r="I35" s="230">
        <v>28</v>
      </c>
      <c r="J35" s="230">
        <v>96</v>
      </c>
      <c r="K35" s="230">
        <v>0</v>
      </c>
      <c r="L35" s="232">
        <f t="shared" si="5"/>
        <v>1879</v>
      </c>
      <c r="M35" s="230">
        <v>436</v>
      </c>
      <c r="N35" s="230">
        <v>638</v>
      </c>
      <c r="O35" s="230">
        <v>274</v>
      </c>
      <c r="P35" s="230">
        <v>23</v>
      </c>
      <c r="Q35" s="230">
        <v>46</v>
      </c>
      <c r="R35" s="230">
        <v>154</v>
      </c>
      <c r="S35" s="230">
        <v>0</v>
      </c>
      <c r="T35" s="230">
        <v>4</v>
      </c>
      <c r="U35" s="230"/>
      <c r="V35" s="355">
        <f t="shared" si="6"/>
        <v>1575</v>
      </c>
      <c r="W35" s="415">
        <f>948+1009</f>
        <v>1957</v>
      </c>
      <c r="X35" s="233"/>
      <c r="Y35" s="204"/>
      <c r="Z35" s="214">
        <f t="shared" si="7"/>
        <v>5411</v>
      </c>
      <c r="AA35" s="215">
        <f>C35+D35+F35+K35+M35+N35+P35+U35</f>
        <v>2503</v>
      </c>
    </row>
    <row r="36" spans="1:39" ht="13.8" thickBot="1" x14ac:dyDescent="0.3">
      <c r="A36" s="136" t="s">
        <v>362</v>
      </c>
      <c r="B36" s="137" t="s">
        <v>289</v>
      </c>
      <c r="C36" s="265">
        <v>466</v>
      </c>
      <c r="D36" s="265">
        <v>342</v>
      </c>
      <c r="E36" s="265">
        <v>163</v>
      </c>
      <c r="F36" s="265">
        <v>18</v>
      </c>
      <c r="G36" s="265">
        <v>14</v>
      </c>
      <c r="H36" s="265">
        <v>0</v>
      </c>
      <c r="I36" s="265">
        <v>0</v>
      </c>
      <c r="J36" s="265">
        <v>63</v>
      </c>
      <c r="K36" s="265">
        <v>0</v>
      </c>
      <c r="L36" s="239">
        <f t="shared" si="5"/>
        <v>1066</v>
      </c>
      <c r="M36" s="265">
        <v>0</v>
      </c>
      <c r="N36" s="265">
        <v>0</v>
      </c>
      <c r="O36" s="265">
        <v>22</v>
      </c>
      <c r="P36" s="265">
        <v>0</v>
      </c>
      <c r="Q36" s="265">
        <v>0</v>
      </c>
      <c r="R36" s="265">
        <v>0</v>
      </c>
      <c r="S36" s="265">
        <v>0</v>
      </c>
      <c r="T36" s="265">
        <v>62</v>
      </c>
      <c r="U36" s="265"/>
      <c r="V36" s="412">
        <f t="shared" si="6"/>
        <v>84</v>
      </c>
      <c r="W36" s="206"/>
      <c r="X36" s="235"/>
      <c r="Y36" s="209"/>
      <c r="Z36" s="214">
        <f t="shared" si="7"/>
        <v>1150</v>
      </c>
      <c r="AA36" s="217">
        <f t="shared" si="8"/>
        <v>826</v>
      </c>
    </row>
    <row r="37" spans="1:39" s="109" customFormat="1" ht="14.4" thickBot="1" x14ac:dyDescent="0.3">
      <c r="A37" s="134"/>
      <c r="B37" s="159" t="s">
        <v>458</v>
      </c>
      <c r="C37" s="258">
        <f t="shared" ref="C37:AA37" si="9">SUM(C24:C36)</f>
        <v>13467</v>
      </c>
      <c r="D37" s="157">
        <f t="shared" si="9"/>
        <v>11360</v>
      </c>
      <c r="E37" s="157">
        <f t="shared" si="9"/>
        <v>5706</v>
      </c>
      <c r="F37" s="157">
        <f t="shared" si="9"/>
        <v>414</v>
      </c>
      <c r="G37" s="157">
        <f t="shared" si="9"/>
        <v>572</v>
      </c>
      <c r="H37" s="157">
        <f t="shared" si="9"/>
        <v>408</v>
      </c>
      <c r="I37" s="157">
        <f t="shared" si="9"/>
        <v>75</v>
      </c>
      <c r="J37" s="157">
        <f t="shared" si="9"/>
        <v>2169</v>
      </c>
      <c r="K37" s="259">
        <f t="shared" si="9"/>
        <v>177</v>
      </c>
      <c r="L37" s="260">
        <f t="shared" si="9"/>
        <v>34348</v>
      </c>
      <c r="M37" s="262">
        <f t="shared" si="9"/>
        <v>1945</v>
      </c>
      <c r="N37" s="158">
        <f t="shared" si="9"/>
        <v>8170</v>
      </c>
      <c r="O37" s="158">
        <f t="shared" si="9"/>
        <v>918</v>
      </c>
      <c r="P37" s="158">
        <f t="shared" si="9"/>
        <v>134</v>
      </c>
      <c r="Q37" s="158">
        <f t="shared" si="9"/>
        <v>355</v>
      </c>
      <c r="R37" s="158">
        <f t="shared" si="9"/>
        <v>296</v>
      </c>
      <c r="S37" s="158">
        <f t="shared" si="9"/>
        <v>0</v>
      </c>
      <c r="T37" s="158">
        <f t="shared" si="9"/>
        <v>197</v>
      </c>
      <c r="U37" s="264">
        <f t="shared" si="9"/>
        <v>0</v>
      </c>
      <c r="V37" s="180">
        <f t="shared" si="9"/>
        <v>12015</v>
      </c>
      <c r="W37" s="276">
        <f t="shared" si="9"/>
        <v>3490</v>
      </c>
      <c r="X37" s="261">
        <f t="shared" si="9"/>
        <v>0</v>
      </c>
      <c r="Y37" s="210">
        <f t="shared" si="9"/>
        <v>0</v>
      </c>
      <c r="Z37" s="210">
        <f t="shared" si="9"/>
        <v>49853</v>
      </c>
      <c r="AA37" s="210">
        <f t="shared" si="9"/>
        <v>35667</v>
      </c>
      <c r="AC37"/>
      <c r="AD37"/>
      <c r="AE37"/>
      <c r="AF37"/>
      <c r="AG37"/>
      <c r="AH37"/>
      <c r="AI37"/>
      <c r="AJ37"/>
      <c r="AK37"/>
      <c r="AL37"/>
      <c r="AM37"/>
    </row>
    <row r="38" spans="1:39" x14ac:dyDescent="0.25">
      <c r="A38" s="136" t="s">
        <v>70</v>
      </c>
      <c r="B38" s="279" t="s">
        <v>313</v>
      </c>
      <c r="C38" s="280">
        <v>763</v>
      </c>
      <c r="D38" s="280">
        <v>1443</v>
      </c>
      <c r="E38" s="280">
        <v>333</v>
      </c>
      <c r="F38" s="280">
        <v>27</v>
      </c>
      <c r="G38" s="280">
        <v>51</v>
      </c>
      <c r="H38" s="280">
        <v>0</v>
      </c>
      <c r="I38" s="280">
        <v>60</v>
      </c>
      <c r="J38" s="280">
        <v>98</v>
      </c>
      <c r="K38" s="280">
        <v>114</v>
      </c>
      <c r="L38" s="234">
        <f t="shared" ref="L38:L54" si="10">SUM(C38:K38)</f>
        <v>2889</v>
      </c>
      <c r="M38" s="280">
        <v>570</v>
      </c>
      <c r="N38" s="280">
        <v>1270</v>
      </c>
      <c r="O38" s="280">
        <v>487</v>
      </c>
      <c r="P38" s="280">
        <v>28</v>
      </c>
      <c r="Q38" s="280">
        <v>96</v>
      </c>
      <c r="R38" s="280">
        <v>12</v>
      </c>
      <c r="S38" s="280">
        <v>0</v>
      </c>
      <c r="T38" s="280">
        <v>26</v>
      </c>
      <c r="U38" s="280">
        <v>10</v>
      </c>
      <c r="V38" s="411">
        <f>SUM(M38:U38)</f>
        <v>2499</v>
      </c>
      <c r="W38" s="416">
        <v>855</v>
      </c>
      <c r="X38" s="237">
        <v>0</v>
      </c>
      <c r="Y38" s="211">
        <v>0</v>
      </c>
      <c r="Z38" s="214">
        <f>L38+V38+W38+X38+Y38</f>
        <v>6243</v>
      </c>
      <c r="AA38" s="215">
        <f t="shared" ref="AA38:AA48" si="11">C38+D38+F38+K38+M38+N38+P38+U38</f>
        <v>4225</v>
      </c>
    </row>
    <row r="39" spans="1:39" x14ac:dyDescent="0.25">
      <c r="A39" s="136" t="s">
        <v>75</v>
      </c>
      <c r="B39" s="137" t="s">
        <v>336</v>
      </c>
      <c r="C39" s="230">
        <v>619</v>
      </c>
      <c r="D39" s="230">
        <v>915</v>
      </c>
      <c r="E39" s="230">
        <v>330</v>
      </c>
      <c r="F39" s="230">
        <v>37</v>
      </c>
      <c r="G39" s="230">
        <v>78</v>
      </c>
      <c r="H39" s="230">
        <v>0</v>
      </c>
      <c r="I39" s="230">
        <v>0</v>
      </c>
      <c r="J39" s="230">
        <v>120</v>
      </c>
      <c r="K39" s="230">
        <v>0</v>
      </c>
      <c r="L39" s="232">
        <f t="shared" si="10"/>
        <v>2099</v>
      </c>
      <c r="M39" s="230">
        <v>174</v>
      </c>
      <c r="N39" s="230">
        <v>1210</v>
      </c>
      <c r="O39" s="230">
        <v>127</v>
      </c>
      <c r="P39" s="230">
        <v>16</v>
      </c>
      <c r="Q39" s="230">
        <v>42</v>
      </c>
      <c r="R39" s="230">
        <v>0</v>
      </c>
      <c r="S39" s="230">
        <v>0</v>
      </c>
      <c r="T39" s="230">
        <v>104</v>
      </c>
      <c r="U39" s="230">
        <v>0</v>
      </c>
      <c r="V39" s="355">
        <f t="shared" ref="V39:V54" si="12">SUM(M39:U39)</f>
        <v>1673</v>
      </c>
      <c r="W39" s="415">
        <v>282</v>
      </c>
      <c r="X39" s="233"/>
      <c r="Y39" s="204"/>
      <c r="Z39" s="214">
        <f t="shared" ref="Z39:Z54" si="13">L39+V39+W39+X39+Y39</f>
        <v>4054</v>
      </c>
      <c r="AA39" s="215">
        <f t="shared" si="11"/>
        <v>2971</v>
      </c>
    </row>
    <row r="40" spans="1:39" x14ac:dyDescent="0.25">
      <c r="A40" s="136" t="s">
        <v>78</v>
      </c>
      <c r="B40" s="137" t="s">
        <v>314</v>
      </c>
      <c r="C40" s="230">
        <v>312</v>
      </c>
      <c r="D40" s="230">
        <v>572</v>
      </c>
      <c r="E40" s="230">
        <v>160</v>
      </c>
      <c r="F40" s="230">
        <v>9</v>
      </c>
      <c r="G40" s="230">
        <v>46</v>
      </c>
      <c r="H40" s="230">
        <v>0</v>
      </c>
      <c r="I40" s="230">
        <v>0</v>
      </c>
      <c r="J40" s="230">
        <v>94</v>
      </c>
      <c r="K40" s="230">
        <v>17</v>
      </c>
      <c r="L40" s="232">
        <f t="shared" si="10"/>
        <v>1210</v>
      </c>
      <c r="M40" s="230">
        <v>272</v>
      </c>
      <c r="N40" s="230">
        <v>557</v>
      </c>
      <c r="O40" s="230">
        <v>186</v>
      </c>
      <c r="P40" s="230">
        <v>2</v>
      </c>
      <c r="Q40" s="230">
        <v>16</v>
      </c>
      <c r="R40" s="230">
        <v>0</v>
      </c>
      <c r="S40" s="230">
        <v>0</v>
      </c>
      <c r="T40" s="230">
        <v>2</v>
      </c>
      <c r="U40" s="230">
        <v>0</v>
      </c>
      <c r="V40" s="355">
        <f t="shared" si="12"/>
        <v>1035</v>
      </c>
      <c r="W40" s="415">
        <v>343</v>
      </c>
      <c r="X40" s="233"/>
      <c r="Y40" s="204"/>
      <c r="Z40" s="214">
        <f t="shared" si="13"/>
        <v>2588</v>
      </c>
      <c r="AA40" s="215">
        <f t="shared" si="11"/>
        <v>1741</v>
      </c>
    </row>
    <row r="41" spans="1:39" x14ac:dyDescent="0.25">
      <c r="A41" s="136" t="s">
        <v>88</v>
      </c>
      <c r="B41" s="137" t="s">
        <v>337</v>
      </c>
      <c r="C41" s="230">
        <v>1294</v>
      </c>
      <c r="D41" s="230">
        <v>565</v>
      </c>
      <c r="E41" s="230">
        <v>267</v>
      </c>
      <c r="F41" s="230">
        <v>34</v>
      </c>
      <c r="G41" s="230">
        <v>62</v>
      </c>
      <c r="H41" s="230">
        <v>0</v>
      </c>
      <c r="I41" s="230">
        <v>0</v>
      </c>
      <c r="J41" s="230">
        <v>52</v>
      </c>
      <c r="K41" s="230">
        <v>0</v>
      </c>
      <c r="L41" s="232">
        <f t="shared" si="10"/>
        <v>2274</v>
      </c>
      <c r="M41" s="230">
        <v>601</v>
      </c>
      <c r="N41" s="230">
        <v>232</v>
      </c>
      <c r="O41" s="230">
        <v>252</v>
      </c>
      <c r="P41" s="230">
        <v>2</v>
      </c>
      <c r="Q41" s="230">
        <v>6</v>
      </c>
      <c r="R41" s="230">
        <v>410</v>
      </c>
      <c r="S41" s="230">
        <v>0</v>
      </c>
      <c r="T41" s="230">
        <v>1</v>
      </c>
      <c r="U41" s="230">
        <v>0</v>
      </c>
      <c r="V41" s="355">
        <f t="shared" si="12"/>
        <v>1504</v>
      </c>
      <c r="W41" s="215">
        <v>930</v>
      </c>
      <c r="X41" s="233"/>
      <c r="Y41" s="204"/>
      <c r="Z41" s="214">
        <f t="shared" si="13"/>
        <v>4708</v>
      </c>
      <c r="AA41" s="215">
        <f t="shared" si="11"/>
        <v>2728</v>
      </c>
    </row>
    <row r="42" spans="1:39" x14ac:dyDescent="0.25">
      <c r="A42" s="136" t="s">
        <v>99</v>
      </c>
      <c r="B42" s="137" t="s">
        <v>338</v>
      </c>
      <c r="C42" s="230">
        <v>10809</v>
      </c>
      <c r="D42" s="230">
        <v>2400</v>
      </c>
      <c r="E42" s="230">
        <v>1945</v>
      </c>
      <c r="F42" s="230">
        <v>108</v>
      </c>
      <c r="G42" s="230">
        <v>114</v>
      </c>
      <c r="H42" s="230">
        <v>36</v>
      </c>
      <c r="I42" s="230">
        <v>39</v>
      </c>
      <c r="J42" s="230">
        <v>249</v>
      </c>
      <c r="K42" s="230">
        <v>0</v>
      </c>
      <c r="L42" s="232">
        <f t="shared" si="10"/>
        <v>15700</v>
      </c>
      <c r="M42" s="230">
        <v>729</v>
      </c>
      <c r="N42" s="230">
        <v>391</v>
      </c>
      <c r="O42" s="230">
        <v>394</v>
      </c>
      <c r="P42" s="230">
        <v>0</v>
      </c>
      <c r="Q42" s="230">
        <v>10</v>
      </c>
      <c r="R42" s="230">
        <v>478</v>
      </c>
      <c r="S42" s="230">
        <v>0</v>
      </c>
      <c r="T42" s="230">
        <v>10</v>
      </c>
      <c r="U42" s="230">
        <v>0</v>
      </c>
      <c r="V42" s="355">
        <f t="shared" si="12"/>
        <v>2012</v>
      </c>
      <c r="W42" s="415">
        <v>1401</v>
      </c>
      <c r="X42" s="233">
        <f>54+78</f>
        <v>132</v>
      </c>
      <c r="Y42" s="204">
        <f>0+57</f>
        <v>57</v>
      </c>
      <c r="Z42" s="214">
        <f t="shared" si="13"/>
        <v>19302</v>
      </c>
      <c r="AA42" s="215">
        <f t="shared" si="11"/>
        <v>14437</v>
      </c>
    </row>
    <row r="43" spans="1:39" x14ac:dyDescent="0.25">
      <c r="A43" s="136" t="s">
        <v>113</v>
      </c>
      <c r="B43" s="137" t="s">
        <v>339</v>
      </c>
      <c r="C43" s="230">
        <v>591</v>
      </c>
      <c r="D43" s="230">
        <v>526</v>
      </c>
      <c r="E43" s="230">
        <v>185</v>
      </c>
      <c r="F43" s="230">
        <v>19</v>
      </c>
      <c r="G43" s="230">
        <v>20</v>
      </c>
      <c r="H43" s="230">
        <v>1</v>
      </c>
      <c r="I43" s="230">
        <v>0</v>
      </c>
      <c r="J43" s="230">
        <v>92</v>
      </c>
      <c r="K43" s="230">
        <v>0</v>
      </c>
      <c r="L43" s="232">
        <f t="shared" si="10"/>
        <v>1434</v>
      </c>
      <c r="M43" s="230">
        <v>716</v>
      </c>
      <c r="N43" s="230">
        <v>1444</v>
      </c>
      <c r="O43" s="230">
        <v>469</v>
      </c>
      <c r="P43" s="230">
        <v>26</v>
      </c>
      <c r="Q43" s="230">
        <v>75</v>
      </c>
      <c r="R43" s="230">
        <v>162</v>
      </c>
      <c r="S43" s="230">
        <v>0</v>
      </c>
      <c r="T43" s="230">
        <v>28</v>
      </c>
      <c r="U43" s="230">
        <v>0</v>
      </c>
      <c r="V43" s="355">
        <f t="shared" si="12"/>
        <v>2920</v>
      </c>
      <c r="W43" s="415">
        <v>300</v>
      </c>
      <c r="X43" s="233"/>
      <c r="Y43" s="204"/>
      <c r="Z43" s="214">
        <f t="shared" si="13"/>
        <v>4654</v>
      </c>
      <c r="AA43" s="215">
        <f t="shared" si="11"/>
        <v>3322</v>
      </c>
    </row>
    <row r="44" spans="1:39" x14ac:dyDescent="0.25">
      <c r="A44" s="136" t="s">
        <v>116</v>
      </c>
      <c r="B44" s="137" t="s">
        <v>316</v>
      </c>
      <c r="C44" s="230">
        <v>2582</v>
      </c>
      <c r="D44" s="230">
        <v>2347</v>
      </c>
      <c r="E44" s="230">
        <v>977</v>
      </c>
      <c r="F44" s="230">
        <v>33</v>
      </c>
      <c r="G44" s="230">
        <v>252</v>
      </c>
      <c r="H44" s="230">
        <v>0</v>
      </c>
      <c r="I44" s="230">
        <v>0</v>
      </c>
      <c r="J44" s="230">
        <v>98</v>
      </c>
      <c r="K44" s="230">
        <v>38</v>
      </c>
      <c r="L44" s="232">
        <f t="shared" si="10"/>
        <v>6327</v>
      </c>
      <c r="M44" s="230">
        <v>93</v>
      </c>
      <c r="N44" s="230">
        <v>64</v>
      </c>
      <c r="O44" s="230">
        <v>39</v>
      </c>
      <c r="P44" s="230">
        <v>0</v>
      </c>
      <c r="Q44" s="230">
        <v>6</v>
      </c>
      <c r="R44" s="230">
        <v>0</v>
      </c>
      <c r="S44" s="230">
        <v>0</v>
      </c>
      <c r="T44" s="230">
        <v>0</v>
      </c>
      <c r="U44" s="230">
        <v>2</v>
      </c>
      <c r="V44" s="355">
        <f t="shared" si="12"/>
        <v>204</v>
      </c>
      <c r="W44" s="415">
        <v>650</v>
      </c>
      <c r="X44" s="233"/>
      <c r="Y44" s="204"/>
      <c r="Z44" s="214">
        <f t="shared" si="13"/>
        <v>7181</v>
      </c>
      <c r="AA44" s="215">
        <f t="shared" si="11"/>
        <v>5159</v>
      </c>
    </row>
    <row r="45" spans="1:39" x14ac:dyDescent="0.25">
      <c r="A45" s="136" t="s">
        <v>117</v>
      </c>
      <c r="B45" s="137" t="s">
        <v>317</v>
      </c>
      <c r="C45" s="230">
        <v>1345</v>
      </c>
      <c r="D45" s="230">
        <v>1819</v>
      </c>
      <c r="E45" s="230">
        <v>792</v>
      </c>
      <c r="F45" s="230">
        <v>53</v>
      </c>
      <c r="G45" s="230">
        <v>111</v>
      </c>
      <c r="H45" s="230">
        <v>0</v>
      </c>
      <c r="I45" s="230">
        <v>60</v>
      </c>
      <c r="J45" s="230">
        <v>183</v>
      </c>
      <c r="K45" s="230">
        <v>0</v>
      </c>
      <c r="L45" s="232">
        <f t="shared" si="10"/>
        <v>4363</v>
      </c>
      <c r="M45" s="230">
        <v>344</v>
      </c>
      <c r="N45" s="230">
        <v>1223</v>
      </c>
      <c r="O45" s="230">
        <v>304</v>
      </c>
      <c r="P45" s="230">
        <v>35</v>
      </c>
      <c r="Q45" s="230">
        <v>29</v>
      </c>
      <c r="R45" s="230">
        <v>48</v>
      </c>
      <c r="S45" s="230">
        <v>0</v>
      </c>
      <c r="T45" s="230">
        <v>0</v>
      </c>
      <c r="U45" s="230">
        <v>0</v>
      </c>
      <c r="V45" s="355">
        <f t="shared" si="12"/>
        <v>1983</v>
      </c>
      <c r="W45" s="415">
        <v>563</v>
      </c>
      <c r="X45" s="233"/>
      <c r="Y45" s="204"/>
      <c r="Z45" s="214">
        <f t="shared" si="13"/>
        <v>6909</v>
      </c>
      <c r="AA45" s="215">
        <f t="shared" si="11"/>
        <v>4819</v>
      </c>
    </row>
    <row r="46" spans="1:39" x14ac:dyDescent="0.25">
      <c r="A46" s="136" t="s">
        <v>118</v>
      </c>
      <c r="B46" s="137" t="s">
        <v>340</v>
      </c>
      <c r="C46" s="230">
        <v>298</v>
      </c>
      <c r="D46" s="230">
        <v>609</v>
      </c>
      <c r="E46" s="230">
        <v>79</v>
      </c>
      <c r="F46" s="230">
        <v>30</v>
      </c>
      <c r="G46" s="230">
        <v>25</v>
      </c>
      <c r="H46" s="230">
        <v>0</v>
      </c>
      <c r="I46" s="230">
        <v>8</v>
      </c>
      <c r="J46" s="230">
        <v>1346</v>
      </c>
      <c r="K46" s="230">
        <v>0</v>
      </c>
      <c r="L46" s="232">
        <f t="shared" si="10"/>
        <v>2395</v>
      </c>
      <c r="M46" s="230">
        <v>144</v>
      </c>
      <c r="N46" s="230">
        <v>127</v>
      </c>
      <c r="O46" s="230">
        <v>47</v>
      </c>
      <c r="P46" s="230">
        <v>1</v>
      </c>
      <c r="Q46" s="230">
        <v>1</v>
      </c>
      <c r="R46" s="230">
        <v>66</v>
      </c>
      <c r="S46" s="230">
        <v>0</v>
      </c>
      <c r="T46" s="230">
        <v>0</v>
      </c>
      <c r="U46" s="230">
        <v>0</v>
      </c>
      <c r="V46" s="355">
        <f t="shared" si="12"/>
        <v>386</v>
      </c>
      <c r="W46" s="415">
        <v>43</v>
      </c>
      <c r="X46" s="233">
        <v>53</v>
      </c>
      <c r="Y46" s="204">
        <v>4</v>
      </c>
      <c r="Z46" s="214">
        <f t="shared" si="13"/>
        <v>2881</v>
      </c>
      <c r="AA46" s="215">
        <f t="shared" si="11"/>
        <v>1209</v>
      </c>
    </row>
    <row r="47" spans="1:39" x14ac:dyDescent="0.25">
      <c r="A47" s="136" t="s">
        <v>122</v>
      </c>
      <c r="B47" s="137" t="s">
        <v>341</v>
      </c>
      <c r="C47" s="230">
        <v>851</v>
      </c>
      <c r="D47" s="230">
        <v>1192</v>
      </c>
      <c r="E47" s="230">
        <v>368</v>
      </c>
      <c r="F47" s="230">
        <v>45</v>
      </c>
      <c r="G47" s="230">
        <v>68</v>
      </c>
      <c r="H47" s="230">
        <v>0</v>
      </c>
      <c r="I47" s="230">
        <v>0</v>
      </c>
      <c r="J47" s="230">
        <v>452</v>
      </c>
      <c r="K47" s="230">
        <v>0</v>
      </c>
      <c r="L47" s="232">
        <f t="shared" si="10"/>
        <v>2976</v>
      </c>
      <c r="M47" s="230">
        <v>1367</v>
      </c>
      <c r="N47" s="230">
        <v>1600</v>
      </c>
      <c r="O47" s="230">
        <v>661</v>
      </c>
      <c r="P47" s="230">
        <v>43</v>
      </c>
      <c r="Q47" s="230">
        <v>85</v>
      </c>
      <c r="R47" s="230">
        <v>222</v>
      </c>
      <c r="S47" s="230">
        <v>0</v>
      </c>
      <c r="T47" s="230">
        <v>13</v>
      </c>
      <c r="U47" s="230">
        <v>0</v>
      </c>
      <c r="V47" s="355">
        <f t="shared" si="12"/>
        <v>3991</v>
      </c>
      <c r="W47" s="415">
        <v>148</v>
      </c>
      <c r="X47" s="233"/>
      <c r="Y47" s="204"/>
      <c r="Z47" s="214">
        <f t="shared" si="13"/>
        <v>7115</v>
      </c>
      <c r="AA47" s="215">
        <f t="shared" si="11"/>
        <v>5098</v>
      </c>
    </row>
    <row r="48" spans="1:39" ht="13.5" customHeight="1" x14ac:dyDescent="0.25">
      <c r="A48" s="136" t="s">
        <v>140</v>
      </c>
      <c r="B48" s="137" t="s">
        <v>265</v>
      </c>
      <c r="C48" s="230"/>
      <c r="D48" s="230"/>
      <c r="E48" s="230"/>
      <c r="F48" s="230"/>
      <c r="G48" s="230"/>
      <c r="H48" s="230"/>
      <c r="I48" s="230"/>
      <c r="J48" s="230"/>
      <c r="K48" s="230"/>
      <c r="L48" s="232">
        <f t="shared" si="10"/>
        <v>0</v>
      </c>
      <c r="M48" s="147"/>
      <c r="N48" s="147"/>
      <c r="O48" s="147"/>
      <c r="P48" s="147"/>
      <c r="Q48" s="147"/>
      <c r="R48" s="147"/>
      <c r="S48" s="147"/>
      <c r="T48" s="147"/>
      <c r="U48" s="147"/>
      <c r="V48" s="355">
        <f t="shared" si="12"/>
        <v>0</v>
      </c>
      <c r="W48" s="205"/>
      <c r="X48" s="204"/>
      <c r="Y48" s="204"/>
      <c r="Z48" s="214">
        <f t="shared" si="13"/>
        <v>0</v>
      </c>
      <c r="AA48" s="215">
        <f t="shared" si="11"/>
        <v>0</v>
      </c>
    </row>
    <row r="49" spans="1:39" x14ac:dyDescent="0.25">
      <c r="A49" s="136" t="s">
        <v>141</v>
      </c>
      <c r="B49" s="137" t="s">
        <v>342</v>
      </c>
      <c r="C49" s="230">
        <v>1189</v>
      </c>
      <c r="D49" s="230">
        <v>693</v>
      </c>
      <c r="E49" s="230">
        <v>279</v>
      </c>
      <c r="F49" s="230">
        <v>37</v>
      </c>
      <c r="G49" s="230">
        <v>25</v>
      </c>
      <c r="H49" s="230">
        <v>0</v>
      </c>
      <c r="I49" s="230">
        <v>0</v>
      </c>
      <c r="J49" s="230">
        <v>33</v>
      </c>
      <c r="K49" s="230"/>
      <c r="L49" s="232">
        <f t="shared" si="10"/>
        <v>2256</v>
      </c>
      <c r="M49" s="230">
        <v>449</v>
      </c>
      <c r="N49" s="230">
        <v>657</v>
      </c>
      <c r="O49" s="230">
        <v>188</v>
      </c>
      <c r="P49" s="230">
        <v>21</v>
      </c>
      <c r="Q49" s="230">
        <v>30</v>
      </c>
      <c r="R49" s="230">
        <v>55</v>
      </c>
      <c r="S49" s="230">
        <v>0</v>
      </c>
      <c r="T49" s="230">
        <v>24</v>
      </c>
      <c r="U49" s="355"/>
      <c r="V49" s="355">
        <f t="shared" si="12"/>
        <v>1424</v>
      </c>
      <c r="W49" s="233">
        <v>318</v>
      </c>
      <c r="X49" s="204"/>
      <c r="Y49" s="204"/>
      <c r="Z49" s="214">
        <f t="shared" si="13"/>
        <v>3998</v>
      </c>
      <c r="AA49" s="215">
        <f t="shared" ref="AA49:AA54" si="14">C49+D49+F49+K49+M49+N49+P49+U49</f>
        <v>3046</v>
      </c>
    </row>
    <row r="50" spans="1:39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454</v>
      </c>
      <c r="F50" s="230">
        <v>0</v>
      </c>
      <c r="G50" s="230">
        <v>0</v>
      </c>
      <c r="H50" s="230">
        <v>0</v>
      </c>
      <c r="I50" s="230">
        <v>0</v>
      </c>
      <c r="J50" s="230">
        <v>5242</v>
      </c>
      <c r="K50" s="230"/>
      <c r="L50" s="232">
        <f t="shared" si="10"/>
        <v>5696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355"/>
      <c r="V50" s="355">
        <f t="shared" si="12"/>
        <v>0</v>
      </c>
      <c r="W50" s="233">
        <f>208+457</f>
        <v>665</v>
      </c>
      <c r="X50" s="204"/>
      <c r="Y50" s="204"/>
      <c r="Z50" s="214">
        <f t="shared" si="13"/>
        <v>6361</v>
      </c>
      <c r="AA50" s="215">
        <f t="shared" si="14"/>
        <v>0</v>
      </c>
    </row>
    <row r="51" spans="1:39" x14ac:dyDescent="0.25">
      <c r="A51" s="136" t="s">
        <v>147</v>
      </c>
      <c r="B51" s="137" t="s">
        <v>322</v>
      </c>
      <c r="C51" s="230">
        <v>5637</v>
      </c>
      <c r="D51" s="230">
        <v>3069</v>
      </c>
      <c r="E51" s="230">
        <v>1253</v>
      </c>
      <c r="F51" s="230">
        <v>70</v>
      </c>
      <c r="G51" s="230">
        <v>89</v>
      </c>
      <c r="H51" s="230">
        <v>0</v>
      </c>
      <c r="I51" s="230">
        <v>63</v>
      </c>
      <c r="J51" s="230">
        <v>1174</v>
      </c>
      <c r="K51" s="230"/>
      <c r="L51" s="232">
        <f t="shared" si="10"/>
        <v>11355</v>
      </c>
      <c r="M51" s="230">
        <v>900</v>
      </c>
      <c r="N51" s="230">
        <v>2284</v>
      </c>
      <c r="O51" s="230">
        <v>524</v>
      </c>
      <c r="P51" s="230">
        <v>21</v>
      </c>
      <c r="Q51" s="230">
        <v>71</v>
      </c>
      <c r="R51" s="230">
        <v>172</v>
      </c>
      <c r="S51" s="230">
        <v>0</v>
      </c>
      <c r="T51" s="230">
        <v>2</v>
      </c>
      <c r="U51" s="355"/>
      <c r="V51" s="355">
        <f t="shared" si="12"/>
        <v>3974</v>
      </c>
      <c r="W51" s="233">
        <v>232</v>
      </c>
      <c r="X51" s="204"/>
      <c r="Y51" s="204"/>
      <c r="Z51" s="214">
        <f t="shared" si="13"/>
        <v>15561</v>
      </c>
      <c r="AA51" s="215">
        <f t="shared" si="14"/>
        <v>11981</v>
      </c>
    </row>
    <row r="52" spans="1:39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>
        <v>1285</v>
      </c>
      <c r="K52" s="128"/>
      <c r="L52" s="232">
        <f t="shared" si="10"/>
        <v>1285</v>
      </c>
      <c r="M52" s="147"/>
      <c r="N52" s="147"/>
      <c r="O52" s="147"/>
      <c r="P52" s="147"/>
      <c r="Q52" s="147"/>
      <c r="R52" s="147"/>
      <c r="S52" s="147"/>
      <c r="T52" s="147"/>
      <c r="U52" s="147"/>
      <c r="V52" s="355">
        <f t="shared" si="12"/>
        <v>0</v>
      </c>
      <c r="W52" s="205"/>
      <c r="X52" s="204"/>
      <c r="Y52" s="204"/>
      <c r="Z52" s="214">
        <f t="shared" si="13"/>
        <v>1285</v>
      </c>
      <c r="AA52" s="215">
        <f t="shared" si="14"/>
        <v>0</v>
      </c>
    </row>
    <row r="53" spans="1:39" x14ac:dyDescent="0.25">
      <c r="A53" s="136" t="s">
        <v>174</v>
      </c>
      <c r="B53" s="137" t="s">
        <v>344</v>
      </c>
      <c r="C53" s="230">
        <v>3793</v>
      </c>
      <c r="D53" s="230">
        <v>2387</v>
      </c>
      <c r="E53" s="230">
        <v>898</v>
      </c>
      <c r="F53" s="230">
        <v>73</v>
      </c>
      <c r="G53" s="230">
        <v>75</v>
      </c>
      <c r="H53" s="230">
        <v>0</v>
      </c>
      <c r="I53" s="230">
        <v>19</v>
      </c>
      <c r="J53" s="230">
        <v>195</v>
      </c>
      <c r="K53" s="230">
        <v>0</v>
      </c>
      <c r="L53" s="232">
        <f t="shared" si="10"/>
        <v>7440</v>
      </c>
      <c r="M53" s="230">
        <v>603</v>
      </c>
      <c r="N53" s="230">
        <v>688</v>
      </c>
      <c r="O53" s="230">
        <v>254</v>
      </c>
      <c r="P53" s="230">
        <v>30</v>
      </c>
      <c r="Q53" s="230">
        <v>10</v>
      </c>
      <c r="R53" s="230">
        <v>139</v>
      </c>
      <c r="S53" s="230">
        <v>0</v>
      </c>
      <c r="T53" s="230">
        <v>0</v>
      </c>
      <c r="U53" s="355"/>
      <c r="V53" s="355">
        <f t="shared" si="12"/>
        <v>1724</v>
      </c>
      <c r="W53" s="204">
        <v>435</v>
      </c>
      <c r="X53" s="204"/>
      <c r="Y53" s="204"/>
      <c r="Z53" s="214">
        <f t="shared" si="13"/>
        <v>9599</v>
      </c>
      <c r="AA53" s="215">
        <f t="shared" si="14"/>
        <v>7574</v>
      </c>
    </row>
    <row r="54" spans="1:39" ht="13.8" thickBot="1" x14ac:dyDescent="0.3">
      <c r="A54" s="136" t="s">
        <v>186</v>
      </c>
      <c r="B54" s="137" t="s">
        <v>345</v>
      </c>
      <c r="C54" s="265">
        <v>99</v>
      </c>
      <c r="D54" s="265">
        <v>194</v>
      </c>
      <c r="E54" s="265">
        <v>35</v>
      </c>
      <c r="F54" s="265">
        <v>19</v>
      </c>
      <c r="G54" s="265">
        <v>6</v>
      </c>
      <c r="H54" s="265">
        <v>4</v>
      </c>
      <c r="I54" s="265">
        <v>0</v>
      </c>
      <c r="J54" s="265">
        <v>26</v>
      </c>
      <c r="K54" s="265">
        <v>0</v>
      </c>
      <c r="L54" s="239">
        <f t="shared" si="10"/>
        <v>383</v>
      </c>
      <c r="M54" s="265">
        <v>258</v>
      </c>
      <c r="N54" s="265">
        <v>702</v>
      </c>
      <c r="O54" s="265">
        <v>119</v>
      </c>
      <c r="P54" s="265">
        <v>43</v>
      </c>
      <c r="Q54" s="265">
        <v>27</v>
      </c>
      <c r="R54" s="265">
        <v>26</v>
      </c>
      <c r="S54" s="265">
        <v>0</v>
      </c>
      <c r="T54" s="265">
        <v>9</v>
      </c>
      <c r="U54" s="412"/>
      <c r="V54" s="355">
        <f t="shared" si="12"/>
        <v>1184</v>
      </c>
      <c r="W54" s="209">
        <v>285</v>
      </c>
      <c r="X54" s="209"/>
      <c r="Y54" s="209"/>
      <c r="Z54" s="214">
        <f t="shared" si="13"/>
        <v>1852</v>
      </c>
      <c r="AA54" s="217">
        <f t="shared" si="14"/>
        <v>1315</v>
      </c>
    </row>
    <row r="55" spans="1:39" s="109" customFormat="1" ht="14.4" thickBot="1" x14ac:dyDescent="0.3">
      <c r="A55" s="134"/>
      <c r="B55" s="159" t="s">
        <v>459</v>
      </c>
      <c r="C55" s="258">
        <f t="shared" ref="C55:AA55" si="15">SUM(C38:C54)</f>
        <v>30182</v>
      </c>
      <c r="D55" s="157">
        <f t="shared" si="15"/>
        <v>18731</v>
      </c>
      <c r="E55" s="157">
        <f t="shared" si="15"/>
        <v>8355</v>
      </c>
      <c r="F55" s="157">
        <f t="shared" si="15"/>
        <v>594</v>
      </c>
      <c r="G55" s="157">
        <f t="shared" si="15"/>
        <v>1022</v>
      </c>
      <c r="H55" s="157">
        <f t="shared" si="15"/>
        <v>41</v>
      </c>
      <c r="I55" s="157">
        <f t="shared" si="15"/>
        <v>249</v>
      </c>
      <c r="J55" s="157">
        <f t="shared" si="15"/>
        <v>10739</v>
      </c>
      <c r="K55" s="259">
        <f t="shared" si="15"/>
        <v>169</v>
      </c>
      <c r="L55" s="260">
        <f t="shared" si="15"/>
        <v>70082</v>
      </c>
      <c r="M55" s="262">
        <f t="shared" si="15"/>
        <v>7220</v>
      </c>
      <c r="N55" s="158">
        <f t="shared" si="15"/>
        <v>12449</v>
      </c>
      <c r="O55" s="158">
        <f t="shared" si="15"/>
        <v>4051</v>
      </c>
      <c r="P55" s="158">
        <f t="shared" si="15"/>
        <v>268</v>
      </c>
      <c r="Q55" s="158">
        <f t="shared" si="15"/>
        <v>504</v>
      </c>
      <c r="R55" s="158">
        <f t="shared" si="15"/>
        <v>1790</v>
      </c>
      <c r="S55" s="158">
        <f t="shared" si="15"/>
        <v>0</v>
      </c>
      <c r="T55" s="158">
        <f t="shared" si="15"/>
        <v>219</v>
      </c>
      <c r="U55" s="264">
        <f t="shared" si="15"/>
        <v>12</v>
      </c>
      <c r="V55" s="263">
        <f t="shared" si="15"/>
        <v>26513</v>
      </c>
      <c r="W55" s="261">
        <f t="shared" si="15"/>
        <v>7450</v>
      </c>
      <c r="X55" s="210">
        <f t="shared" si="15"/>
        <v>185</v>
      </c>
      <c r="Y55" s="210">
        <f t="shared" si="15"/>
        <v>61</v>
      </c>
      <c r="Z55" s="210">
        <f t="shared" si="15"/>
        <v>104291</v>
      </c>
      <c r="AA55" s="210">
        <f t="shared" si="15"/>
        <v>69625</v>
      </c>
      <c r="AC55"/>
      <c r="AD55"/>
      <c r="AE55"/>
      <c r="AF55"/>
      <c r="AG55"/>
      <c r="AH55"/>
      <c r="AI55"/>
      <c r="AJ55"/>
      <c r="AK55"/>
      <c r="AL55"/>
      <c r="AM55"/>
    </row>
    <row r="56" spans="1:39" x14ac:dyDescent="0.25">
      <c r="A56" s="136" t="s">
        <v>71</v>
      </c>
      <c r="B56" s="137" t="s">
        <v>305</v>
      </c>
      <c r="C56" s="280">
        <v>13</v>
      </c>
      <c r="D56" s="280">
        <v>0</v>
      </c>
      <c r="E56" s="280">
        <v>1</v>
      </c>
      <c r="F56" s="280">
        <v>0</v>
      </c>
      <c r="G56" s="280">
        <v>0</v>
      </c>
      <c r="H56" s="280">
        <v>38</v>
      </c>
      <c r="I56" s="280">
        <v>0</v>
      </c>
      <c r="J56" s="280">
        <v>1838</v>
      </c>
      <c r="K56" s="280">
        <v>0</v>
      </c>
      <c r="L56" s="232">
        <f t="shared" ref="L56:L71" si="16">SUM(C56:K56)</f>
        <v>1890</v>
      </c>
      <c r="M56" s="280">
        <v>0</v>
      </c>
      <c r="N56" s="280">
        <v>0</v>
      </c>
      <c r="O56" s="280">
        <v>0</v>
      </c>
      <c r="P56" s="280">
        <v>0</v>
      </c>
      <c r="Q56" s="280">
        <v>0</v>
      </c>
      <c r="R56" s="280">
        <v>0</v>
      </c>
      <c r="S56" s="280">
        <v>0</v>
      </c>
      <c r="T56" s="280">
        <v>0</v>
      </c>
      <c r="U56" s="280"/>
      <c r="V56" s="411">
        <f>SUM(M56:U56)</f>
        <v>0</v>
      </c>
      <c r="W56" s="237">
        <f>12604+2976+7001</f>
        <v>22581</v>
      </c>
      <c r="X56" s="211"/>
      <c r="Y56" s="211"/>
      <c r="Z56" s="214">
        <f t="shared" si="7"/>
        <v>24471</v>
      </c>
      <c r="AA56" s="215">
        <f t="shared" ref="AA56:AA65" si="17">C56+D56+F56+K56+M56+N56+P56+U56</f>
        <v>13</v>
      </c>
      <c r="AB56" s="142">
        <f>L56</f>
        <v>1890</v>
      </c>
    </row>
    <row r="57" spans="1:39" x14ac:dyDescent="0.25">
      <c r="A57" s="136" t="s">
        <v>77</v>
      </c>
      <c r="B57" s="137" t="s">
        <v>306</v>
      </c>
      <c r="C57" s="230">
        <v>3852</v>
      </c>
      <c r="D57" s="230">
        <v>3660</v>
      </c>
      <c r="E57" s="230">
        <v>2106</v>
      </c>
      <c r="F57" s="230">
        <v>192</v>
      </c>
      <c r="G57" s="230">
        <v>81</v>
      </c>
      <c r="H57" s="230">
        <v>14</v>
      </c>
      <c r="I57" s="230">
        <v>0</v>
      </c>
      <c r="J57" s="230">
        <v>241</v>
      </c>
      <c r="K57" s="230">
        <v>6</v>
      </c>
      <c r="L57" s="232">
        <f t="shared" si="16"/>
        <v>10152</v>
      </c>
      <c r="M57" s="230">
        <v>533</v>
      </c>
      <c r="N57" s="230">
        <v>1512</v>
      </c>
      <c r="O57" s="230">
        <v>633</v>
      </c>
      <c r="P57" s="230">
        <v>13</v>
      </c>
      <c r="Q57" s="230">
        <v>35</v>
      </c>
      <c r="R57" s="230">
        <v>95</v>
      </c>
      <c r="S57" s="230">
        <v>0</v>
      </c>
      <c r="T57" s="230">
        <v>23</v>
      </c>
      <c r="U57" s="230"/>
      <c r="V57" s="355">
        <f t="shared" ref="V57:V71" si="18">SUM(M57:U57)</f>
        <v>2844</v>
      </c>
      <c r="W57" s="233">
        <v>803</v>
      </c>
      <c r="X57" s="204"/>
      <c r="Y57" s="204"/>
      <c r="Z57" s="214">
        <f t="shared" si="7"/>
        <v>13799</v>
      </c>
      <c r="AA57" s="215">
        <f t="shared" si="17"/>
        <v>9768</v>
      </c>
    </row>
    <row r="58" spans="1:39" x14ac:dyDescent="0.25">
      <c r="A58" s="136" t="s">
        <v>102</v>
      </c>
      <c r="B58" s="137" t="s">
        <v>315</v>
      </c>
      <c r="C58" s="230">
        <v>0</v>
      </c>
      <c r="D58" s="230">
        <v>0</v>
      </c>
      <c r="E58" s="230">
        <v>0</v>
      </c>
      <c r="F58" s="230">
        <v>0</v>
      </c>
      <c r="G58" s="230">
        <v>0</v>
      </c>
      <c r="H58" s="230">
        <v>0</v>
      </c>
      <c r="I58" s="230">
        <v>0</v>
      </c>
      <c r="J58" s="230">
        <v>81</v>
      </c>
      <c r="K58" s="230">
        <v>0</v>
      </c>
      <c r="L58" s="232">
        <f t="shared" si="16"/>
        <v>81</v>
      </c>
      <c r="M58" s="230">
        <v>0</v>
      </c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230"/>
      <c r="V58" s="355">
        <f t="shared" si="18"/>
        <v>0</v>
      </c>
      <c r="W58" s="358"/>
      <c r="X58" s="204"/>
      <c r="Y58" s="204"/>
      <c r="Z58" s="214">
        <f t="shared" si="7"/>
        <v>81</v>
      </c>
      <c r="AA58" s="215">
        <f>C58+D58+F58+K58+M58+N58+P58+U58</f>
        <v>0</v>
      </c>
    </row>
    <row r="59" spans="1:39" x14ac:dyDescent="0.25">
      <c r="A59" s="136" t="s">
        <v>103</v>
      </c>
      <c r="B59" s="137" t="s">
        <v>297</v>
      </c>
      <c r="C59" s="230">
        <v>61</v>
      </c>
      <c r="D59" s="230">
        <v>64</v>
      </c>
      <c r="E59" s="230">
        <v>23</v>
      </c>
      <c r="F59" s="230">
        <v>8</v>
      </c>
      <c r="G59" s="230">
        <v>2</v>
      </c>
      <c r="H59" s="230">
        <v>0</v>
      </c>
      <c r="I59" s="230">
        <v>0</v>
      </c>
      <c r="J59" s="230">
        <v>13</v>
      </c>
      <c r="K59" s="230">
        <v>0</v>
      </c>
      <c r="L59" s="232">
        <f t="shared" si="16"/>
        <v>171</v>
      </c>
      <c r="M59" s="230">
        <v>42</v>
      </c>
      <c r="N59" s="230">
        <v>13</v>
      </c>
      <c r="O59" s="230">
        <v>17</v>
      </c>
      <c r="P59" s="230">
        <v>0</v>
      </c>
      <c r="Q59" s="230">
        <v>0</v>
      </c>
      <c r="R59" s="230">
        <v>0</v>
      </c>
      <c r="S59" s="230">
        <v>0</v>
      </c>
      <c r="T59" s="230">
        <v>0</v>
      </c>
      <c r="U59" s="230"/>
      <c r="V59" s="355">
        <f t="shared" si="18"/>
        <v>72</v>
      </c>
      <c r="W59" s="204">
        <v>11</v>
      </c>
      <c r="X59" s="204"/>
      <c r="Y59" s="204"/>
      <c r="Z59" s="214">
        <f t="shared" si="7"/>
        <v>254</v>
      </c>
      <c r="AA59" s="215">
        <f>C59+D59+F59+K59+M59+N59+P59+U59</f>
        <v>188</v>
      </c>
    </row>
    <row r="60" spans="1:39" x14ac:dyDescent="0.25">
      <c r="A60" s="136" t="s">
        <v>112</v>
      </c>
      <c r="B60" s="137" t="s">
        <v>307</v>
      </c>
      <c r="C60" s="230">
        <v>749</v>
      </c>
      <c r="D60" s="230">
        <v>815</v>
      </c>
      <c r="E60" s="230">
        <v>226</v>
      </c>
      <c r="F60" s="230">
        <v>18</v>
      </c>
      <c r="G60" s="230">
        <v>23</v>
      </c>
      <c r="H60" s="230">
        <v>2</v>
      </c>
      <c r="I60" s="230">
        <v>66</v>
      </c>
      <c r="J60" s="230">
        <v>161</v>
      </c>
      <c r="K60" s="230">
        <v>0</v>
      </c>
      <c r="L60" s="232">
        <f t="shared" si="16"/>
        <v>2060</v>
      </c>
      <c r="M60" s="230">
        <v>801</v>
      </c>
      <c r="N60" s="230">
        <v>1738</v>
      </c>
      <c r="O60" s="230">
        <v>151</v>
      </c>
      <c r="P60" s="230">
        <v>39</v>
      </c>
      <c r="Q60" s="230">
        <v>69</v>
      </c>
      <c r="R60" s="230">
        <v>88</v>
      </c>
      <c r="S60" s="230">
        <v>0</v>
      </c>
      <c r="T60" s="230">
        <v>28</v>
      </c>
      <c r="U60" s="230"/>
      <c r="V60" s="355">
        <f t="shared" si="18"/>
        <v>2914</v>
      </c>
      <c r="W60" s="355">
        <v>106</v>
      </c>
      <c r="X60" s="233"/>
      <c r="Y60" s="204"/>
      <c r="Z60" s="214">
        <f t="shared" si="7"/>
        <v>5080</v>
      </c>
      <c r="AA60" s="215">
        <f t="shared" si="17"/>
        <v>4160</v>
      </c>
    </row>
    <row r="61" spans="1:39" x14ac:dyDescent="0.25">
      <c r="A61" s="136" t="s">
        <v>120</v>
      </c>
      <c r="B61" s="137" t="s">
        <v>318</v>
      </c>
      <c r="C61" s="230">
        <v>2341</v>
      </c>
      <c r="D61" s="230">
        <v>1635</v>
      </c>
      <c r="E61" s="230">
        <v>674</v>
      </c>
      <c r="F61" s="230">
        <v>46</v>
      </c>
      <c r="G61" s="230">
        <v>74</v>
      </c>
      <c r="H61" s="230">
        <v>3</v>
      </c>
      <c r="I61" s="230">
        <v>0</v>
      </c>
      <c r="J61" s="230">
        <v>540</v>
      </c>
      <c r="K61" s="230">
        <v>322</v>
      </c>
      <c r="L61" s="232">
        <f t="shared" si="16"/>
        <v>5635</v>
      </c>
      <c r="M61" s="230">
        <v>1367</v>
      </c>
      <c r="N61" s="230">
        <v>1540</v>
      </c>
      <c r="O61" s="230">
        <v>831</v>
      </c>
      <c r="P61" s="230">
        <v>48</v>
      </c>
      <c r="Q61" s="230">
        <v>51</v>
      </c>
      <c r="R61" s="230">
        <v>99</v>
      </c>
      <c r="S61" s="230">
        <v>0</v>
      </c>
      <c r="T61" s="230">
        <v>6</v>
      </c>
      <c r="U61" s="230"/>
      <c r="V61" s="355">
        <f t="shared" si="18"/>
        <v>3942</v>
      </c>
      <c r="W61" s="355">
        <v>312</v>
      </c>
      <c r="X61" s="233"/>
      <c r="Y61" s="204"/>
      <c r="Z61" s="214">
        <f t="shared" si="7"/>
        <v>9889</v>
      </c>
      <c r="AA61" s="215">
        <f>C61+D61+F61+K61+M61+N61+P61+U61</f>
        <v>7299</v>
      </c>
    </row>
    <row r="62" spans="1:39" x14ac:dyDescent="0.25">
      <c r="A62" s="136" t="s">
        <v>131</v>
      </c>
      <c r="B62" s="137" t="s">
        <v>308</v>
      </c>
      <c r="C62" s="230">
        <v>661</v>
      </c>
      <c r="D62" s="230">
        <v>623</v>
      </c>
      <c r="E62" s="230">
        <v>325</v>
      </c>
      <c r="F62" s="230">
        <v>36</v>
      </c>
      <c r="G62" s="230">
        <v>35</v>
      </c>
      <c r="H62" s="230">
        <v>0</v>
      </c>
      <c r="I62" s="230">
        <v>0</v>
      </c>
      <c r="J62" s="230">
        <v>302</v>
      </c>
      <c r="K62" s="230">
        <v>0</v>
      </c>
      <c r="L62" s="232">
        <f t="shared" si="16"/>
        <v>1982</v>
      </c>
      <c r="M62" s="230">
        <v>709</v>
      </c>
      <c r="N62" s="230">
        <v>1605</v>
      </c>
      <c r="O62" s="230">
        <v>712</v>
      </c>
      <c r="P62" s="230">
        <v>39</v>
      </c>
      <c r="Q62" s="230">
        <v>36</v>
      </c>
      <c r="R62" s="230">
        <v>12</v>
      </c>
      <c r="S62" s="230">
        <v>0</v>
      </c>
      <c r="T62" s="230">
        <v>0</v>
      </c>
      <c r="U62" s="230"/>
      <c r="V62" s="355">
        <f t="shared" si="18"/>
        <v>3113</v>
      </c>
      <c r="W62" s="355">
        <v>866</v>
      </c>
      <c r="X62" s="233"/>
      <c r="Y62" s="204"/>
      <c r="Z62" s="214">
        <f t="shared" si="7"/>
        <v>5961</v>
      </c>
      <c r="AA62" s="215">
        <f t="shared" si="17"/>
        <v>3673</v>
      </c>
    </row>
    <row r="63" spans="1:39" x14ac:dyDescent="0.25">
      <c r="A63" s="136" t="s">
        <v>133</v>
      </c>
      <c r="B63" s="137" t="s">
        <v>319</v>
      </c>
      <c r="C63" s="230">
        <v>215</v>
      </c>
      <c r="D63" s="230">
        <v>352</v>
      </c>
      <c r="E63" s="230">
        <v>104</v>
      </c>
      <c r="F63" s="230">
        <v>8</v>
      </c>
      <c r="G63" s="230">
        <v>10</v>
      </c>
      <c r="H63" s="230">
        <v>0</v>
      </c>
      <c r="I63" s="230">
        <v>0</v>
      </c>
      <c r="J63" s="230">
        <v>64</v>
      </c>
      <c r="K63" s="230">
        <v>0</v>
      </c>
      <c r="L63" s="232">
        <f t="shared" si="16"/>
        <v>753</v>
      </c>
      <c r="M63" s="230">
        <v>99</v>
      </c>
      <c r="N63" s="230">
        <v>215</v>
      </c>
      <c r="O63" s="230">
        <v>92</v>
      </c>
      <c r="P63" s="230">
        <v>2</v>
      </c>
      <c r="Q63" s="230">
        <v>30</v>
      </c>
      <c r="R63" s="230">
        <v>32</v>
      </c>
      <c r="S63" s="230">
        <v>0</v>
      </c>
      <c r="T63" s="230">
        <v>0</v>
      </c>
      <c r="U63" s="230"/>
      <c r="V63" s="355">
        <f t="shared" si="18"/>
        <v>470</v>
      </c>
      <c r="W63" s="355">
        <v>379</v>
      </c>
      <c r="X63" s="233"/>
      <c r="Y63" s="204"/>
      <c r="Z63" s="214">
        <f t="shared" si="7"/>
        <v>1602</v>
      </c>
      <c r="AA63" s="215">
        <f>C63+D63+F63+K63+M63+N63+P63+U63</f>
        <v>891</v>
      </c>
    </row>
    <row r="64" spans="1:39" x14ac:dyDescent="0.25">
      <c r="A64" s="136" t="s">
        <v>134</v>
      </c>
      <c r="B64" s="137" t="s">
        <v>320</v>
      </c>
      <c r="C64" s="230">
        <v>516</v>
      </c>
      <c r="D64" s="230">
        <v>288</v>
      </c>
      <c r="E64" s="230">
        <v>77</v>
      </c>
      <c r="F64" s="230">
        <v>26</v>
      </c>
      <c r="G64" s="230">
        <v>22</v>
      </c>
      <c r="H64" s="230">
        <v>0</v>
      </c>
      <c r="I64" s="230">
        <v>0</v>
      </c>
      <c r="J64" s="230">
        <v>59</v>
      </c>
      <c r="K64" s="230">
        <v>0</v>
      </c>
      <c r="L64" s="232">
        <f t="shared" si="16"/>
        <v>988</v>
      </c>
      <c r="M64" s="230">
        <v>127</v>
      </c>
      <c r="N64" s="230">
        <v>105</v>
      </c>
      <c r="O64" s="230">
        <v>31</v>
      </c>
      <c r="P64" s="230">
        <v>0</v>
      </c>
      <c r="Q64" s="230">
        <v>6</v>
      </c>
      <c r="R64" s="230">
        <v>0</v>
      </c>
      <c r="S64" s="230">
        <v>0</v>
      </c>
      <c r="T64" s="230">
        <v>0</v>
      </c>
      <c r="U64" s="230"/>
      <c r="V64" s="355">
        <f t="shared" si="18"/>
        <v>269</v>
      </c>
      <c r="W64" s="215">
        <v>143</v>
      </c>
      <c r="X64" s="233"/>
      <c r="Y64" s="204"/>
      <c r="Z64" s="214">
        <f t="shared" si="7"/>
        <v>1400</v>
      </c>
      <c r="AA64" s="215">
        <f>C64+D64+F64+K64+M64+N64+P64+U64</f>
        <v>1062</v>
      </c>
    </row>
    <row r="65" spans="1:39" x14ac:dyDescent="0.25">
      <c r="A65" s="136" t="s">
        <v>145</v>
      </c>
      <c r="B65" s="137" t="s">
        <v>309</v>
      </c>
      <c r="C65" s="230">
        <v>336</v>
      </c>
      <c r="D65" s="230">
        <v>163</v>
      </c>
      <c r="E65" s="230">
        <v>51</v>
      </c>
      <c r="F65" s="230">
        <v>22</v>
      </c>
      <c r="G65" s="230">
        <v>16</v>
      </c>
      <c r="H65" s="230">
        <v>0</v>
      </c>
      <c r="I65" s="230">
        <v>0</v>
      </c>
      <c r="J65" s="230">
        <v>249</v>
      </c>
      <c r="K65" s="230">
        <v>0</v>
      </c>
      <c r="L65" s="232">
        <f t="shared" si="16"/>
        <v>837</v>
      </c>
      <c r="M65" s="230">
        <v>272</v>
      </c>
      <c r="N65" s="230">
        <v>360</v>
      </c>
      <c r="O65" s="230">
        <v>191</v>
      </c>
      <c r="P65" s="230">
        <v>10</v>
      </c>
      <c r="Q65" s="230">
        <v>6</v>
      </c>
      <c r="R65" s="230">
        <v>16</v>
      </c>
      <c r="S65" s="230">
        <v>0</v>
      </c>
      <c r="T65" s="230">
        <v>256</v>
      </c>
      <c r="U65" s="230"/>
      <c r="V65" s="355">
        <f t="shared" si="18"/>
        <v>1111</v>
      </c>
      <c r="W65" s="355">
        <f>231+41</f>
        <v>272</v>
      </c>
      <c r="X65" s="233"/>
      <c r="Y65" s="204"/>
      <c r="Z65" s="214">
        <f t="shared" si="7"/>
        <v>2220</v>
      </c>
      <c r="AA65" s="215">
        <f t="shared" si="17"/>
        <v>1163</v>
      </c>
    </row>
    <row r="66" spans="1:39" x14ac:dyDescent="0.25">
      <c r="A66" s="136" t="s">
        <v>149</v>
      </c>
      <c r="B66" s="137" t="s">
        <v>353</v>
      </c>
      <c r="C66" s="230">
        <v>133</v>
      </c>
      <c r="D66" s="230">
        <v>72</v>
      </c>
      <c r="E66" s="230">
        <v>28</v>
      </c>
      <c r="F66" s="230">
        <v>16</v>
      </c>
      <c r="G66" s="230">
        <v>0</v>
      </c>
      <c r="H66" s="230">
        <v>0</v>
      </c>
      <c r="I66" s="230">
        <v>6</v>
      </c>
      <c r="J66" s="230">
        <v>16</v>
      </c>
      <c r="K66" s="230">
        <v>0</v>
      </c>
      <c r="L66" s="232">
        <f t="shared" si="16"/>
        <v>271</v>
      </c>
      <c r="M66" s="230">
        <v>50</v>
      </c>
      <c r="N66" s="230">
        <v>98</v>
      </c>
      <c r="O66" s="230">
        <v>17</v>
      </c>
      <c r="P66" s="230">
        <v>2</v>
      </c>
      <c r="Q66" s="230">
        <v>0</v>
      </c>
      <c r="R66" s="230">
        <v>0</v>
      </c>
      <c r="S66" s="230">
        <v>0</v>
      </c>
      <c r="T66" s="230">
        <v>0</v>
      </c>
      <c r="U66" s="230"/>
      <c r="V66" s="355">
        <f t="shared" si="18"/>
        <v>167</v>
      </c>
      <c r="W66" s="355">
        <v>152</v>
      </c>
      <c r="X66" s="233"/>
      <c r="Y66" s="204"/>
      <c r="Z66" s="214">
        <f t="shared" si="7"/>
        <v>590</v>
      </c>
      <c r="AA66" s="215">
        <f t="shared" ref="AA66:AA71" si="19">C66+D66+F66+K66+M66+N66+P66+U66</f>
        <v>371</v>
      </c>
    </row>
    <row r="67" spans="1:39" x14ac:dyDescent="0.25">
      <c r="A67" s="136" t="s">
        <v>182</v>
      </c>
      <c r="B67" s="137" t="s">
        <v>357</v>
      </c>
      <c r="C67" s="230">
        <v>462</v>
      </c>
      <c r="D67" s="230">
        <v>107</v>
      </c>
      <c r="E67" s="230">
        <v>82</v>
      </c>
      <c r="F67" s="230">
        <v>11</v>
      </c>
      <c r="G67" s="230">
        <v>6</v>
      </c>
      <c r="H67" s="230">
        <v>0</v>
      </c>
      <c r="I67" s="230">
        <v>0</v>
      </c>
      <c r="J67" s="230">
        <v>18</v>
      </c>
      <c r="K67" s="230">
        <v>0</v>
      </c>
      <c r="L67" s="232">
        <f t="shared" si="16"/>
        <v>686</v>
      </c>
      <c r="M67" s="230">
        <v>238</v>
      </c>
      <c r="N67" s="230">
        <v>395</v>
      </c>
      <c r="O67" s="230">
        <v>83</v>
      </c>
      <c r="P67" s="230">
        <v>6</v>
      </c>
      <c r="Q67" s="230">
        <v>24</v>
      </c>
      <c r="R67" s="230">
        <v>0</v>
      </c>
      <c r="S67" s="230">
        <v>0</v>
      </c>
      <c r="T67" s="230">
        <v>0</v>
      </c>
      <c r="U67" s="230"/>
      <c r="V67" s="355">
        <f t="shared" si="18"/>
        <v>746</v>
      </c>
      <c r="W67" s="355">
        <v>367</v>
      </c>
      <c r="X67" s="233"/>
      <c r="Y67" s="204"/>
      <c r="Z67" s="214">
        <f t="shared" si="7"/>
        <v>1799</v>
      </c>
      <c r="AA67" s="215">
        <f t="shared" si="19"/>
        <v>1219</v>
      </c>
      <c r="AB67" s="142">
        <f>L67+V67</f>
        <v>1432</v>
      </c>
    </row>
    <row r="68" spans="1:39" x14ac:dyDescent="0.25">
      <c r="A68" s="136" t="s">
        <v>185</v>
      </c>
      <c r="B68" s="137" t="s">
        <v>310</v>
      </c>
      <c r="C68" s="230"/>
      <c r="D68" s="230"/>
      <c r="E68" s="230">
        <v>88</v>
      </c>
      <c r="F68" s="230"/>
      <c r="G68" s="230"/>
      <c r="H68" s="230"/>
      <c r="I68" s="230"/>
      <c r="J68" s="230">
        <v>889</v>
      </c>
      <c r="K68" s="230"/>
      <c r="L68" s="241">
        <f t="shared" si="16"/>
        <v>977</v>
      </c>
      <c r="M68" s="230"/>
      <c r="N68" s="230"/>
      <c r="O68" s="230"/>
      <c r="P68" s="230"/>
      <c r="Q68" s="230"/>
      <c r="R68" s="230"/>
      <c r="S68" s="230"/>
      <c r="T68" s="230"/>
      <c r="U68" s="230"/>
      <c r="V68" s="355">
        <f t="shared" si="18"/>
        <v>0</v>
      </c>
      <c r="W68" s="355">
        <v>2573</v>
      </c>
      <c r="X68" s="233"/>
      <c r="Y68" s="204"/>
      <c r="Z68" s="214">
        <f t="shared" si="7"/>
        <v>3550</v>
      </c>
      <c r="AA68" s="215">
        <f t="shared" si="19"/>
        <v>0</v>
      </c>
    </row>
    <row r="69" spans="1:39" x14ac:dyDescent="0.25">
      <c r="A69" s="136" t="s">
        <v>188</v>
      </c>
      <c r="B69" s="137" t="s">
        <v>311</v>
      </c>
      <c r="C69" s="230"/>
      <c r="D69" s="230"/>
      <c r="E69" s="230"/>
      <c r="F69" s="230"/>
      <c r="G69" s="230"/>
      <c r="H69" s="230"/>
      <c r="I69" s="230"/>
      <c r="J69" s="230"/>
      <c r="K69" s="230"/>
      <c r="L69" s="241">
        <f t="shared" si="16"/>
        <v>0</v>
      </c>
      <c r="M69" s="230"/>
      <c r="N69" s="230"/>
      <c r="O69" s="230"/>
      <c r="P69" s="230"/>
      <c r="Q69" s="230"/>
      <c r="R69" s="230"/>
      <c r="S69" s="230"/>
      <c r="T69" s="230"/>
      <c r="U69" s="230"/>
      <c r="V69" s="355">
        <f t="shared" si="18"/>
        <v>0</v>
      </c>
      <c r="W69" s="214">
        <v>0</v>
      </c>
      <c r="X69" s="235"/>
      <c r="Y69" s="209"/>
      <c r="Z69" s="214">
        <f t="shared" si="7"/>
        <v>0</v>
      </c>
      <c r="AA69" s="215">
        <f t="shared" si="19"/>
        <v>0</v>
      </c>
    </row>
    <row r="70" spans="1:39" x14ac:dyDescent="0.25">
      <c r="A70" s="136" t="s">
        <v>192</v>
      </c>
      <c r="B70" s="137" t="s">
        <v>312</v>
      </c>
      <c r="C70" s="230">
        <v>19</v>
      </c>
      <c r="D70" s="230">
        <v>17</v>
      </c>
      <c r="E70" s="230">
        <v>0</v>
      </c>
      <c r="F70" s="230">
        <v>0</v>
      </c>
      <c r="G70" s="230">
        <v>0</v>
      </c>
      <c r="H70" s="230">
        <v>0</v>
      </c>
      <c r="I70" s="230">
        <v>0</v>
      </c>
      <c r="J70" s="230">
        <v>18</v>
      </c>
      <c r="K70" s="230">
        <v>0</v>
      </c>
      <c r="L70" s="241">
        <f t="shared" si="16"/>
        <v>54</v>
      </c>
      <c r="M70" s="230">
        <v>190</v>
      </c>
      <c r="N70" s="230">
        <v>121</v>
      </c>
      <c r="O70" s="230">
        <v>12</v>
      </c>
      <c r="P70" s="230">
        <v>3</v>
      </c>
      <c r="Q70" s="230">
        <v>0</v>
      </c>
      <c r="R70" s="230">
        <v>0</v>
      </c>
      <c r="S70" s="230"/>
      <c r="T70" s="230"/>
      <c r="U70" s="230"/>
      <c r="V70" s="355">
        <f t="shared" si="18"/>
        <v>326</v>
      </c>
      <c r="W70" s="355">
        <v>182</v>
      </c>
      <c r="X70" s="235"/>
      <c r="Y70" s="209"/>
      <c r="Z70" s="214">
        <f t="shared" si="7"/>
        <v>562</v>
      </c>
      <c r="AA70" s="217">
        <f t="shared" si="19"/>
        <v>350</v>
      </c>
    </row>
    <row r="71" spans="1:39" ht="13.8" thickBot="1" x14ac:dyDescent="0.3">
      <c r="A71" s="136" t="s">
        <v>193</v>
      </c>
      <c r="B71" s="137" t="s">
        <v>325</v>
      </c>
      <c r="C71" s="265">
        <v>0</v>
      </c>
      <c r="D71" s="265">
        <v>0</v>
      </c>
      <c r="E71" s="265">
        <v>0</v>
      </c>
      <c r="F71" s="265">
        <v>0</v>
      </c>
      <c r="G71" s="265">
        <v>0</v>
      </c>
      <c r="H71" s="265">
        <v>0</v>
      </c>
      <c r="I71" s="265">
        <v>381</v>
      </c>
      <c r="J71" s="265">
        <v>34</v>
      </c>
      <c r="K71">
        <v>0</v>
      </c>
      <c r="L71" s="239">
        <f t="shared" si="16"/>
        <v>415</v>
      </c>
      <c r="M71" s="265">
        <v>0</v>
      </c>
      <c r="N71" s="265">
        <v>0</v>
      </c>
      <c r="O71" s="265">
        <v>0</v>
      </c>
      <c r="P71" s="265">
        <v>0</v>
      </c>
      <c r="Q71" s="265">
        <v>0</v>
      </c>
      <c r="R71" s="265">
        <v>0</v>
      </c>
      <c r="S71" s="265"/>
      <c r="T71" s="265"/>
      <c r="U71" s="265"/>
      <c r="V71" s="412">
        <f t="shared" si="18"/>
        <v>0</v>
      </c>
      <c r="W71" s="412">
        <v>2665</v>
      </c>
      <c r="X71" s="235"/>
      <c r="Y71" s="209"/>
      <c r="Z71" s="214">
        <f t="shared" si="7"/>
        <v>3080</v>
      </c>
      <c r="AA71" s="217">
        <f t="shared" si="19"/>
        <v>0</v>
      </c>
      <c r="AB71" s="142">
        <f>L71+V71</f>
        <v>415</v>
      </c>
    </row>
    <row r="72" spans="1:39" s="109" customFormat="1" ht="14.4" thickBot="1" x14ac:dyDescent="0.3">
      <c r="A72" s="134"/>
      <c r="B72" s="159" t="s">
        <v>460</v>
      </c>
      <c r="C72" s="258">
        <f t="shared" ref="C72:AA72" si="20">SUM(C56:C71)</f>
        <v>9358</v>
      </c>
      <c r="D72" s="157">
        <f t="shared" si="20"/>
        <v>7796</v>
      </c>
      <c r="E72" s="157">
        <f t="shared" si="20"/>
        <v>3785</v>
      </c>
      <c r="F72" s="157">
        <f t="shared" si="20"/>
        <v>383</v>
      </c>
      <c r="G72" s="157">
        <f t="shared" si="20"/>
        <v>269</v>
      </c>
      <c r="H72" s="157">
        <f t="shared" si="20"/>
        <v>57</v>
      </c>
      <c r="I72" s="157">
        <f t="shared" si="20"/>
        <v>453</v>
      </c>
      <c r="J72" s="157">
        <f t="shared" si="20"/>
        <v>4523</v>
      </c>
      <c r="K72" s="259">
        <f t="shared" si="20"/>
        <v>328</v>
      </c>
      <c r="L72" s="260">
        <f t="shared" si="20"/>
        <v>26952</v>
      </c>
      <c r="M72" s="262">
        <f t="shared" si="20"/>
        <v>4428</v>
      </c>
      <c r="N72" s="158">
        <f t="shared" si="20"/>
        <v>7702</v>
      </c>
      <c r="O72" s="158">
        <f t="shared" si="20"/>
        <v>2770</v>
      </c>
      <c r="P72" s="158">
        <f t="shared" si="20"/>
        <v>162</v>
      </c>
      <c r="Q72" s="158">
        <f t="shared" si="20"/>
        <v>257</v>
      </c>
      <c r="R72" s="158">
        <f t="shared" si="20"/>
        <v>342</v>
      </c>
      <c r="S72" s="158">
        <f t="shared" si="20"/>
        <v>0</v>
      </c>
      <c r="T72" s="264">
        <f t="shared" si="20"/>
        <v>313</v>
      </c>
      <c r="U72" s="401">
        <f t="shared" si="20"/>
        <v>0</v>
      </c>
      <c r="V72" s="263">
        <f t="shared" si="20"/>
        <v>15974</v>
      </c>
      <c r="W72" s="483">
        <f t="shared" si="20"/>
        <v>31412</v>
      </c>
      <c r="X72" s="261">
        <f t="shared" si="20"/>
        <v>0</v>
      </c>
      <c r="Y72" s="210">
        <f t="shared" si="20"/>
        <v>0</v>
      </c>
      <c r="Z72" s="210">
        <f t="shared" si="20"/>
        <v>74338</v>
      </c>
      <c r="AA72" s="210">
        <f t="shared" si="20"/>
        <v>30157</v>
      </c>
      <c r="AC72"/>
      <c r="AD72"/>
      <c r="AE72"/>
      <c r="AF72"/>
      <c r="AG72"/>
      <c r="AH72"/>
      <c r="AI72"/>
      <c r="AJ72"/>
      <c r="AK72"/>
      <c r="AL72"/>
      <c r="AM72"/>
    </row>
    <row r="73" spans="1:39" x14ac:dyDescent="0.25">
      <c r="A73" s="136" t="s">
        <v>65</v>
      </c>
      <c r="B73" s="137" t="s">
        <v>326</v>
      </c>
      <c r="C73" s="280">
        <v>505</v>
      </c>
      <c r="D73" s="280">
        <v>334</v>
      </c>
      <c r="E73" s="280">
        <v>229</v>
      </c>
      <c r="F73" s="280">
        <v>4</v>
      </c>
      <c r="G73" s="280">
        <v>24</v>
      </c>
      <c r="H73" s="280">
        <v>0</v>
      </c>
      <c r="I73" s="280">
        <v>0</v>
      </c>
      <c r="J73" s="280">
        <v>111</v>
      </c>
      <c r="K73" s="280">
        <v>0</v>
      </c>
      <c r="L73" s="234">
        <f>SUM(C73:K73)</f>
        <v>1207</v>
      </c>
      <c r="M73" s="280">
        <v>194</v>
      </c>
      <c r="N73" s="280">
        <v>348</v>
      </c>
      <c r="O73" s="280">
        <v>88</v>
      </c>
      <c r="P73" s="280">
        <v>9</v>
      </c>
      <c r="Q73" s="280">
        <v>18</v>
      </c>
      <c r="R73" s="280">
        <v>0</v>
      </c>
      <c r="S73" s="280">
        <v>102</v>
      </c>
      <c r="T73" s="280">
        <v>0</v>
      </c>
      <c r="U73" s="280"/>
      <c r="V73" s="411">
        <f>SUM(M73:U73)</f>
        <v>759</v>
      </c>
      <c r="W73" s="411">
        <v>416</v>
      </c>
      <c r="X73" s="237"/>
      <c r="Y73" s="211"/>
      <c r="Z73" s="214">
        <f t="shared" si="7"/>
        <v>2382</v>
      </c>
      <c r="AA73" s="218">
        <f>C73+D73+F73+K73+M73+N73+P73+U73</f>
        <v>1394</v>
      </c>
    </row>
    <row r="74" spans="1:39" x14ac:dyDescent="0.25">
      <c r="A74" s="136" t="s">
        <v>81</v>
      </c>
      <c r="B74" s="137" t="s">
        <v>327</v>
      </c>
      <c r="C74" s="230">
        <v>576</v>
      </c>
      <c r="D74" s="230">
        <v>210</v>
      </c>
      <c r="E74" s="230">
        <v>139</v>
      </c>
      <c r="F74" s="230">
        <v>27</v>
      </c>
      <c r="G74" s="230">
        <v>22</v>
      </c>
      <c r="H74" s="230">
        <v>0</v>
      </c>
      <c r="I74" s="230">
        <v>0</v>
      </c>
      <c r="J74" s="230">
        <v>18</v>
      </c>
      <c r="K74" s="230">
        <v>0</v>
      </c>
      <c r="L74" s="232">
        <f>SUM(C74:K74)</f>
        <v>992</v>
      </c>
      <c r="M74" s="230">
        <v>236</v>
      </c>
      <c r="N74" s="230">
        <v>89</v>
      </c>
      <c r="O74" s="230">
        <v>22</v>
      </c>
      <c r="P74" s="230">
        <v>5</v>
      </c>
      <c r="Q74" s="230">
        <v>0</v>
      </c>
      <c r="R74" s="230">
        <v>0</v>
      </c>
      <c r="S74" s="230">
        <v>0</v>
      </c>
      <c r="T74" s="230">
        <v>0</v>
      </c>
      <c r="U74" s="230"/>
      <c r="V74" s="355">
        <f t="shared" ref="V74:V88" si="21">SUM(M74:U74)</f>
        <v>352</v>
      </c>
      <c r="W74" s="355">
        <v>1390</v>
      </c>
      <c r="X74" s="233"/>
      <c r="Y74" s="204"/>
      <c r="Z74" s="214">
        <f t="shared" si="7"/>
        <v>2734</v>
      </c>
      <c r="AA74" s="215">
        <f>C74+D74+F74+K74+M74+N74+P74+U74</f>
        <v>1143</v>
      </c>
    </row>
    <row r="75" spans="1:39" x14ac:dyDescent="0.25">
      <c r="A75" s="136" t="s">
        <v>87</v>
      </c>
      <c r="B75" s="137" t="s">
        <v>292</v>
      </c>
      <c r="C75" s="230">
        <v>759</v>
      </c>
      <c r="D75" s="230">
        <v>896</v>
      </c>
      <c r="E75" s="230">
        <v>378</v>
      </c>
      <c r="F75" s="230">
        <v>12</v>
      </c>
      <c r="G75" s="230">
        <v>20</v>
      </c>
      <c r="H75" s="230">
        <v>0</v>
      </c>
      <c r="I75" s="230">
        <v>0</v>
      </c>
      <c r="J75" s="230">
        <v>51</v>
      </c>
      <c r="K75" s="230">
        <v>0</v>
      </c>
      <c r="L75" s="232">
        <f t="shared" ref="L75:L88" si="22">SUM(C75:K75)</f>
        <v>2116</v>
      </c>
      <c r="M75" s="230">
        <v>181</v>
      </c>
      <c r="N75" s="230">
        <v>434</v>
      </c>
      <c r="O75" s="230">
        <v>186</v>
      </c>
      <c r="P75" s="230">
        <v>2</v>
      </c>
      <c r="Q75" s="230">
        <v>14</v>
      </c>
      <c r="R75" s="230">
        <v>0</v>
      </c>
      <c r="S75" s="230">
        <v>0</v>
      </c>
      <c r="T75" s="230">
        <v>130</v>
      </c>
      <c r="U75" s="230"/>
      <c r="V75" s="355">
        <f t="shared" si="21"/>
        <v>947</v>
      </c>
      <c r="W75" s="355">
        <v>277</v>
      </c>
      <c r="X75" s="233"/>
      <c r="Y75" s="204"/>
      <c r="Z75" s="214">
        <f t="shared" si="7"/>
        <v>3340</v>
      </c>
      <c r="AA75" s="215">
        <f t="shared" ref="AA75:AA88" si="23">C75+D75+F75+K75+M75+N75+P75+U75</f>
        <v>2284</v>
      </c>
    </row>
    <row r="76" spans="1:39" x14ac:dyDescent="0.25">
      <c r="A76" s="136" t="s">
        <v>92</v>
      </c>
      <c r="B76" s="137" t="s">
        <v>328</v>
      </c>
      <c r="C76" s="230">
        <v>208</v>
      </c>
      <c r="D76" s="230">
        <v>32</v>
      </c>
      <c r="E76" s="230">
        <v>51</v>
      </c>
      <c r="F76" s="230">
        <v>8</v>
      </c>
      <c r="G76" s="230">
        <v>1</v>
      </c>
      <c r="H76" s="230">
        <v>0</v>
      </c>
      <c r="I76" s="230">
        <v>0</v>
      </c>
      <c r="J76" s="230">
        <v>16</v>
      </c>
      <c r="K76" s="230">
        <v>0</v>
      </c>
      <c r="L76" s="232">
        <f t="shared" si="22"/>
        <v>316</v>
      </c>
      <c r="M76" s="230">
        <v>69</v>
      </c>
      <c r="N76" s="230">
        <v>112</v>
      </c>
      <c r="O76" s="230">
        <v>29</v>
      </c>
      <c r="P76" s="230">
        <v>16</v>
      </c>
      <c r="Q76" s="230">
        <v>0</v>
      </c>
      <c r="R76" s="230">
        <v>62</v>
      </c>
      <c r="S76" s="230">
        <v>0</v>
      </c>
      <c r="T76" s="230">
        <v>0</v>
      </c>
      <c r="U76" s="230"/>
      <c r="V76" s="355">
        <f t="shared" si="21"/>
        <v>288</v>
      </c>
      <c r="W76" s="417">
        <v>231</v>
      </c>
      <c r="X76" s="233"/>
      <c r="Y76" s="204"/>
      <c r="Z76" s="214">
        <f t="shared" si="7"/>
        <v>835</v>
      </c>
      <c r="AA76" s="215">
        <f t="shared" si="23"/>
        <v>445</v>
      </c>
    </row>
    <row r="77" spans="1:39" x14ac:dyDescent="0.25">
      <c r="A77" s="136" t="s">
        <v>96</v>
      </c>
      <c r="B77" s="137" t="s">
        <v>293</v>
      </c>
      <c r="C77" s="230">
        <v>2320</v>
      </c>
      <c r="D77" s="230">
        <v>1203</v>
      </c>
      <c r="E77" s="230">
        <v>1101</v>
      </c>
      <c r="F77" s="230">
        <v>44</v>
      </c>
      <c r="G77" s="230">
        <v>57</v>
      </c>
      <c r="H77" s="230">
        <v>0</v>
      </c>
      <c r="I77" s="230">
        <v>0</v>
      </c>
      <c r="J77" s="230">
        <v>137</v>
      </c>
      <c r="K77" s="230">
        <v>0</v>
      </c>
      <c r="L77" s="232">
        <f t="shared" si="22"/>
        <v>4862</v>
      </c>
      <c r="M77" s="230">
        <v>322</v>
      </c>
      <c r="N77" s="230">
        <v>580</v>
      </c>
      <c r="O77" s="230">
        <v>441</v>
      </c>
      <c r="P77" s="230">
        <v>0</v>
      </c>
      <c r="Q77" s="230">
        <v>11</v>
      </c>
      <c r="R77" s="230">
        <v>87</v>
      </c>
      <c r="S77" s="230">
        <v>0</v>
      </c>
      <c r="T77" s="230">
        <v>96</v>
      </c>
      <c r="U77" s="230"/>
      <c r="V77" s="355">
        <f t="shared" si="21"/>
        <v>1537</v>
      </c>
      <c r="W77" s="355">
        <v>664</v>
      </c>
      <c r="X77" s="233"/>
      <c r="Y77" s="204"/>
      <c r="Z77" s="214">
        <f t="shared" si="7"/>
        <v>7063</v>
      </c>
      <c r="AA77" s="215">
        <f t="shared" si="23"/>
        <v>4469</v>
      </c>
    </row>
    <row r="78" spans="1:39" x14ac:dyDescent="0.25">
      <c r="A78" s="136" t="s">
        <v>100</v>
      </c>
      <c r="B78" s="137" t="s">
        <v>295</v>
      </c>
      <c r="C78" s="230">
        <v>945</v>
      </c>
      <c r="D78" s="230">
        <v>232</v>
      </c>
      <c r="E78" s="230">
        <v>89</v>
      </c>
      <c r="F78" s="230">
        <v>60</v>
      </c>
      <c r="G78" s="230">
        <v>27</v>
      </c>
      <c r="H78" s="230">
        <v>0</v>
      </c>
      <c r="I78" s="230">
        <v>0</v>
      </c>
      <c r="J78" s="230">
        <v>35</v>
      </c>
      <c r="K78" s="230">
        <v>0</v>
      </c>
      <c r="L78" s="232">
        <f t="shared" si="22"/>
        <v>1388</v>
      </c>
      <c r="M78" s="230">
        <v>66</v>
      </c>
      <c r="N78" s="230">
        <v>155</v>
      </c>
      <c r="O78" s="230">
        <v>45</v>
      </c>
      <c r="P78" s="230">
        <v>8</v>
      </c>
      <c r="Q78" s="230">
        <v>1</v>
      </c>
      <c r="R78" s="230">
        <v>0</v>
      </c>
      <c r="S78" s="230">
        <v>0</v>
      </c>
      <c r="T78" s="230">
        <v>18</v>
      </c>
      <c r="U78" s="230"/>
      <c r="V78" s="355">
        <f t="shared" si="21"/>
        <v>293</v>
      </c>
      <c r="W78" s="355">
        <v>815</v>
      </c>
      <c r="X78" s="233"/>
      <c r="Y78" s="204"/>
      <c r="Z78" s="214">
        <f t="shared" si="7"/>
        <v>2496</v>
      </c>
      <c r="AA78" s="215">
        <f t="shared" si="23"/>
        <v>1466</v>
      </c>
    </row>
    <row r="79" spans="1:39" x14ac:dyDescent="0.25">
      <c r="A79" s="136" t="s">
        <v>108</v>
      </c>
      <c r="B79" s="137" t="s">
        <v>296</v>
      </c>
      <c r="C79" s="230">
        <v>461</v>
      </c>
      <c r="D79" s="230">
        <v>229</v>
      </c>
      <c r="E79" s="230">
        <v>265</v>
      </c>
      <c r="F79" s="230">
        <v>14</v>
      </c>
      <c r="G79" s="230">
        <v>31</v>
      </c>
      <c r="H79" s="230">
        <v>0</v>
      </c>
      <c r="I79" s="230">
        <v>16</v>
      </c>
      <c r="J79" s="230">
        <v>117</v>
      </c>
      <c r="K79" s="230">
        <v>0</v>
      </c>
      <c r="L79" s="232">
        <f t="shared" si="22"/>
        <v>1133</v>
      </c>
      <c r="M79" s="230">
        <v>57</v>
      </c>
      <c r="N79" s="230">
        <v>211</v>
      </c>
      <c r="O79" s="230">
        <v>58</v>
      </c>
      <c r="P79" s="230">
        <v>7</v>
      </c>
      <c r="Q79" s="230">
        <v>7</v>
      </c>
      <c r="R79" s="230">
        <v>10</v>
      </c>
      <c r="S79" s="230">
        <v>0</v>
      </c>
      <c r="T79" s="230">
        <v>0</v>
      </c>
      <c r="U79" s="230"/>
      <c r="V79" s="355">
        <f t="shared" si="21"/>
        <v>350</v>
      </c>
      <c r="W79" s="415">
        <v>156</v>
      </c>
      <c r="X79" s="233"/>
      <c r="Y79" s="204"/>
      <c r="Z79" s="214">
        <f t="shared" si="7"/>
        <v>1639</v>
      </c>
      <c r="AA79" s="215">
        <f t="shared" si="23"/>
        <v>979</v>
      </c>
    </row>
    <row r="80" spans="1:39" x14ac:dyDescent="0.25">
      <c r="A80" s="136" t="s">
        <v>109</v>
      </c>
      <c r="B80" s="137" t="s">
        <v>329</v>
      </c>
      <c r="C80" s="230">
        <v>284</v>
      </c>
      <c r="D80" s="230">
        <v>345</v>
      </c>
      <c r="E80" s="230">
        <v>146</v>
      </c>
      <c r="F80" s="230">
        <v>20</v>
      </c>
      <c r="G80" s="230">
        <v>43</v>
      </c>
      <c r="H80" s="230">
        <v>0</v>
      </c>
      <c r="I80" s="230">
        <v>0</v>
      </c>
      <c r="J80" s="230">
        <v>54</v>
      </c>
      <c r="K80" s="230">
        <v>0</v>
      </c>
      <c r="L80" s="232">
        <f t="shared" si="22"/>
        <v>892</v>
      </c>
      <c r="M80" s="230">
        <v>111</v>
      </c>
      <c r="N80" s="230">
        <v>247</v>
      </c>
      <c r="O80" s="230">
        <v>62</v>
      </c>
      <c r="P80" s="230">
        <v>26</v>
      </c>
      <c r="Q80" s="230">
        <v>4</v>
      </c>
      <c r="R80" s="230">
        <v>0</v>
      </c>
      <c r="S80" s="230">
        <v>0</v>
      </c>
      <c r="T80" s="230">
        <v>0</v>
      </c>
      <c r="U80" s="230"/>
      <c r="V80" s="355">
        <f t="shared" si="21"/>
        <v>450</v>
      </c>
      <c r="W80" s="355">
        <v>219</v>
      </c>
      <c r="X80" s="233"/>
      <c r="Y80" s="204"/>
      <c r="Z80" s="214">
        <f t="shared" si="7"/>
        <v>1561</v>
      </c>
      <c r="AA80" s="215">
        <f t="shared" si="23"/>
        <v>1033</v>
      </c>
    </row>
    <row r="81" spans="1:39" x14ac:dyDescent="0.25">
      <c r="A81" s="136" t="s">
        <v>124</v>
      </c>
      <c r="B81" s="137" t="s">
        <v>330</v>
      </c>
      <c r="C81" s="230">
        <v>537</v>
      </c>
      <c r="D81" s="230">
        <v>325</v>
      </c>
      <c r="E81" s="230">
        <v>102</v>
      </c>
      <c r="F81" s="230">
        <v>19</v>
      </c>
      <c r="G81" s="230">
        <v>50</v>
      </c>
      <c r="H81" s="230">
        <v>0</v>
      </c>
      <c r="I81" s="230">
        <v>66</v>
      </c>
      <c r="J81" s="230">
        <v>12</v>
      </c>
      <c r="K81" s="230">
        <v>0</v>
      </c>
      <c r="L81" s="232">
        <f t="shared" si="22"/>
        <v>1111</v>
      </c>
      <c r="M81" s="230">
        <v>65</v>
      </c>
      <c r="N81" s="230">
        <v>260</v>
      </c>
      <c r="O81" s="230">
        <v>28</v>
      </c>
      <c r="P81" s="230">
        <v>3</v>
      </c>
      <c r="Q81" s="230">
        <v>20</v>
      </c>
      <c r="R81" s="230">
        <v>64</v>
      </c>
      <c r="S81" s="230">
        <v>0</v>
      </c>
      <c r="T81" s="230">
        <v>0</v>
      </c>
      <c r="U81" s="230"/>
      <c r="V81" s="355">
        <f t="shared" si="21"/>
        <v>440</v>
      </c>
      <c r="W81" s="355">
        <v>440</v>
      </c>
      <c r="X81" s="233"/>
      <c r="Y81" s="204"/>
      <c r="Z81" s="214">
        <f t="shared" si="7"/>
        <v>1991</v>
      </c>
      <c r="AA81" s="215">
        <f t="shared" si="23"/>
        <v>1209</v>
      </c>
    </row>
    <row r="82" spans="1:39" x14ac:dyDescent="0.25">
      <c r="A82" s="136" t="s">
        <v>126</v>
      </c>
      <c r="B82" s="137" t="s">
        <v>331</v>
      </c>
      <c r="C82" s="230">
        <v>258</v>
      </c>
      <c r="D82" s="230">
        <v>211</v>
      </c>
      <c r="E82" s="230">
        <v>87</v>
      </c>
      <c r="F82" s="230">
        <v>19</v>
      </c>
      <c r="G82" s="230">
        <v>19</v>
      </c>
      <c r="H82" s="230">
        <v>0</v>
      </c>
      <c r="I82" s="230">
        <v>0</v>
      </c>
      <c r="J82" s="230">
        <v>99</v>
      </c>
      <c r="K82" s="230">
        <v>0</v>
      </c>
      <c r="L82" s="232">
        <f t="shared" si="22"/>
        <v>693</v>
      </c>
      <c r="M82" s="230">
        <v>197</v>
      </c>
      <c r="N82" s="230">
        <v>370</v>
      </c>
      <c r="O82" s="230">
        <v>95</v>
      </c>
      <c r="P82" s="230">
        <v>9</v>
      </c>
      <c r="Q82" s="230">
        <v>42</v>
      </c>
      <c r="R82" s="230">
        <v>0</v>
      </c>
      <c r="S82" s="230">
        <v>0</v>
      </c>
      <c r="T82" s="230">
        <v>34</v>
      </c>
      <c r="U82" s="230"/>
      <c r="V82" s="355">
        <f t="shared" si="21"/>
        <v>747</v>
      </c>
      <c r="W82" s="355">
        <v>380</v>
      </c>
      <c r="X82" s="233"/>
      <c r="Y82" s="204"/>
      <c r="Z82" s="214">
        <f t="shared" si="7"/>
        <v>1820</v>
      </c>
      <c r="AA82" s="215">
        <f t="shared" si="23"/>
        <v>1064</v>
      </c>
    </row>
    <row r="83" spans="1:39" x14ac:dyDescent="0.25">
      <c r="A83" s="136" t="s">
        <v>132</v>
      </c>
      <c r="B83" s="137" t="s">
        <v>298</v>
      </c>
      <c r="C83" s="230">
        <v>1220</v>
      </c>
      <c r="D83" s="230">
        <v>1583</v>
      </c>
      <c r="E83" s="230">
        <v>478</v>
      </c>
      <c r="F83" s="230">
        <v>35</v>
      </c>
      <c r="G83" s="230">
        <v>58</v>
      </c>
      <c r="H83" s="230">
        <v>0</v>
      </c>
      <c r="I83" s="230">
        <v>10</v>
      </c>
      <c r="J83" s="230">
        <v>116</v>
      </c>
      <c r="K83" s="230">
        <v>0</v>
      </c>
      <c r="L83" s="232">
        <f t="shared" si="22"/>
        <v>3500</v>
      </c>
      <c r="M83" s="230">
        <v>345</v>
      </c>
      <c r="N83" s="230">
        <v>565</v>
      </c>
      <c r="O83" s="230">
        <v>240</v>
      </c>
      <c r="P83" s="230">
        <v>13</v>
      </c>
      <c r="Q83" s="230">
        <v>2</v>
      </c>
      <c r="R83" s="230">
        <v>54</v>
      </c>
      <c r="S83" s="230">
        <v>0</v>
      </c>
      <c r="T83" s="230">
        <v>7</v>
      </c>
      <c r="U83" s="230"/>
      <c r="V83" s="355">
        <f t="shared" si="21"/>
        <v>1226</v>
      </c>
      <c r="W83" s="355">
        <v>624</v>
      </c>
      <c r="X83" s="233"/>
      <c r="Y83" s="204"/>
      <c r="Z83" s="214">
        <f t="shared" si="7"/>
        <v>5350</v>
      </c>
      <c r="AA83" s="215">
        <f t="shared" si="23"/>
        <v>3761</v>
      </c>
    </row>
    <row r="84" spans="1:39" x14ac:dyDescent="0.25">
      <c r="A84" s="136" t="s">
        <v>137</v>
      </c>
      <c r="B84" s="137" t="s">
        <v>299</v>
      </c>
      <c r="C84" s="230">
        <v>220</v>
      </c>
      <c r="D84" s="230">
        <v>327</v>
      </c>
      <c r="E84" s="230">
        <v>77</v>
      </c>
      <c r="F84" s="230">
        <v>18</v>
      </c>
      <c r="G84" s="230">
        <v>17</v>
      </c>
      <c r="H84" s="230">
        <v>0</v>
      </c>
      <c r="I84" s="230">
        <v>0</v>
      </c>
      <c r="J84" s="230">
        <v>84</v>
      </c>
      <c r="K84" s="230">
        <v>0</v>
      </c>
      <c r="L84" s="232">
        <f t="shared" si="22"/>
        <v>743</v>
      </c>
      <c r="M84" s="230">
        <v>111</v>
      </c>
      <c r="N84" s="230">
        <v>609</v>
      </c>
      <c r="O84" s="230">
        <v>107</v>
      </c>
      <c r="P84" s="230">
        <v>12</v>
      </c>
      <c r="Q84" s="230">
        <v>14</v>
      </c>
      <c r="R84" s="230">
        <v>0</v>
      </c>
      <c r="S84" s="230">
        <v>0</v>
      </c>
      <c r="T84" s="230">
        <v>5</v>
      </c>
      <c r="U84" s="230"/>
      <c r="V84" s="355">
        <f t="shared" si="21"/>
        <v>858</v>
      </c>
      <c r="W84" s="355">
        <v>72</v>
      </c>
      <c r="X84" s="233"/>
      <c r="Y84" s="204"/>
      <c r="Z84" s="214">
        <f t="shared" si="7"/>
        <v>1673</v>
      </c>
      <c r="AA84" s="215">
        <f t="shared" si="23"/>
        <v>1297</v>
      </c>
    </row>
    <row r="85" spans="1:39" x14ac:dyDescent="0.25">
      <c r="A85" s="136" t="s">
        <v>148</v>
      </c>
      <c r="B85" s="137" t="s">
        <v>300</v>
      </c>
      <c r="C85" s="230">
        <v>276</v>
      </c>
      <c r="D85" s="230">
        <v>390</v>
      </c>
      <c r="E85" s="230">
        <v>167</v>
      </c>
      <c r="F85" s="230">
        <v>19</v>
      </c>
      <c r="G85" s="230">
        <v>17</v>
      </c>
      <c r="H85" s="230">
        <v>0</v>
      </c>
      <c r="I85" s="230">
        <v>0</v>
      </c>
      <c r="J85" s="230">
        <v>46</v>
      </c>
      <c r="K85" s="230">
        <v>0</v>
      </c>
      <c r="L85" s="232">
        <f t="shared" si="22"/>
        <v>915</v>
      </c>
      <c r="M85" s="230">
        <v>110</v>
      </c>
      <c r="N85" s="230">
        <v>288</v>
      </c>
      <c r="O85" s="230">
        <v>43</v>
      </c>
      <c r="P85" s="230">
        <v>18</v>
      </c>
      <c r="Q85" s="230">
        <v>8</v>
      </c>
      <c r="R85" s="230">
        <v>62</v>
      </c>
      <c r="S85" s="230">
        <v>0</v>
      </c>
      <c r="T85" s="230">
        <v>0</v>
      </c>
      <c r="U85" s="230"/>
      <c r="V85" s="355">
        <f t="shared" si="21"/>
        <v>529</v>
      </c>
      <c r="W85" s="355">
        <v>61</v>
      </c>
      <c r="X85" s="233"/>
      <c r="Y85" s="204"/>
      <c r="Z85" s="214">
        <f t="shared" si="7"/>
        <v>1505</v>
      </c>
      <c r="AA85" s="215">
        <f t="shared" si="23"/>
        <v>1101</v>
      </c>
    </row>
    <row r="86" spans="1:39" x14ac:dyDescent="0.25">
      <c r="A86" s="136" t="s">
        <v>169</v>
      </c>
      <c r="B86" s="137" t="s">
        <v>301</v>
      </c>
      <c r="C86" s="230">
        <v>566</v>
      </c>
      <c r="D86" s="230">
        <v>288</v>
      </c>
      <c r="E86" s="230">
        <v>196</v>
      </c>
      <c r="F86" s="230">
        <v>20</v>
      </c>
      <c r="G86" s="230">
        <v>55</v>
      </c>
      <c r="H86" s="230">
        <v>0</v>
      </c>
      <c r="I86" s="230">
        <v>0</v>
      </c>
      <c r="J86" s="230">
        <v>61</v>
      </c>
      <c r="K86" s="230">
        <v>0</v>
      </c>
      <c r="L86" s="232">
        <f t="shared" si="22"/>
        <v>1186</v>
      </c>
      <c r="M86" s="230">
        <v>140</v>
      </c>
      <c r="N86" s="230">
        <v>329</v>
      </c>
      <c r="O86" s="230">
        <v>71</v>
      </c>
      <c r="P86" s="230">
        <v>3</v>
      </c>
      <c r="Q86" s="230">
        <v>14</v>
      </c>
      <c r="R86" s="230">
        <v>0</v>
      </c>
      <c r="S86" s="230">
        <v>0</v>
      </c>
      <c r="T86" s="230">
        <v>3</v>
      </c>
      <c r="U86" s="230"/>
      <c r="V86" s="355">
        <f t="shared" si="21"/>
        <v>560</v>
      </c>
      <c r="W86" s="355"/>
      <c r="X86" s="233"/>
      <c r="Y86" s="204"/>
      <c r="Z86" s="214">
        <f t="shared" si="7"/>
        <v>1746</v>
      </c>
      <c r="AA86" s="215">
        <f t="shared" si="23"/>
        <v>1346</v>
      </c>
    </row>
    <row r="87" spans="1:39" x14ac:dyDescent="0.25">
      <c r="A87" s="136" t="s">
        <v>172</v>
      </c>
      <c r="B87" s="137" t="s">
        <v>333</v>
      </c>
      <c r="C87" s="230">
        <v>8302</v>
      </c>
      <c r="D87" s="230">
        <v>2794</v>
      </c>
      <c r="E87" s="230">
        <v>1450</v>
      </c>
      <c r="F87" s="230">
        <v>108</v>
      </c>
      <c r="G87" s="230">
        <v>90</v>
      </c>
      <c r="H87" s="230">
        <v>13</v>
      </c>
      <c r="I87" s="230">
        <v>0</v>
      </c>
      <c r="J87" s="230">
        <v>166</v>
      </c>
      <c r="K87" s="230">
        <v>0</v>
      </c>
      <c r="L87" s="232">
        <f t="shared" si="22"/>
        <v>12923</v>
      </c>
      <c r="M87" s="230">
        <v>748</v>
      </c>
      <c r="N87" s="230">
        <v>509</v>
      </c>
      <c r="O87" s="230">
        <v>141</v>
      </c>
      <c r="P87" s="230">
        <v>7</v>
      </c>
      <c r="Q87" s="230">
        <v>18</v>
      </c>
      <c r="R87" s="230">
        <v>100</v>
      </c>
      <c r="S87" s="230">
        <v>12</v>
      </c>
      <c r="T87" s="230">
        <v>6</v>
      </c>
      <c r="U87" s="230"/>
      <c r="V87" s="355">
        <f t="shared" si="21"/>
        <v>1541</v>
      </c>
      <c r="W87" s="355">
        <v>876</v>
      </c>
      <c r="X87" s="235"/>
      <c r="Y87" s="209"/>
      <c r="Z87" s="214">
        <f t="shared" si="7"/>
        <v>15340</v>
      </c>
      <c r="AA87" s="215">
        <f t="shared" si="23"/>
        <v>12468</v>
      </c>
    </row>
    <row r="88" spans="1:39" ht="13.8" thickBot="1" x14ac:dyDescent="0.3">
      <c r="A88" s="136" t="s">
        <v>175</v>
      </c>
      <c r="B88" s="137" t="s">
        <v>334</v>
      </c>
      <c r="C88" s="265">
        <v>75</v>
      </c>
      <c r="D88" s="265">
        <v>60</v>
      </c>
      <c r="E88" s="265">
        <v>18</v>
      </c>
      <c r="F88" s="265">
        <v>1</v>
      </c>
      <c r="G88" s="265">
        <v>6</v>
      </c>
      <c r="H88" s="265">
        <v>0</v>
      </c>
      <c r="I88" s="265">
        <v>0</v>
      </c>
      <c r="J88" s="265">
        <v>11</v>
      </c>
      <c r="K88" s="265">
        <v>0</v>
      </c>
      <c r="L88" s="239">
        <f t="shared" si="22"/>
        <v>171</v>
      </c>
      <c r="M88" s="265">
        <v>127</v>
      </c>
      <c r="N88" s="265">
        <v>114</v>
      </c>
      <c r="O88" s="265">
        <v>53</v>
      </c>
      <c r="P88" s="265">
        <v>2</v>
      </c>
      <c r="Q88" s="265">
        <v>12</v>
      </c>
      <c r="R88" s="265">
        <v>0</v>
      </c>
      <c r="S88" s="265">
        <v>0</v>
      </c>
      <c r="T88" s="265">
        <v>0</v>
      </c>
      <c r="U88" s="265"/>
      <c r="V88" s="412">
        <f t="shared" si="21"/>
        <v>308</v>
      </c>
      <c r="W88" s="412">
        <v>164</v>
      </c>
      <c r="X88" s="235"/>
      <c r="Y88" s="209"/>
      <c r="Z88" s="214">
        <f t="shared" si="7"/>
        <v>643</v>
      </c>
      <c r="AA88" s="215">
        <f t="shared" si="23"/>
        <v>379</v>
      </c>
    </row>
    <row r="89" spans="1:39" s="109" customFormat="1" ht="14.4" thickBot="1" x14ac:dyDescent="0.3">
      <c r="A89" s="134"/>
      <c r="B89" s="159" t="s">
        <v>461</v>
      </c>
      <c r="C89" s="258">
        <f t="shared" ref="C89:AA89" si="24">SUM(C73:C88)</f>
        <v>17512</v>
      </c>
      <c r="D89" s="157">
        <f t="shared" si="24"/>
        <v>9459</v>
      </c>
      <c r="E89" s="157">
        <f t="shared" si="24"/>
        <v>4973</v>
      </c>
      <c r="F89" s="157">
        <f t="shared" si="24"/>
        <v>428</v>
      </c>
      <c r="G89" s="157">
        <f t="shared" si="24"/>
        <v>537</v>
      </c>
      <c r="H89" s="157">
        <f t="shared" si="24"/>
        <v>13</v>
      </c>
      <c r="I89" s="157">
        <f t="shared" si="24"/>
        <v>92</v>
      </c>
      <c r="J89" s="157">
        <f t="shared" si="24"/>
        <v>1134</v>
      </c>
      <c r="K89" s="259">
        <f t="shared" si="24"/>
        <v>0</v>
      </c>
      <c r="L89" s="260">
        <f t="shared" si="24"/>
        <v>34148</v>
      </c>
      <c r="M89" s="262">
        <f t="shared" si="24"/>
        <v>3079</v>
      </c>
      <c r="N89" s="158">
        <f t="shared" si="24"/>
        <v>5220</v>
      </c>
      <c r="O89" s="158">
        <f t="shared" si="24"/>
        <v>1709</v>
      </c>
      <c r="P89" s="158">
        <f t="shared" si="24"/>
        <v>140</v>
      </c>
      <c r="Q89" s="158">
        <f t="shared" si="24"/>
        <v>185</v>
      </c>
      <c r="R89" s="158">
        <f t="shared" si="24"/>
        <v>439</v>
      </c>
      <c r="S89" s="158">
        <f t="shared" si="24"/>
        <v>114</v>
      </c>
      <c r="T89" s="158">
        <f t="shared" si="24"/>
        <v>299</v>
      </c>
      <c r="U89" s="264">
        <f t="shared" si="24"/>
        <v>0</v>
      </c>
      <c r="V89" s="180">
        <f t="shared" si="24"/>
        <v>11185</v>
      </c>
      <c r="W89" s="276">
        <f t="shared" si="24"/>
        <v>6785</v>
      </c>
      <c r="X89" s="261">
        <f t="shared" si="24"/>
        <v>0</v>
      </c>
      <c r="Y89" s="210">
        <f t="shared" si="24"/>
        <v>0</v>
      </c>
      <c r="Z89" s="210">
        <f t="shared" si="24"/>
        <v>52118</v>
      </c>
      <c r="AA89" s="210">
        <f t="shared" si="24"/>
        <v>35838</v>
      </c>
      <c r="AC89"/>
      <c r="AD89"/>
      <c r="AE89"/>
      <c r="AF89"/>
      <c r="AG89"/>
      <c r="AH89"/>
      <c r="AI89"/>
      <c r="AJ89"/>
      <c r="AK89"/>
      <c r="AL89"/>
      <c r="AM89"/>
    </row>
    <row r="90" spans="1:39" x14ac:dyDescent="0.25">
      <c r="A90" s="136" t="s">
        <v>67</v>
      </c>
      <c r="B90" s="137" t="s">
        <v>346</v>
      </c>
      <c r="C90" s="280">
        <v>80</v>
      </c>
      <c r="D90" s="280">
        <v>46</v>
      </c>
      <c r="E90" s="280">
        <v>34</v>
      </c>
      <c r="F90" s="280">
        <v>6</v>
      </c>
      <c r="G90" s="280">
        <v>1</v>
      </c>
      <c r="H90" s="280">
        <v>0</v>
      </c>
      <c r="I90" s="280">
        <v>0</v>
      </c>
      <c r="J90" s="280">
        <v>20</v>
      </c>
      <c r="K90" s="280">
        <v>0</v>
      </c>
      <c r="L90" s="234">
        <f t="shared" ref="L90:L105" si="25">SUM(C90:K90)</f>
        <v>187</v>
      </c>
      <c r="M90" s="280">
        <v>29</v>
      </c>
      <c r="N90" s="280">
        <v>71</v>
      </c>
      <c r="O90" s="280">
        <v>5</v>
      </c>
      <c r="P90" s="280">
        <v>0</v>
      </c>
      <c r="Q90" s="280">
        <v>0</v>
      </c>
      <c r="R90" s="280">
        <v>0</v>
      </c>
      <c r="S90" s="280">
        <v>0</v>
      </c>
      <c r="T90" s="280">
        <v>0</v>
      </c>
      <c r="U90" s="411"/>
      <c r="V90" s="411">
        <f>SUM(M90:U90)</f>
        <v>105</v>
      </c>
      <c r="W90" s="215">
        <v>15</v>
      </c>
      <c r="X90" s="237"/>
      <c r="Y90" s="211"/>
      <c r="Z90" s="214">
        <f t="shared" ref="Z90:Z105" si="26">L90+V90+W90+X90</f>
        <v>307</v>
      </c>
      <c r="AA90" s="215">
        <f t="shared" ref="AA90:AA103" si="27">C90+D90+F90+K90+M90+N90+P90+U90</f>
        <v>232</v>
      </c>
    </row>
    <row r="91" spans="1:39" x14ac:dyDescent="0.25">
      <c r="A91" s="136" t="s">
        <v>76</v>
      </c>
      <c r="B91" s="137" t="s">
        <v>290</v>
      </c>
      <c r="C91" s="230">
        <v>130</v>
      </c>
      <c r="D91" s="230">
        <v>163</v>
      </c>
      <c r="E91" s="230">
        <v>83</v>
      </c>
      <c r="F91" s="230">
        <v>3</v>
      </c>
      <c r="G91" s="230">
        <v>24</v>
      </c>
      <c r="H91" s="230">
        <v>0</v>
      </c>
      <c r="I91" s="230">
        <v>0</v>
      </c>
      <c r="J91" s="230">
        <v>17</v>
      </c>
      <c r="K91" s="230">
        <v>0</v>
      </c>
      <c r="L91" s="232">
        <f t="shared" si="25"/>
        <v>420</v>
      </c>
      <c r="M91" s="230">
        <v>52</v>
      </c>
      <c r="N91" s="230">
        <v>57</v>
      </c>
      <c r="O91" s="230">
        <v>34</v>
      </c>
      <c r="P91" s="230">
        <v>0</v>
      </c>
      <c r="Q91" s="230">
        <v>7</v>
      </c>
      <c r="R91" s="230">
        <v>0</v>
      </c>
      <c r="S91" s="230">
        <v>0</v>
      </c>
      <c r="T91" s="230">
        <v>100</v>
      </c>
      <c r="U91" s="355"/>
      <c r="V91" s="355">
        <f t="shared" ref="V91:V105" si="28">SUM(M91:U91)</f>
        <v>250</v>
      </c>
      <c r="W91" s="355">
        <v>889</v>
      </c>
      <c r="X91" s="233"/>
      <c r="Y91" s="204"/>
      <c r="Z91" s="214">
        <f t="shared" si="26"/>
        <v>1559</v>
      </c>
      <c r="AA91" s="215">
        <f t="shared" si="27"/>
        <v>405</v>
      </c>
      <c r="AB91" s="142">
        <f>L91+V91</f>
        <v>670</v>
      </c>
    </row>
    <row r="92" spans="1:39" x14ac:dyDescent="0.25">
      <c r="A92" s="136" t="s">
        <v>79</v>
      </c>
      <c r="B92" s="137" t="s">
        <v>347</v>
      </c>
      <c r="C92" s="230">
        <v>369</v>
      </c>
      <c r="D92" s="230">
        <v>172</v>
      </c>
      <c r="E92" s="230">
        <v>72</v>
      </c>
      <c r="F92" s="230">
        <v>15</v>
      </c>
      <c r="G92" s="230">
        <v>12</v>
      </c>
      <c r="H92" s="230">
        <v>0</v>
      </c>
      <c r="I92" s="230">
        <v>0</v>
      </c>
      <c r="J92" s="230">
        <v>193</v>
      </c>
      <c r="K92" s="230">
        <v>0</v>
      </c>
      <c r="L92" s="232">
        <f t="shared" si="25"/>
        <v>833</v>
      </c>
      <c r="M92" s="230">
        <v>179</v>
      </c>
      <c r="N92" s="230">
        <v>263</v>
      </c>
      <c r="O92" s="230">
        <v>60</v>
      </c>
      <c r="P92" s="230">
        <v>14</v>
      </c>
      <c r="Q92" s="230">
        <v>2</v>
      </c>
      <c r="R92" s="230">
        <v>0</v>
      </c>
      <c r="S92" s="230">
        <v>0</v>
      </c>
      <c r="T92" s="230">
        <v>28</v>
      </c>
      <c r="U92" s="355"/>
      <c r="V92" s="355">
        <f t="shared" si="28"/>
        <v>546</v>
      </c>
      <c r="W92" s="355">
        <v>305</v>
      </c>
      <c r="X92" s="233"/>
      <c r="Y92" s="204"/>
      <c r="Z92" s="214">
        <f t="shared" si="26"/>
        <v>1684</v>
      </c>
      <c r="AA92" s="215">
        <f t="shared" si="27"/>
        <v>1012</v>
      </c>
    </row>
    <row r="93" spans="1:39" x14ac:dyDescent="0.25">
      <c r="A93" s="136" t="s">
        <v>83</v>
      </c>
      <c r="B93" s="137" t="s">
        <v>291</v>
      </c>
      <c r="C93" s="230">
        <v>2022</v>
      </c>
      <c r="D93" s="230">
        <v>3153</v>
      </c>
      <c r="E93" s="230">
        <v>608</v>
      </c>
      <c r="F93" s="230">
        <v>49</v>
      </c>
      <c r="G93" s="230">
        <v>146</v>
      </c>
      <c r="H93" s="230">
        <v>15</v>
      </c>
      <c r="I93" s="230">
        <v>0</v>
      </c>
      <c r="J93" s="230">
        <v>90</v>
      </c>
      <c r="K93" s="230">
        <v>0</v>
      </c>
      <c r="L93" s="232">
        <f t="shared" si="25"/>
        <v>6083</v>
      </c>
      <c r="M93" s="230">
        <v>414</v>
      </c>
      <c r="N93" s="230">
        <v>1429</v>
      </c>
      <c r="O93" s="230">
        <v>346</v>
      </c>
      <c r="P93" s="230">
        <v>6</v>
      </c>
      <c r="Q93" s="230">
        <v>100</v>
      </c>
      <c r="R93" s="230">
        <v>4</v>
      </c>
      <c r="S93" s="230">
        <v>0</v>
      </c>
      <c r="T93" s="230">
        <v>6</v>
      </c>
      <c r="U93" s="355"/>
      <c r="V93" s="355">
        <f t="shared" si="28"/>
        <v>2305</v>
      </c>
      <c r="W93" s="508"/>
      <c r="X93" s="233"/>
      <c r="Y93" s="204"/>
      <c r="Z93" s="214">
        <f t="shared" si="26"/>
        <v>8388</v>
      </c>
      <c r="AA93" s="215">
        <f t="shared" si="27"/>
        <v>7073</v>
      </c>
    </row>
    <row r="94" spans="1:39" x14ac:dyDescent="0.25">
      <c r="A94" s="136" t="s">
        <v>89</v>
      </c>
      <c r="B94" s="137" t="s">
        <v>348</v>
      </c>
      <c r="C94" s="230">
        <v>62</v>
      </c>
      <c r="D94" s="230">
        <v>165</v>
      </c>
      <c r="E94" s="230">
        <v>24</v>
      </c>
      <c r="F94" s="230">
        <v>5</v>
      </c>
      <c r="G94" s="230">
        <v>3</v>
      </c>
      <c r="H94" s="230">
        <v>0</v>
      </c>
      <c r="I94" s="230">
        <v>0</v>
      </c>
      <c r="J94" s="230">
        <v>40</v>
      </c>
      <c r="K94" s="230">
        <v>0</v>
      </c>
      <c r="L94" s="232">
        <f t="shared" si="25"/>
        <v>299</v>
      </c>
      <c r="M94" s="230">
        <v>20</v>
      </c>
      <c r="N94" s="230">
        <v>25</v>
      </c>
      <c r="O94" s="230">
        <v>0</v>
      </c>
      <c r="P94" s="230">
        <v>0</v>
      </c>
      <c r="Q94" s="230">
        <v>0</v>
      </c>
      <c r="R94" s="230">
        <v>0</v>
      </c>
      <c r="S94" s="230">
        <v>0</v>
      </c>
      <c r="T94" s="230">
        <v>0</v>
      </c>
      <c r="U94" s="355"/>
      <c r="V94" s="355">
        <f t="shared" si="28"/>
        <v>45</v>
      </c>
      <c r="W94" s="355">
        <v>328</v>
      </c>
      <c r="X94" s="233"/>
      <c r="Y94" s="204"/>
      <c r="Z94" s="214">
        <f t="shared" si="26"/>
        <v>672</v>
      </c>
      <c r="AA94" s="215">
        <f t="shared" si="27"/>
        <v>277</v>
      </c>
    </row>
    <row r="95" spans="1:39" x14ac:dyDescent="0.25">
      <c r="A95" s="136" t="s">
        <v>90</v>
      </c>
      <c r="B95" s="137" t="s">
        <v>349</v>
      </c>
      <c r="C95" s="230">
        <v>126</v>
      </c>
      <c r="D95" s="230">
        <v>217</v>
      </c>
      <c r="E95" s="230">
        <v>63</v>
      </c>
      <c r="F95" s="230">
        <v>6</v>
      </c>
      <c r="G95" s="230">
        <v>5</v>
      </c>
      <c r="H95" s="230">
        <v>0</v>
      </c>
      <c r="I95" s="230">
        <v>0</v>
      </c>
      <c r="J95" s="230">
        <v>81</v>
      </c>
      <c r="K95" s="230">
        <v>0</v>
      </c>
      <c r="L95" s="232">
        <f t="shared" si="25"/>
        <v>498</v>
      </c>
      <c r="M95" s="230">
        <v>80</v>
      </c>
      <c r="N95" s="230">
        <v>145</v>
      </c>
      <c r="O95" s="230">
        <v>58</v>
      </c>
      <c r="P95" s="230">
        <v>2</v>
      </c>
      <c r="Q95" s="230">
        <v>0</v>
      </c>
      <c r="R95" s="230">
        <v>0</v>
      </c>
      <c r="S95" s="230">
        <v>0</v>
      </c>
      <c r="T95" s="230">
        <v>0</v>
      </c>
      <c r="U95" s="355"/>
      <c r="V95" s="355">
        <f t="shared" si="28"/>
        <v>285</v>
      </c>
      <c r="W95" s="355">
        <v>170</v>
      </c>
      <c r="X95" s="233"/>
      <c r="Y95" s="204"/>
      <c r="Z95" s="214">
        <f t="shared" si="26"/>
        <v>953</v>
      </c>
      <c r="AA95" s="215">
        <f t="shared" si="27"/>
        <v>576</v>
      </c>
    </row>
    <row r="96" spans="1:39" x14ac:dyDescent="0.25">
      <c r="A96" s="136" t="s">
        <v>93</v>
      </c>
      <c r="B96" s="137" t="s">
        <v>359</v>
      </c>
      <c r="C96" s="230">
        <v>233</v>
      </c>
      <c r="D96" s="230">
        <v>420</v>
      </c>
      <c r="E96" s="230">
        <v>296</v>
      </c>
      <c r="F96" s="230">
        <v>21</v>
      </c>
      <c r="G96" s="230">
        <v>10</v>
      </c>
      <c r="H96" s="230">
        <v>0</v>
      </c>
      <c r="I96" s="230">
        <v>0</v>
      </c>
      <c r="J96" s="230">
        <v>538</v>
      </c>
      <c r="K96" s="230">
        <v>0</v>
      </c>
      <c r="L96" s="232">
        <f t="shared" si="25"/>
        <v>1518</v>
      </c>
      <c r="M96" s="230">
        <v>123</v>
      </c>
      <c r="N96" s="230">
        <v>196</v>
      </c>
      <c r="O96" s="230">
        <v>77</v>
      </c>
      <c r="P96" s="230">
        <v>9</v>
      </c>
      <c r="Q96" s="230">
        <v>0</v>
      </c>
      <c r="R96" s="230">
        <v>0</v>
      </c>
      <c r="S96" s="230">
        <v>0</v>
      </c>
      <c r="T96" s="230">
        <v>3</v>
      </c>
      <c r="U96" s="355"/>
      <c r="V96" s="355">
        <f t="shared" si="28"/>
        <v>408</v>
      </c>
      <c r="W96" s="355">
        <v>223</v>
      </c>
      <c r="X96" s="233"/>
      <c r="Y96" s="204"/>
      <c r="Z96" s="214">
        <f t="shared" si="26"/>
        <v>2149</v>
      </c>
      <c r="AA96" s="215">
        <f t="shared" si="27"/>
        <v>1002</v>
      </c>
    </row>
    <row r="97" spans="1:27" x14ac:dyDescent="0.25">
      <c r="A97" s="136" t="s">
        <v>97</v>
      </c>
      <c r="B97" s="137" t="s">
        <v>294</v>
      </c>
      <c r="C97" s="230">
        <v>655</v>
      </c>
      <c r="D97" s="230">
        <v>580</v>
      </c>
      <c r="E97" s="230">
        <v>197</v>
      </c>
      <c r="F97" s="230">
        <v>13</v>
      </c>
      <c r="G97" s="230">
        <v>32</v>
      </c>
      <c r="H97" s="230">
        <v>31</v>
      </c>
      <c r="I97" s="230">
        <v>0</v>
      </c>
      <c r="J97" s="230">
        <v>127</v>
      </c>
      <c r="K97" s="230">
        <v>0</v>
      </c>
      <c r="L97" s="232">
        <f t="shared" si="25"/>
        <v>1635</v>
      </c>
      <c r="M97" s="230">
        <v>225</v>
      </c>
      <c r="N97" s="230">
        <v>369</v>
      </c>
      <c r="O97" s="230">
        <v>69</v>
      </c>
      <c r="P97" s="230">
        <v>6</v>
      </c>
      <c r="Q97" s="230">
        <v>21</v>
      </c>
      <c r="R97" s="230">
        <v>0</v>
      </c>
      <c r="S97" s="230">
        <v>0</v>
      </c>
      <c r="T97" s="230">
        <v>0</v>
      </c>
      <c r="U97" s="355"/>
      <c r="V97" s="355">
        <f t="shared" si="28"/>
        <v>690</v>
      </c>
      <c r="W97" s="355">
        <v>612</v>
      </c>
      <c r="X97" s="233"/>
      <c r="Y97" s="204"/>
      <c r="Z97" s="214">
        <f t="shared" si="26"/>
        <v>2937</v>
      </c>
      <c r="AA97" s="215">
        <f t="shared" si="27"/>
        <v>1848</v>
      </c>
    </row>
    <row r="98" spans="1:27" x14ac:dyDescent="0.25">
      <c r="A98" s="136" t="s">
        <v>125</v>
      </c>
      <c r="B98" s="137" t="s">
        <v>350</v>
      </c>
      <c r="C98" s="230">
        <v>392</v>
      </c>
      <c r="D98" s="230">
        <v>289</v>
      </c>
      <c r="E98" s="230">
        <v>139</v>
      </c>
      <c r="F98" s="230">
        <v>35</v>
      </c>
      <c r="G98" s="230">
        <v>17</v>
      </c>
      <c r="H98" s="230">
        <v>0</v>
      </c>
      <c r="I98" s="230">
        <v>1</v>
      </c>
      <c r="J98" s="230">
        <v>116</v>
      </c>
      <c r="K98" s="230">
        <v>0</v>
      </c>
      <c r="L98" s="232">
        <f t="shared" si="25"/>
        <v>989</v>
      </c>
      <c r="M98" s="230">
        <v>154</v>
      </c>
      <c r="N98" s="230">
        <v>197</v>
      </c>
      <c r="O98" s="230">
        <v>102</v>
      </c>
      <c r="P98" s="230">
        <v>5</v>
      </c>
      <c r="Q98" s="230">
        <v>8</v>
      </c>
      <c r="R98" s="230">
        <v>26</v>
      </c>
      <c r="S98" s="230">
        <v>0</v>
      </c>
      <c r="T98" s="230">
        <v>63</v>
      </c>
      <c r="U98" s="355"/>
      <c r="V98" s="355">
        <f t="shared" si="28"/>
        <v>555</v>
      </c>
      <c r="W98" s="355">
        <v>140</v>
      </c>
      <c r="X98" s="233"/>
      <c r="Y98" s="204"/>
      <c r="Z98" s="214">
        <f t="shared" si="26"/>
        <v>1684</v>
      </c>
      <c r="AA98" s="215">
        <f t="shared" si="27"/>
        <v>1072</v>
      </c>
    </row>
    <row r="99" spans="1:27" x14ac:dyDescent="0.25">
      <c r="A99" s="136" t="s">
        <v>135</v>
      </c>
      <c r="B99" s="137" t="s">
        <v>351</v>
      </c>
      <c r="C99" s="230">
        <v>346</v>
      </c>
      <c r="D99" s="230">
        <v>539</v>
      </c>
      <c r="E99" s="230">
        <v>112</v>
      </c>
      <c r="F99" s="230">
        <v>20</v>
      </c>
      <c r="G99" s="230">
        <v>8</v>
      </c>
      <c r="H99" s="230">
        <v>0</v>
      </c>
      <c r="I99" s="230">
        <v>0</v>
      </c>
      <c r="J99" s="230">
        <v>54</v>
      </c>
      <c r="K99" s="230">
        <v>0</v>
      </c>
      <c r="L99" s="232">
        <f t="shared" si="25"/>
        <v>1079</v>
      </c>
      <c r="M99" s="230">
        <v>106</v>
      </c>
      <c r="N99" s="230">
        <v>402</v>
      </c>
      <c r="O99" s="230">
        <v>84</v>
      </c>
      <c r="P99" s="230">
        <v>15</v>
      </c>
      <c r="Q99" s="230">
        <v>32</v>
      </c>
      <c r="R99" s="230">
        <v>0</v>
      </c>
      <c r="S99" s="230">
        <v>0</v>
      </c>
      <c r="T99" s="230">
        <v>0</v>
      </c>
      <c r="U99" s="355"/>
      <c r="V99" s="355">
        <f t="shared" si="28"/>
        <v>639</v>
      </c>
      <c r="W99" s="355">
        <v>206</v>
      </c>
      <c r="X99" s="233"/>
      <c r="Y99" s="204"/>
      <c r="Z99" s="214">
        <f t="shared" si="26"/>
        <v>1924</v>
      </c>
      <c r="AA99" s="215">
        <f t="shared" si="27"/>
        <v>1428</v>
      </c>
    </row>
    <row r="100" spans="1:27" x14ac:dyDescent="0.25">
      <c r="A100" s="136" t="s">
        <v>144</v>
      </c>
      <c r="B100" s="137" t="s">
        <v>352</v>
      </c>
      <c r="C100" s="230">
        <v>1182</v>
      </c>
      <c r="D100" s="230">
        <v>264</v>
      </c>
      <c r="E100" s="230">
        <v>132</v>
      </c>
      <c r="F100" s="230">
        <v>78</v>
      </c>
      <c r="G100" s="230">
        <v>45</v>
      </c>
      <c r="H100" s="230">
        <v>0</v>
      </c>
      <c r="I100" s="230">
        <v>0</v>
      </c>
      <c r="J100" s="230">
        <v>119</v>
      </c>
      <c r="K100" s="230">
        <v>0</v>
      </c>
      <c r="L100" s="232">
        <f t="shared" si="25"/>
        <v>1820</v>
      </c>
      <c r="M100" s="230">
        <v>97</v>
      </c>
      <c r="N100" s="230">
        <v>179</v>
      </c>
      <c r="O100" s="230">
        <v>37</v>
      </c>
      <c r="P100" s="230">
        <v>14</v>
      </c>
      <c r="Q100" s="230">
        <v>6</v>
      </c>
      <c r="R100" s="230">
        <v>0</v>
      </c>
      <c r="S100" s="230">
        <v>0</v>
      </c>
      <c r="T100" s="230">
        <v>4</v>
      </c>
      <c r="U100" s="355"/>
      <c r="V100" s="355">
        <f t="shared" si="28"/>
        <v>337</v>
      </c>
      <c r="W100" s="214">
        <v>0</v>
      </c>
      <c r="X100" s="233"/>
      <c r="Y100" s="204"/>
      <c r="Z100" s="214">
        <f t="shared" si="26"/>
        <v>2157</v>
      </c>
      <c r="AA100" s="215">
        <f t="shared" si="27"/>
        <v>1814</v>
      </c>
    </row>
    <row r="101" spans="1:27" x14ac:dyDescent="0.25">
      <c r="A101" s="136" t="s">
        <v>176</v>
      </c>
      <c r="B101" s="137" t="s">
        <v>354</v>
      </c>
      <c r="C101" s="230">
        <v>309</v>
      </c>
      <c r="D101" s="230">
        <v>547</v>
      </c>
      <c r="E101" s="230">
        <v>137</v>
      </c>
      <c r="F101" s="230">
        <v>19</v>
      </c>
      <c r="G101" s="230">
        <v>13</v>
      </c>
      <c r="H101" s="230">
        <v>0</v>
      </c>
      <c r="I101" s="230">
        <v>0</v>
      </c>
      <c r="J101" s="230">
        <v>127</v>
      </c>
      <c r="K101" s="230">
        <v>0</v>
      </c>
      <c r="L101" s="232">
        <f t="shared" si="25"/>
        <v>1152</v>
      </c>
      <c r="M101" s="230">
        <v>89</v>
      </c>
      <c r="N101" s="230">
        <v>240</v>
      </c>
      <c r="O101" s="230">
        <v>123</v>
      </c>
      <c r="P101" s="230">
        <v>4</v>
      </c>
      <c r="Q101" s="230">
        <v>6</v>
      </c>
      <c r="R101" s="230">
        <v>0</v>
      </c>
      <c r="S101" s="230">
        <v>0</v>
      </c>
      <c r="T101" s="230">
        <v>12</v>
      </c>
      <c r="U101" s="355"/>
      <c r="V101" s="355">
        <f t="shared" si="28"/>
        <v>474</v>
      </c>
      <c r="W101" s="355">
        <v>261</v>
      </c>
      <c r="X101" s="233"/>
      <c r="Y101" s="204"/>
      <c r="Z101" s="214">
        <f t="shared" si="26"/>
        <v>1887</v>
      </c>
      <c r="AA101" s="215">
        <f t="shared" si="27"/>
        <v>1208</v>
      </c>
    </row>
    <row r="102" spans="1:27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25"/>
        <v>0</v>
      </c>
      <c r="M102" s="147"/>
      <c r="N102" s="147"/>
      <c r="O102" s="147"/>
      <c r="P102" s="147"/>
      <c r="Q102" s="147"/>
      <c r="R102" s="147"/>
      <c r="S102" s="147"/>
      <c r="T102" s="147"/>
      <c r="U102" s="147"/>
      <c r="V102" s="355">
        <f t="shared" si="28"/>
        <v>0</v>
      </c>
      <c r="W102" s="233">
        <f>0+901+1702+963+3850+6269+672+677+910</f>
        <v>15944</v>
      </c>
      <c r="X102" s="204"/>
      <c r="Y102" s="204"/>
      <c r="Z102" s="214">
        <f t="shared" si="26"/>
        <v>15944</v>
      </c>
      <c r="AA102" s="215">
        <f t="shared" si="27"/>
        <v>0</v>
      </c>
    </row>
    <row r="103" spans="1:27" x14ac:dyDescent="0.25">
      <c r="A103" s="136" t="s">
        <v>177</v>
      </c>
      <c r="B103" s="137" t="s">
        <v>302</v>
      </c>
      <c r="C103" s="230">
        <v>961</v>
      </c>
      <c r="D103" s="230">
        <v>2561</v>
      </c>
      <c r="E103" s="230">
        <v>597</v>
      </c>
      <c r="F103" s="230">
        <v>28</v>
      </c>
      <c r="G103" s="230">
        <v>79</v>
      </c>
      <c r="H103" s="230">
        <v>0</v>
      </c>
      <c r="I103" s="230">
        <v>0</v>
      </c>
      <c r="J103" s="230">
        <v>136</v>
      </c>
      <c r="K103" s="230">
        <v>0</v>
      </c>
      <c r="L103" s="232">
        <f t="shared" si="25"/>
        <v>4362</v>
      </c>
      <c r="M103" s="230">
        <v>232</v>
      </c>
      <c r="N103" s="230">
        <v>745</v>
      </c>
      <c r="O103" s="230">
        <v>281</v>
      </c>
      <c r="P103" s="230">
        <v>19</v>
      </c>
      <c r="Q103" s="230">
        <v>4</v>
      </c>
      <c r="R103" s="230">
        <v>24</v>
      </c>
      <c r="S103" s="230">
        <v>0</v>
      </c>
      <c r="T103" s="230">
        <v>1</v>
      </c>
      <c r="U103" s="355"/>
      <c r="V103" s="355">
        <f t="shared" si="28"/>
        <v>1306</v>
      </c>
      <c r="W103" s="233">
        <v>473</v>
      </c>
      <c r="X103" s="204"/>
      <c r="Y103" s="204"/>
      <c r="Z103" s="214">
        <f t="shared" si="26"/>
        <v>6141</v>
      </c>
      <c r="AA103" s="215">
        <f t="shared" si="27"/>
        <v>4546</v>
      </c>
    </row>
    <row r="104" spans="1:27" x14ac:dyDescent="0.25">
      <c r="A104" s="136" t="s">
        <v>178</v>
      </c>
      <c r="B104" s="137" t="s">
        <v>304</v>
      </c>
      <c r="C104" s="230">
        <v>391</v>
      </c>
      <c r="D104" s="230">
        <v>877</v>
      </c>
      <c r="E104" s="230">
        <v>216</v>
      </c>
      <c r="F104" s="230">
        <v>29</v>
      </c>
      <c r="G104" s="230">
        <v>23</v>
      </c>
      <c r="H104" s="230">
        <v>0</v>
      </c>
      <c r="I104" s="230">
        <v>0</v>
      </c>
      <c r="J104" s="230">
        <v>69</v>
      </c>
      <c r="K104" s="230">
        <v>0</v>
      </c>
      <c r="L104" s="232">
        <f t="shared" si="25"/>
        <v>1605</v>
      </c>
      <c r="M104" s="230">
        <v>72</v>
      </c>
      <c r="N104" s="230">
        <v>529</v>
      </c>
      <c r="O104" s="230">
        <v>93</v>
      </c>
      <c r="P104" s="230">
        <v>4</v>
      </c>
      <c r="Q104" s="230">
        <v>8</v>
      </c>
      <c r="R104" s="230">
        <v>0</v>
      </c>
      <c r="S104" s="230">
        <v>0</v>
      </c>
      <c r="T104" s="230">
        <v>1</v>
      </c>
      <c r="U104" s="355"/>
      <c r="V104" s="355">
        <f t="shared" si="28"/>
        <v>707</v>
      </c>
      <c r="W104" s="235">
        <v>443</v>
      </c>
      <c r="X104" s="209"/>
      <c r="Y104" s="209"/>
      <c r="Z104" s="214">
        <f t="shared" si="26"/>
        <v>2755</v>
      </c>
      <c r="AA104" s="217">
        <f>C104+D104+F104+K104+M104+N104+P104+U104</f>
        <v>1902</v>
      </c>
    </row>
    <row r="105" spans="1:27" ht="13.8" thickBot="1" x14ac:dyDescent="0.3">
      <c r="A105" s="136" t="s">
        <v>190</v>
      </c>
      <c r="B105" s="143" t="s">
        <v>364</v>
      </c>
      <c r="C105">
        <v>1342</v>
      </c>
      <c r="D105">
        <v>1291</v>
      </c>
      <c r="E105">
        <v>414</v>
      </c>
      <c r="F105">
        <v>29</v>
      </c>
      <c r="G105">
        <v>54</v>
      </c>
      <c r="H105">
        <v>12</v>
      </c>
      <c r="I105">
        <v>19</v>
      </c>
      <c r="J105">
        <v>320</v>
      </c>
      <c r="K105">
        <v>0</v>
      </c>
      <c r="L105" s="379">
        <f t="shared" si="25"/>
        <v>3481</v>
      </c>
      <c r="M105" s="265">
        <v>451</v>
      </c>
      <c r="N105" s="265">
        <v>912</v>
      </c>
      <c r="O105" s="265">
        <v>320</v>
      </c>
      <c r="P105" s="265">
        <v>41</v>
      </c>
      <c r="Q105" s="265">
        <v>55</v>
      </c>
      <c r="R105" s="265">
        <v>0</v>
      </c>
      <c r="S105" s="265">
        <v>0</v>
      </c>
      <c r="T105" s="265">
        <v>0</v>
      </c>
      <c r="U105" s="412"/>
      <c r="V105" s="412">
        <f t="shared" si="28"/>
        <v>1779</v>
      </c>
      <c r="W105" s="235">
        <v>603</v>
      </c>
      <c r="X105" s="209"/>
      <c r="Y105" s="209"/>
      <c r="Z105" s="214">
        <f t="shared" si="26"/>
        <v>5863</v>
      </c>
      <c r="AA105" s="217">
        <f>C105+D105+F105+K105+M105+N105+P105+U105</f>
        <v>4066</v>
      </c>
    </row>
    <row r="106" spans="1:27" s="109" customFormat="1" ht="14.4" thickBot="1" x14ac:dyDescent="0.3">
      <c r="A106" s="134"/>
      <c r="B106" s="159" t="s">
        <v>462</v>
      </c>
      <c r="C106" s="293">
        <f t="shared" ref="C106:AA106" si="29">SUM(C90:C105)</f>
        <v>8600</v>
      </c>
      <c r="D106" s="157">
        <f t="shared" si="29"/>
        <v>11284</v>
      </c>
      <c r="E106" s="157">
        <f t="shared" si="29"/>
        <v>3124</v>
      </c>
      <c r="F106" s="157">
        <f t="shared" si="29"/>
        <v>356</v>
      </c>
      <c r="G106" s="157">
        <f t="shared" si="29"/>
        <v>472</v>
      </c>
      <c r="H106" s="157">
        <f t="shared" si="29"/>
        <v>58</v>
      </c>
      <c r="I106" s="157">
        <f t="shared" si="29"/>
        <v>20</v>
      </c>
      <c r="J106" s="157">
        <f t="shared" si="29"/>
        <v>2047</v>
      </c>
      <c r="K106" s="166">
        <f t="shared" si="29"/>
        <v>0</v>
      </c>
      <c r="L106" s="484">
        <f t="shared" ref="L106" si="30">SUM(L90:L105)</f>
        <v>25961</v>
      </c>
      <c r="M106" s="262">
        <f t="shared" si="29"/>
        <v>2323</v>
      </c>
      <c r="N106" s="158">
        <f t="shared" si="29"/>
        <v>5759</v>
      </c>
      <c r="O106" s="158">
        <f t="shared" si="29"/>
        <v>1689</v>
      </c>
      <c r="P106" s="158">
        <f t="shared" si="29"/>
        <v>139</v>
      </c>
      <c r="Q106" s="158">
        <f t="shared" si="29"/>
        <v>249</v>
      </c>
      <c r="R106" s="158">
        <f t="shared" si="29"/>
        <v>54</v>
      </c>
      <c r="S106" s="158">
        <f t="shared" si="29"/>
        <v>0</v>
      </c>
      <c r="T106" s="158">
        <f t="shared" si="29"/>
        <v>218</v>
      </c>
      <c r="U106" s="264">
        <f t="shared" si="29"/>
        <v>0</v>
      </c>
      <c r="V106" s="401">
        <f t="shared" si="29"/>
        <v>10431</v>
      </c>
      <c r="W106" s="261">
        <f t="shared" si="29"/>
        <v>20612</v>
      </c>
      <c r="X106" s="210">
        <f>SUM(X90:X105)</f>
        <v>0</v>
      </c>
      <c r="Y106" s="210">
        <f>SUM(Y90:Y105)</f>
        <v>0</v>
      </c>
      <c r="Z106" s="210">
        <f t="shared" si="29"/>
        <v>57004</v>
      </c>
      <c r="AA106" s="210">
        <f t="shared" si="29"/>
        <v>28461</v>
      </c>
    </row>
    <row r="107" spans="1:27" ht="18" thickBot="1" x14ac:dyDescent="0.35">
      <c r="A107" s="135"/>
      <c r="B107" s="169" t="s">
        <v>463</v>
      </c>
      <c r="C107" s="186">
        <f t="shared" ref="C107:AA107" si="31">C106+C89+C72+C55+C37+C23</f>
        <v>88157</v>
      </c>
      <c r="D107" s="162">
        <f t="shared" si="31"/>
        <v>63981</v>
      </c>
      <c r="E107" s="162">
        <f t="shared" si="31"/>
        <v>28386</v>
      </c>
      <c r="F107" s="162">
        <f t="shared" si="31"/>
        <v>2338</v>
      </c>
      <c r="G107" s="162">
        <f t="shared" si="31"/>
        <v>3063</v>
      </c>
      <c r="H107" s="162">
        <f t="shared" si="31"/>
        <v>577</v>
      </c>
      <c r="I107" s="162">
        <f t="shared" si="31"/>
        <v>1366</v>
      </c>
      <c r="J107" s="162">
        <f t="shared" si="31"/>
        <v>26264</v>
      </c>
      <c r="K107" s="163">
        <f t="shared" si="31"/>
        <v>837</v>
      </c>
      <c r="L107" s="482">
        <f t="shared" si="31"/>
        <v>214969</v>
      </c>
      <c r="M107" s="186">
        <f t="shared" si="31"/>
        <v>21510</v>
      </c>
      <c r="N107" s="162">
        <f t="shared" si="31"/>
        <v>44115</v>
      </c>
      <c r="O107" s="162">
        <f t="shared" si="31"/>
        <v>11680</v>
      </c>
      <c r="P107" s="162">
        <f t="shared" si="31"/>
        <v>976</v>
      </c>
      <c r="Q107" s="162">
        <f t="shared" si="31"/>
        <v>1658</v>
      </c>
      <c r="R107" s="162">
        <f t="shared" si="31"/>
        <v>2981</v>
      </c>
      <c r="S107" s="162">
        <f t="shared" si="31"/>
        <v>403</v>
      </c>
      <c r="T107" s="162">
        <f t="shared" si="31"/>
        <v>1526</v>
      </c>
      <c r="U107" s="163">
        <f t="shared" si="31"/>
        <v>12</v>
      </c>
      <c r="V107" s="187">
        <f t="shared" si="31"/>
        <v>84861</v>
      </c>
      <c r="W107" s="212">
        <f t="shared" si="31"/>
        <v>77248</v>
      </c>
      <c r="X107" s="212">
        <f t="shared" si="31"/>
        <v>1295</v>
      </c>
      <c r="Y107" s="212">
        <f t="shared" si="31"/>
        <v>61</v>
      </c>
      <c r="Z107" s="212">
        <f t="shared" si="31"/>
        <v>378434</v>
      </c>
      <c r="AA107" s="212">
        <f t="shared" si="31"/>
        <v>221926</v>
      </c>
    </row>
    <row r="109" spans="1:27" x14ac:dyDescent="0.25">
      <c r="C109" s="122">
        <f>C107</f>
        <v>88157</v>
      </c>
      <c r="D109" s="122">
        <f t="shared" ref="D109:AA109" si="32">D107</f>
        <v>63981</v>
      </c>
      <c r="E109" s="122">
        <f t="shared" si="32"/>
        <v>28386</v>
      </c>
      <c r="F109" s="122">
        <f t="shared" si="32"/>
        <v>2338</v>
      </c>
      <c r="G109" s="122">
        <f t="shared" si="32"/>
        <v>3063</v>
      </c>
      <c r="H109" s="122">
        <f t="shared" si="32"/>
        <v>577</v>
      </c>
      <c r="I109" s="122">
        <f t="shared" si="32"/>
        <v>1366</v>
      </c>
      <c r="J109" s="122">
        <f t="shared" si="32"/>
        <v>26264</v>
      </c>
      <c r="K109" s="122">
        <f t="shared" si="32"/>
        <v>837</v>
      </c>
      <c r="L109" s="122">
        <f t="shared" si="32"/>
        <v>214969</v>
      </c>
      <c r="M109" s="122">
        <f t="shared" si="32"/>
        <v>21510</v>
      </c>
      <c r="N109" s="122">
        <f t="shared" si="32"/>
        <v>44115</v>
      </c>
      <c r="O109" s="122">
        <f t="shared" si="32"/>
        <v>11680</v>
      </c>
      <c r="P109" s="122">
        <f t="shared" si="32"/>
        <v>976</v>
      </c>
      <c r="Q109" s="122">
        <f t="shared" si="32"/>
        <v>1658</v>
      </c>
      <c r="R109" s="122">
        <f t="shared" si="32"/>
        <v>2981</v>
      </c>
      <c r="S109" s="122">
        <f t="shared" si="32"/>
        <v>403</v>
      </c>
      <c r="T109" s="122">
        <f t="shared" si="32"/>
        <v>1526</v>
      </c>
      <c r="U109" s="122">
        <f t="shared" si="32"/>
        <v>12</v>
      </c>
      <c r="V109" s="122">
        <f t="shared" si="32"/>
        <v>84861</v>
      </c>
      <c r="W109" s="122">
        <f t="shared" si="32"/>
        <v>77248</v>
      </c>
      <c r="X109" s="122">
        <f t="shared" si="32"/>
        <v>1295</v>
      </c>
      <c r="Y109" s="122">
        <f t="shared" si="32"/>
        <v>61</v>
      </c>
      <c r="Z109" s="122">
        <f t="shared" si="32"/>
        <v>378434</v>
      </c>
      <c r="AA109" s="122">
        <f t="shared" si="32"/>
        <v>221926</v>
      </c>
    </row>
    <row r="111" spans="1:27" x14ac:dyDescent="0.25">
      <c r="Z111" s="122"/>
    </row>
  </sheetData>
  <mergeCells count="5">
    <mergeCell ref="B1:B3"/>
    <mergeCell ref="C4:L4"/>
    <mergeCell ref="M4:V4"/>
    <mergeCell ref="C1:Z1"/>
    <mergeCell ref="C2:Z2"/>
  </mergeCells>
  <conditionalFormatting sqref="W33:Y33 W48:Y54 W56:Y59 X73:Y88 W12:Y12 X6:Y11 X13:Y22 X24:Y32 X34:Y36 X38:Y47 X60:Y71">
    <cfRule type="cellIs" dxfId="51" priority="5" stopIfTrue="1" operator="notBetween">
      <formula>-2000</formula>
      <formula>2000</formula>
    </cfRule>
  </conditionalFormatting>
  <conditionalFormatting sqref="V3">
    <cfRule type="cellIs" dxfId="50" priority="8" stopIfTrue="1" operator="greaterThan">
      <formula>10</formula>
    </cfRule>
    <cfRule type="cellIs" dxfId="49" priority="9" stopIfTrue="1" operator="lessThan">
      <formula>10</formula>
    </cfRule>
  </conditionalFormatting>
  <conditionalFormatting sqref="X90:Y101 W102:Y105">
    <cfRule type="cellIs" dxfId="48" priority="7" stopIfTrue="1" operator="notBetween">
      <formula>-2000</formula>
      <formula>2000</formula>
    </cfRule>
  </conditionalFormatting>
  <conditionalFormatting sqref="X18:Y18">
    <cfRule type="cellIs" dxfId="47" priority="6" stopIfTrue="1" operator="notBetween">
      <formula>-2000</formula>
      <formula>2000</formula>
    </cfRule>
  </conditionalFormatting>
  <conditionalFormatting sqref="W13:W22">
    <cfRule type="cellIs" dxfId="46" priority="3" stopIfTrue="1" operator="notBetween">
      <formula>-2000</formula>
      <formula>2000</formula>
    </cfRule>
  </conditionalFormatting>
  <conditionalFormatting sqref="W19">
    <cfRule type="cellIs" dxfId="45" priority="4" stopIfTrue="1" operator="notBetween">
      <formula>-2000</formula>
      <formula>2000</formula>
    </cfRule>
  </conditionalFormatting>
  <conditionalFormatting sqref="W6:W10">
    <cfRule type="cellIs" dxfId="44" priority="2" stopIfTrue="1" operator="notBetween">
      <formula>-2000</formula>
      <formula>2000</formula>
    </cfRule>
  </conditionalFormatting>
  <conditionalFormatting sqref="W36">
    <cfRule type="cellIs" dxfId="43" priority="1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3" fitToHeight="4" orientation="landscape" r:id="rId1"/>
  <headerFooter alignWithMargins="0">
    <oddFooter xml:space="preserve">&amp;L&amp;8&amp;Z&amp;F&amp;A&amp;10
</oddFooter>
  </headerFooter>
  <ignoredErrors>
    <ignoredError sqref="L106 L72 V37 V23 V55 V72 V89 Z23:AA23 Z37:AA37 Z55:AA55 Z72:AA72 Z89:AA89 L2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N118"/>
  <sheetViews>
    <sheetView showZeros="0" zoomScale="90" zoomScaleNormal="90" zoomScaleSheetLayoutView="50" workbookViewId="0">
      <pane xSplit="2" ySplit="5" topLeftCell="M6" activePane="bottomRight" state="frozen"/>
      <selection activeCell="R34" sqref="R34"/>
      <selection pane="topRight" activeCell="R34" sqref="R34"/>
      <selection pane="bottomLeft" activeCell="R34" sqref="R34"/>
      <selection pane="bottomRight" activeCell="AB68" sqref="AB68"/>
    </sheetView>
  </sheetViews>
  <sheetFormatPr defaultRowHeight="13.2" x14ac:dyDescent="0.25"/>
  <cols>
    <col min="1" max="1" width="6.33203125" hidden="1" customWidth="1"/>
    <col min="2" max="2" width="42.33203125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  <col min="29" max="29" width="21" customWidth="1"/>
  </cols>
  <sheetData>
    <row r="1" spans="1:40" s="111" customFormat="1" ht="22.8" x14ac:dyDescent="0.35">
      <c r="B1" s="544"/>
      <c r="C1" s="546" t="s">
        <v>263</v>
      </c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6"/>
      <c r="S1" s="546"/>
      <c r="T1" s="546"/>
      <c r="U1" s="546"/>
      <c r="V1" s="546"/>
      <c r="W1" s="546"/>
      <c r="X1" s="546"/>
      <c r="Y1" s="546"/>
      <c r="Z1" s="546"/>
    </row>
    <row r="2" spans="1:40" s="111" customFormat="1" ht="22.8" x14ac:dyDescent="0.35">
      <c r="B2" s="544"/>
      <c r="C2" s="550"/>
      <c r="D2" s="550"/>
      <c r="E2" s="550"/>
      <c r="F2" s="550"/>
      <c r="G2" s="550"/>
      <c r="H2" s="550"/>
      <c r="I2" s="550"/>
      <c r="J2" s="550"/>
      <c r="K2" s="550"/>
      <c r="L2" s="550"/>
      <c r="M2" s="550"/>
      <c r="N2" s="550"/>
      <c r="O2" s="550"/>
      <c r="P2" s="550"/>
      <c r="Q2" s="550"/>
      <c r="R2" s="550"/>
      <c r="S2" s="550"/>
      <c r="T2" s="550"/>
      <c r="U2" s="550"/>
      <c r="V2" s="550"/>
      <c r="W2" s="550"/>
      <c r="X2" s="550"/>
      <c r="Y2" s="550"/>
      <c r="Z2" s="550"/>
      <c r="AC2"/>
      <c r="AD2"/>
      <c r="AE2"/>
      <c r="AF2"/>
      <c r="AG2"/>
      <c r="AH2"/>
      <c r="AI2"/>
      <c r="AJ2"/>
      <c r="AK2"/>
      <c r="AL2"/>
      <c r="AM2"/>
      <c r="AN2"/>
    </row>
    <row r="3" spans="1:40" s="111" customFormat="1" ht="21" thickBot="1" x14ac:dyDescent="0.4">
      <c r="B3" s="545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C3"/>
      <c r="AD3"/>
      <c r="AE3"/>
      <c r="AF3"/>
      <c r="AG3"/>
      <c r="AH3"/>
      <c r="AI3"/>
      <c r="AJ3"/>
      <c r="AK3"/>
      <c r="AL3"/>
      <c r="AM3"/>
      <c r="AN3"/>
    </row>
    <row r="4" spans="1:40" ht="21" customHeight="1" thickTop="1" thickBot="1" x14ac:dyDescent="0.3">
      <c r="A4" s="145"/>
      <c r="B4" s="167"/>
      <c r="C4" s="547" t="s">
        <v>253</v>
      </c>
      <c r="D4" s="548"/>
      <c r="E4" s="548"/>
      <c r="F4" s="548"/>
      <c r="G4" s="548"/>
      <c r="H4" s="548"/>
      <c r="I4" s="548"/>
      <c r="J4" s="548"/>
      <c r="K4" s="548"/>
      <c r="L4" s="555"/>
      <c r="M4" s="548" t="s">
        <v>262</v>
      </c>
      <c r="N4" s="548"/>
      <c r="O4" s="548"/>
      <c r="P4" s="548"/>
      <c r="Q4" s="548"/>
      <c r="R4" s="548"/>
      <c r="S4" s="548"/>
      <c r="T4" s="548"/>
      <c r="U4" s="548"/>
      <c r="V4" s="548"/>
      <c r="W4" s="202"/>
      <c r="X4" s="419"/>
      <c r="Y4" s="272" t="s">
        <v>472</v>
      </c>
      <c r="Z4" s="202"/>
      <c r="AA4" s="202"/>
    </row>
    <row r="5" spans="1:40" ht="45" customHeight="1" thickBot="1" x14ac:dyDescent="0.3">
      <c r="A5" s="146" t="s">
        <v>360</v>
      </c>
      <c r="B5" s="168" t="s">
        <v>456</v>
      </c>
      <c r="C5" s="510" t="s">
        <v>254</v>
      </c>
      <c r="D5" s="316" t="s">
        <v>219</v>
      </c>
      <c r="E5" s="318" t="s">
        <v>255</v>
      </c>
      <c r="F5" s="318" t="s">
        <v>256</v>
      </c>
      <c r="G5" s="318" t="s">
        <v>257</v>
      </c>
      <c r="H5" s="318" t="s">
        <v>258</v>
      </c>
      <c r="I5" s="460" t="s">
        <v>259</v>
      </c>
      <c r="J5" s="461" t="s">
        <v>260</v>
      </c>
      <c r="K5" s="460" t="s">
        <v>261</v>
      </c>
      <c r="L5" s="467" t="s">
        <v>208</v>
      </c>
      <c r="M5" s="486" t="s">
        <v>254</v>
      </c>
      <c r="N5" s="479" t="s">
        <v>219</v>
      </c>
      <c r="O5" s="477" t="s">
        <v>255</v>
      </c>
      <c r="P5" s="477" t="s">
        <v>256</v>
      </c>
      <c r="Q5" s="477" t="s">
        <v>257</v>
      </c>
      <c r="R5" s="477" t="s">
        <v>258</v>
      </c>
      <c r="S5" s="477" t="s">
        <v>259</v>
      </c>
      <c r="T5" s="477" t="s">
        <v>260</v>
      </c>
      <c r="U5" s="477" t="s">
        <v>261</v>
      </c>
      <c r="V5" s="467" t="s">
        <v>208</v>
      </c>
      <c r="W5" s="203" t="s">
        <v>266</v>
      </c>
      <c r="X5" s="410" t="s">
        <v>475</v>
      </c>
      <c r="Y5" s="203" t="s">
        <v>474</v>
      </c>
      <c r="Z5" s="213" t="s">
        <v>264</v>
      </c>
      <c r="AA5" s="213" t="s">
        <v>267</v>
      </c>
    </row>
    <row r="6" spans="1:40" ht="12.75" customHeight="1" x14ac:dyDescent="0.25">
      <c r="A6" s="136" t="s">
        <v>68</v>
      </c>
      <c r="B6" s="279" t="s">
        <v>268</v>
      </c>
      <c r="C6" s="230">
        <v>520</v>
      </c>
      <c r="D6" s="230">
        <v>376</v>
      </c>
      <c r="E6" s="230">
        <v>97</v>
      </c>
      <c r="F6" s="230">
        <v>12</v>
      </c>
      <c r="G6" s="230">
        <v>21</v>
      </c>
      <c r="H6" s="230">
        <v>0</v>
      </c>
      <c r="I6" s="230">
        <v>0</v>
      </c>
      <c r="J6" s="230">
        <v>239</v>
      </c>
      <c r="K6" s="230"/>
      <c r="L6" s="234">
        <f>SUM(C6:K6)</f>
        <v>1265</v>
      </c>
      <c r="M6" s="230">
        <v>0</v>
      </c>
      <c r="N6" s="230">
        <v>0</v>
      </c>
      <c r="O6" s="230">
        <v>0</v>
      </c>
      <c r="P6" s="230">
        <v>0</v>
      </c>
      <c r="Q6" s="230">
        <v>0</v>
      </c>
      <c r="R6" s="230">
        <v>0</v>
      </c>
      <c r="S6" s="230">
        <v>0</v>
      </c>
      <c r="T6" s="230">
        <v>0</v>
      </c>
      <c r="U6" s="297"/>
      <c r="V6" s="232">
        <f>SUM(M6:U6)</f>
        <v>0</v>
      </c>
      <c r="W6" s="204">
        <v>391</v>
      </c>
      <c r="X6" s="233"/>
      <c r="Y6" s="204"/>
      <c r="Z6" s="214">
        <f>L6+V6+W6+X6+Y6</f>
        <v>1656</v>
      </c>
      <c r="AA6" s="215">
        <f>C6+D6+F6+K6+M6+N6+P6+U6</f>
        <v>908</v>
      </c>
    </row>
    <row r="7" spans="1:40" x14ac:dyDescent="0.25">
      <c r="A7" s="136" t="s">
        <v>69</v>
      </c>
      <c r="B7" s="137" t="s">
        <v>269</v>
      </c>
      <c r="C7" s="230">
        <v>694</v>
      </c>
      <c r="D7" s="230">
        <v>586</v>
      </c>
      <c r="E7" s="230">
        <v>25</v>
      </c>
      <c r="F7" s="230">
        <v>17</v>
      </c>
      <c r="G7" s="230">
        <v>17</v>
      </c>
      <c r="H7" s="230">
        <v>0</v>
      </c>
      <c r="I7" s="230">
        <v>13</v>
      </c>
      <c r="J7" s="230">
        <v>280</v>
      </c>
      <c r="K7" s="230"/>
      <c r="L7" s="234">
        <f t="shared" ref="L7:L22" si="0">SUM(C7:K7)</f>
        <v>1632</v>
      </c>
      <c r="M7" s="230">
        <v>369</v>
      </c>
      <c r="N7" s="230">
        <v>228</v>
      </c>
      <c r="O7" s="230">
        <v>23</v>
      </c>
      <c r="P7" s="230">
        <v>5</v>
      </c>
      <c r="Q7" s="230">
        <v>8</v>
      </c>
      <c r="R7" s="230">
        <v>0</v>
      </c>
      <c r="S7" s="230">
        <v>0</v>
      </c>
      <c r="T7" s="230">
        <v>33</v>
      </c>
      <c r="U7" s="297"/>
      <c r="V7" s="232">
        <f>SUM(M7:U7)</f>
        <v>666</v>
      </c>
      <c r="W7" s="205"/>
      <c r="X7" s="233"/>
      <c r="Y7" s="204"/>
      <c r="Z7" s="214">
        <f t="shared" ref="Z7:Z22" si="1">L7+V7+W7+X7+Y7</f>
        <v>2298</v>
      </c>
      <c r="AA7" s="215">
        <f>C7+D7+F7+K7+M7+N7+P7+U7</f>
        <v>1899</v>
      </c>
    </row>
    <row r="8" spans="1:40" x14ac:dyDescent="0.25">
      <c r="A8" s="136" t="s">
        <v>73</v>
      </c>
      <c r="B8" s="137" t="s">
        <v>270</v>
      </c>
      <c r="C8" s="230">
        <v>44</v>
      </c>
      <c r="D8" s="230">
        <v>43</v>
      </c>
      <c r="E8" s="230">
        <v>0</v>
      </c>
      <c r="F8" s="230">
        <v>5</v>
      </c>
      <c r="G8" s="230">
        <v>0</v>
      </c>
      <c r="H8" s="230">
        <v>0</v>
      </c>
      <c r="I8" s="230">
        <v>0</v>
      </c>
      <c r="J8" s="230">
        <v>14</v>
      </c>
      <c r="K8" s="230"/>
      <c r="L8" s="232">
        <f t="shared" si="0"/>
        <v>106</v>
      </c>
      <c r="M8" s="230">
        <v>351</v>
      </c>
      <c r="N8" s="230">
        <v>293</v>
      </c>
      <c r="O8" s="230">
        <v>19</v>
      </c>
      <c r="P8" s="230">
        <v>10</v>
      </c>
      <c r="Q8" s="230">
        <v>0</v>
      </c>
      <c r="R8" s="230">
        <v>0</v>
      </c>
      <c r="S8" s="230">
        <v>24</v>
      </c>
      <c r="T8" s="230">
        <v>62</v>
      </c>
      <c r="U8" s="297"/>
      <c r="V8" s="232">
        <f>SUM(M8:U8)</f>
        <v>759</v>
      </c>
      <c r="W8" s="205"/>
      <c r="X8" s="233"/>
      <c r="Y8" s="204"/>
      <c r="Z8" s="214">
        <f t="shared" si="1"/>
        <v>865</v>
      </c>
      <c r="AA8" s="215">
        <f>C8+D8+F8+K8+M8+N8+P8+U8</f>
        <v>746</v>
      </c>
    </row>
    <row r="9" spans="1:40" x14ac:dyDescent="0.25">
      <c r="A9" s="136" t="s">
        <v>74</v>
      </c>
      <c r="B9" s="137" t="s">
        <v>358</v>
      </c>
      <c r="C9" s="230"/>
      <c r="D9" s="128"/>
      <c r="E9" s="128"/>
      <c r="F9" s="128"/>
      <c r="G9" s="128"/>
      <c r="H9" s="128"/>
      <c r="I9" s="128"/>
      <c r="J9" s="128"/>
      <c r="K9" s="128"/>
      <c r="L9" s="232">
        <f t="shared" si="0"/>
        <v>0</v>
      </c>
      <c r="M9" s="147"/>
      <c r="N9" s="147"/>
      <c r="O9" s="147"/>
      <c r="P9" s="147"/>
      <c r="Q9" s="147"/>
      <c r="R9" s="147"/>
      <c r="S9" s="147"/>
      <c r="T9" s="147"/>
      <c r="U9" s="297"/>
      <c r="V9" s="232">
        <f t="shared" ref="V9:V22" si="2">SUM(M9:U9)</f>
        <v>0</v>
      </c>
      <c r="W9" s="204">
        <v>7933</v>
      </c>
      <c r="X9" s="233"/>
      <c r="Y9" s="204"/>
      <c r="Z9" s="214">
        <f t="shared" si="1"/>
        <v>7933</v>
      </c>
      <c r="AA9" s="215">
        <f t="shared" ref="AA9:AA11" si="3">C9+D9+F9+K9+M9+N9+P9+U9</f>
        <v>0</v>
      </c>
    </row>
    <row r="10" spans="1:40" x14ac:dyDescent="0.25">
      <c r="A10" s="136" t="s">
        <v>94</v>
      </c>
      <c r="B10" s="137" t="s">
        <v>271</v>
      </c>
      <c r="C10" s="230">
        <v>646</v>
      </c>
      <c r="D10" s="230">
        <v>429</v>
      </c>
      <c r="E10" s="230">
        <v>117</v>
      </c>
      <c r="F10" s="230">
        <v>40</v>
      </c>
      <c r="G10" s="230">
        <v>24</v>
      </c>
      <c r="H10" s="230">
        <v>0</v>
      </c>
      <c r="I10" s="230">
        <v>40</v>
      </c>
      <c r="J10" s="230">
        <v>76</v>
      </c>
      <c r="K10" s="230">
        <v>0</v>
      </c>
      <c r="L10" s="232">
        <f t="shared" si="0"/>
        <v>1372</v>
      </c>
      <c r="M10" s="230">
        <v>985</v>
      </c>
      <c r="N10" s="230">
        <v>2202</v>
      </c>
      <c r="O10" s="230">
        <v>190</v>
      </c>
      <c r="P10" s="230">
        <v>79</v>
      </c>
      <c r="Q10" s="230">
        <v>71</v>
      </c>
      <c r="R10" s="230">
        <v>20</v>
      </c>
      <c r="S10" s="230">
        <v>32</v>
      </c>
      <c r="T10" s="230">
        <v>17</v>
      </c>
      <c r="U10" s="297"/>
      <c r="V10" s="232">
        <f t="shared" si="2"/>
        <v>3596</v>
      </c>
      <c r="W10" s="204">
        <v>1313</v>
      </c>
      <c r="X10" s="233"/>
      <c r="Y10" s="204"/>
      <c r="Z10" s="214">
        <f t="shared" si="1"/>
        <v>6281</v>
      </c>
      <c r="AA10" s="215">
        <f t="shared" si="3"/>
        <v>4381</v>
      </c>
    </row>
    <row r="11" spans="1:40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6</v>
      </c>
      <c r="F11" s="230">
        <v>0</v>
      </c>
      <c r="G11" s="230">
        <v>0</v>
      </c>
      <c r="H11" s="230">
        <v>0</v>
      </c>
      <c r="I11" s="230">
        <v>0</v>
      </c>
      <c r="J11" s="230">
        <v>69</v>
      </c>
      <c r="K11" s="230">
        <v>0</v>
      </c>
      <c r="L11" s="232">
        <f t="shared" si="0"/>
        <v>75</v>
      </c>
      <c r="M11" s="230">
        <v>0</v>
      </c>
      <c r="N11" s="230">
        <v>0</v>
      </c>
      <c r="O11" s="230">
        <v>0</v>
      </c>
      <c r="P11" s="230">
        <v>0</v>
      </c>
      <c r="Q11" s="230">
        <v>0</v>
      </c>
      <c r="R11" s="230">
        <v>0</v>
      </c>
      <c r="S11" s="230">
        <v>0</v>
      </c>
      <c r="T11" s="230">
        <v>69</v>
      </c>
      <c r="U11" s="297"/>
      <c r="V11" s="232">
        <f t="shared" si="2"/>
        <v>69</v>
      </c>
      <c r="W11" s="205"/>
      <c r="X11" s="233"/>
      <c r="Y11" s="204"/>
      <c r="Z11" s="214">
        <f t="shared" si="1"/>
        <v>144</v>
      </c>
      <c r="AA11" s="215">
        <f t="shared" si="3"/>
        <v>0</v>
      </c>
    </row>
    <row r="12" spans="1:40" x14ac:dyDescent="0.25">
      <c r="A12" s="136" t="s">
        <v>361</v>
      </c>
      <c r="B12" s="137" t="s">
        <v>355</v>
      </c>
      <c r="C12" s="182"/>
      <c r="D12" s="128"/>
      <c r="E12" s="128"/>
      <c r="F12" s="128"/>
      <c r="G12" s="128"/>
      <c r="H12" s="128"/>
      <c r="I12" s="128"/>
      <c r="J12" s="128"/>
      <c r="K12" s="423"/>
      <c r="L12" s="232">
        <f t="shared" si="0"/>
        <v>0</v>
      </c>
      <c r="M12" s="147"/>
      <c r="N12" s="147"/>
      <c r="O12" s="147"/>
      <c r="P12" s="147"/>
      <c r="Q12" s="147"/>
      <c r="R12" s="147"/>
      <c r="S12" s="147"/>
      <c r="T12" s="147"/>
      <c r="U12" s="297"/>
      <c r="V12" s="232">
        <f t="shared" si="2"/>
        <v>0</v>
      </c>
      <c r="W12" s="205"/>
      <c r="X12" s="233">
        <v>34</v>
      </c>
      <c r="Y12" s="204">
        <v>2</v>
      </c>
      <c r="Z12" s="214">
        <f t="shared" si="1"/>
        <v>36</v>
      </c>
      <c r="AA12" s="215">
        <f t="shared" ref="AA12:AA13" si="4">C12+D12+F12+K12+M12+N12+P12+U12</f>
        <v>0</v>
      </c>
    </row>
    <row r="13" spans="1:40" x14ac:dyDescent="0.25">
      <c r="A13" s="136" t="s">
        <v>106</v>
      </c>
      <c r="B13" s="137" t="s">
        <v>273</v>
      </c>
      <c r="C13" s="230">
        <v>261</v>
      </c>
      <c r="D13" s="230">
        <v>90</v>
      </c>
      <c r="E13" s="230">
        <v>7</v>
      </c>
      <c r="F13" s="230">
        <v>6</v>
      </c>
      <c r="G13" s="230">
        <v>9</v>
      </c>
      <c r="H13" s="230">
        <v>0</v>
      </c>
      <c r="I13" s="230">
        <v>0</v>
      </c>
      <c r="J13" s="230">
        <v>74</v>
      </c>
      <c r="K13" s="230"/>
      <c r="L13" s="232">
        <f t="shared" si="0"/>
        <v>447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297"/>
      <c r="V13" s="232">
        <f t="shared" si="2"/>
        <v>0</v>
      </c>
      <c r="W13" s="205"/>
      <c r="X13" s="233"/>
      <c r="Y13" s="204"/>
      <c r="Z13" s="214">
        <f t="shared" si="1"/>
        <v>447</v>
      </c>
      <c r="AA13" s="215">
        <f t="shared" si="4"/>
        <v>357</v>
      </c>
    </row>
    <row r="14" spans="1:40" x14ac:dyDescent="0.25">
      <c r="A14" s="136" t="s">
        <v>110</v>
      </c>
      <c r="B14" s="137" t="s">
        <v>274</v>
      </c>
      <c r="C14" s="230">
        <v>3299</v>
      </c>
      <c r="D14" s="230">
        <v>1171</v>
      </c>
      <c r="E14" s="230">
        <v>602</v>
      </c>
      <c r="F14" s="230">
        <v>28</v>
      </c>
      <c r="G14" s="230">
        <v>78</v>
      </c>
      <c r="H14" s="230">
        <v>0</v>
      </c>
      <c r="I14" s="230">
        <v>0</v>
      </c>
      <c r="J14" s="230">
        <v>167</v>
      </c>
      <c r="K14" s="230"/>
      <c r="L14" s="232">
        <f t="shared" si="0"/>
        <v>5345</v>
      </c>
      <c r="M14" s="230">
        <v>101</v>
      </c>
      <c r="N14" s="230">
        <v>84</v>
      </c>
      <c r="O14" s="230">
        <v>16</v>
      </c>
      <c r="P14" s="230">
        <v>0</v>
      </c>
      <c r="Q14" s="230">
        <v>0</v>
      </c>
      <c r="R14" s="230">
        <v>0</v>
      </c>
      <c r="S14" s="230">
        <v>0</v>
      </c>
      <c r="T14" s="230">
        <v>0</v>
      </c>
      <c r="U14" s="297"/>
      <c r="V14" s="232">
        <f t="shared" si="2"/>
        <v>201</v>
      </c>
      <c r="W14" s="205"/>
      <c r="X14" s="233"/>
      <c r="Y14" s="204"/>
      <c r="Z14" s="214">
        <f t="shared" si="1"/>
        <v>5546</v>
      </c>
      <c r="AA14" s="215">
        <f t="shared" ref="AA14:AA22" si="5">C14+D14+F14+K14+M14+N14+P14+U14</f>
        <v>4683</v>
      </c>
    </row>
    <row r="15" spans="1:40" x14ac:dyDescent="0.25">
      <c r="A15" s="136" t="s">
        <v>119</v>
      </c>
      <c r="B15" s="137" t="s">
        <v>275</v>
      </c>
      <c r="C15" s="230">
        <v>976</v>
      </c>
      <c r="D15" s="230">
        <v>1331</v>
      </c>
      <c r="E15" s="230">
        <v>172</v>
      </c>
      <c r="F15" s="230">
        <v>18</v>
      </c>
      <c r="G15" s="230">
        <v>20</v>
      </c>
      <c r="H15" s="230">
        <v>0</v>
      </c>
      <c r="I15" s="230">
        <v>0</v>
      </c>
      <c r="J15" s="230">
        <v>50</v>
      </c>
      <c r="K15" s="230"/>
      <c r="L15" s="232">
        <f t="shared" si="0"/>
        <v>2567</v>
      </c>
      <c r="M15" s="230">
        <v>155</v>
      </c>
      <c r="N15" s="230">
        <v>391</v>
      </c>
      <c r="O15" s="230">
        <v>39</v>
      </c>
      <c r="P15" s="230">
        <v>0</v>
      </c>
      <c r="Q15" s="230">
        <v>18</v>
      </c>
      <c r="R15" s="230">
        <v>0</v>
      </c>
      <c r="S15" s="230">
        <v>0</v>
      </c>
      <c r="T15" s="230">
        <v>27</v>
      </c>
      <c r="U15" s="297"/>
      <c r="V15" s="232">
        <f t="shared" si="2"/>
        <v>630</v>
      </c>
      <c r="W15" s="205"/>
      <c r="X15" s="233">
        <v>913</v>
      </c>
      <c r="Y15" s="204"/>
      <c r="Z15" s="214">
        <f t="shared" si="1"/>
        <v>4110</v>
      </c>
      <c r="AA15" s="215">
        <f t="shared" si="5"/>
        <v>2871</v>
      </c>
    </row>
    <row r="16" spans="1:40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696</v>
      </c>
      <c r="K16" s="230"/>
      <c r="L16" s="232">
        <f t="shared" si="0"/>
        <v>696</v>
      </c>
      <c r="M16" s="230">
        <v>0</v>
      </c>
      <c r="N16" s="230">
        <v>0</v>
      </c>
      <c r="O16" s="230">
        <v>0</v>
      </c>
      <c r="P16" s="230">
        <v>0</v>
      </c>
      <c r="Q16" s="230">
        <v>0</v>
      </c>
      <c r="R16" s="230">
        <v>0</v>
      </c>
      <c r="S16" s="230">
        <v>0</v>
      </c>
      <c r="T16" s="230">
        <v>0</v>
      </c>
      <c r="U16" s="297"/>
      <c r="V16" s="232">
        <f t="shared" si="2"/>
        <v>0</v>
      </c>
      <c r="W16" s="205"/>
      <c r="X16" s="233"/>
      <c r="Y16" s="204"/>
      <c r="Z16" s="214">
        <f t="shared" si="1"/>
        <v>696</v>
      </c>
      <c r="AA16" s="215">
        <f t="shared" si="5"/>
        <v>0</v>
      </c>
    </row>
    <row r="17" spans="1:40" x14ac:dyDescent="0.25">
      <c r="A17" s="136" t="s">
        <v>123</v>
      </c>
      <c r="B17" s="137" t="s">
        <v>277</v>
      </c>
      <c r="C17" s="230">
        <v>51</v>
      </c>
      <c r="D17" s="230">
        <v>36</v>
      </c>
      <c r="E17" s="230">
        <v>1</v>
      </c>
      <c r="F17" s="230">
        <v>2</v>
      </c>
      <c r="G17" s="230">
        <v>9</v>
      </c>
      <c r="H17" s="230">
        <v>0</v>
      </c>
      <c r="I17" s="230">
        <v>0</v>
      </c>
      <c r="J17" s="230">
        <v>6</v>
      </c>
      <c r="K17" s="230"/>
      <c r="L17" s="232">
        <f t="shared" si="0"/>
        <v>105</v>
      </c>
      <c r="M17" s="230">
        <v>53</v>
      </c>
      <c r="N17" s="230">
        <v>68</v>
      </c>
      <c r="O17" s="230">
        <v>11</v>
      </c>
      <c r="P17" s="230">
        <v>2</v>
      </c>
      <c r="Q17" s="230">
        <v>28</v>
      </c>
      <c r="R17" s="230">
        <v>0</v>
      </c>
      <c r="S17" s="230">
        <v>0</v>
      </c>
      <c r="T17" s="230">
        <v>0</v>
      </c>
      <c r="U17" s="297"/>
      <c r="V17" s="232">
        <f t="shared" si="2"/>
        <v>162</v>
      </c>
      <c r="W17" s="204">
        <v>29</v>
      </c>
      <c r="X17" s="233"/>
      <c r="Y17" s="204"/>
      <c r="Z17" s="214">
        <f t="shared" si="1"/>
        <v>296</v>
      </c>
      <c r="AA17" s="215">
        <f t="shared" si="5"/>
        <v>212</v>
      </c>
    </row>
    <row r="18" spans="1:40" x14ac:dyDescent="0.25">
      <c r="A18" s="136" t="s">
        <v>128</v>
      </c>
      <c r="B18" s="137" t="s">
        <v>332</v>
      </c>
      <c r="C18" s="230">
        <v>87</v>
      </c>
      <c r="D18" s="230">
        <v>41</v>
      </c>
      <c r="E18" s="230">
        <v>23</v>
      </c>
      <c r="F18" s="230">
        <v>5</v>
      </c>
      <c r="G18" s="230">
        <v>3</v>
      </c>
      <c r="H18" s="230">
        <v>0</v>
      </c>
      <c r="I18" s="230">
        <v>0</v>
      </c>
      <c r="J18" s="230">
        <v>7</v>
      </c>
      <c r="K18" s="230"/>
      <c r="L18" s="232">
        <f t="shared" si="0"/>
        <v>166</v>
      </c>
      <c r="M18" s="230">
        <v>92</v>
      </c>
      <c r="N18" s="230">
        <v>151</v>
      </c>
      <c r="O18" s="230">
        <v>48</v>
      </c>
      <c r="P18" s="230">
        <v>1</v>
      </c>
      <c r="Q18" s="230">
        <v>8</v>
      </c>
      <c r="R18" s="230">
        <v>0</v>
      </c>
      <c r="S18" s="230">
        <v>0</v>
      </c>
      <c r="T18" s="230">
        <v>0</v>
      </c>
      <c r="U18" s="297"/>
      <c r="V18" s="232">
        <f t="shared" si="2"/>
        <v>300</v>
      </c>
      <c r="W18" s="205"/>
      <c r="X18" s="233"/>
      <c r="Y18" s="204"/>
      <c r="Z18" s="214">
        <f t="shared" si="1"/>
        <v>466</v>
      </c>
      <c r="AA18" s="215">
        <f t="shared" si="5"/>
        <v>377</v>
      </c>
    </row>
    <row r="19" spans="1:40" x14ac:dyDescent="0.25">
      <c r="A19" s="136" t="s">
        <v>150</v>
      </c>
      <c r="B19" s="137" t="s">
        <v>278</v>
      </c>
      <c r="C19" s="230">
        <v>1065</v>
      </c>
      <c r="D19" s="230">
        <v>172</v>
      </c>
      <c r="E19" s="230">
        <v>385</v>
      </c>
      <c r="F19" s="230">
        <v>33</v>
      </c>
      <c r="G19" s="230">
        <v>4</v>
      </c>
      <c r="H19" s="230">
        <v>0</v>
      </c>
      <c r="I19" s="230">
        <v>1</v>
      </c>
      <c r="J19" s="230">
        <v>27</v>
      </c>
      <c r="K19" s="230"/>
      <c r="L19" s="232">
        <f t="shared" si="0"/>
        <v>1687</v>
      </c>
      <c r="M19" s="230">
        <v>590</v>
      </c>
      <c r="N19" s="230">
        <v>308</v>
      </c>
      <c r="O19" s="230">
        <v>80</v>
      </c>
      <c r="P19" s="230">
        <v>30</v>
      </c>
      <c r="Q19" s="230">
        <v>4</v>
      </c>
      <c r="R19" s="230">
        <v>0</v>
      </c>
      <c r="S19" s="230">
        <v>0</v>
      </c>
      <c r="T19" s="230">
        <v>10</v>
      </c>
      <c r="U19" s="297"/>
      <c r="V19" s="232">
        <f t="shared" si="2"/>
        <v>1022</v>
      </c>
      <c r="W19" s="204">
        <v>290</v>
      </c>
      <c r="X19" s="233"/>
      <c r="Y19" s="204"/>
      <c r="Z19" s="214">
        <f t="shared" si="1"/>
        <v>2999</v>
      </c>
      <c r="AA19" s="215">
        <f t="shared" si="5"/>
        <v>2198</v>
      </c>
    </row>
    <row r="20" spans="1:40" x14ac:dyDescent="0.25">
      <c r="A20" s="136" t="s">
        <v>181</v>
      </c>
      <c r="B20" s="137" t="s">
        <v>335</v>
      </c>
      <c r="C20" s="230">
        <v>831</v>
      </c>
      <c r="D20" s="230">
        <v>1144</v>
      </c>
      <c r="E20" s="230">
        <v>180</v>
      </c>
      <c r="F20" s="230">
        <v>33</v>
      </c>
      <c r="G20" s="230">
        <v>75</v>
      </c>
      <c r="H20" s="230">
        <v>0</v>
      </c>
      <c r="I20" s="230">
        <v>510</v>
      </c>
      <c r="J20" s="230">
        <v>300</v>
      </c>
      <c r="K20" s="230">
        <v>151</v>
      </c>
      <c r="L20" s="232">
        <f t="shared" si="0"/>
        <v>3224</v>
      </c>
      <c r="M20" s="230">
        <v>380</v>
      </c>
      <c r="N20" s="230">
        <v>1534</v>
      </c>
      <c r="O20" s="230">
        <v>103</v>
      </c>
      <c r="P20" s="230">
        <v>22</v>
      </c>
      <c r="Q20" s="230">
        <v>61</v>
      </c>
      <c r="R20" s="230">
        <v>0</v>
      </c>
      <c r="S20" s="230">
        <v>0</v>
      </c>
      <c r="T20" s="230">
        <v>43</v>
      </c>
      <c r="U20" s="297"/>
      <c r="V20" s="232">
        <f t="shared" si="2"/>
        <v>2143</v>
      </c>
      <c r="W20" s="206"/>
      <c r="X20" s="235"/>
      <c r="Y20" s="209"/>
      <c r="Z20" s="214">
        <f t="shared" si="1"/>
        <v>5367</v>
      </c>
      <c r="AA20" s="215">
        <f t="shared" si="5"/>
        <v>4095</v>
      </c>
    </row>
    <row r="21" spans="1:40" x14ac:dyDescent="0.25">
      <c r="A21" s="136" t="s">
        <v>184</v>
      </c>
      <c r="B21" s="137" t="s">
        <v>279</v>
      </c>
      <c r="C21" s="230">
        <v>403</v>
      </c>
      <c r="D21" s="230">
        <v>161</v>
      </c>
      <c r="E21" s="230">
        <v>45</v>
      </c>
      <c r="F21" s="230">
        <v>18</v>
      </c>
      <c r="G21" s="230">
        <v>14</v>
      </c>
      <c r="H21" s="230">
        <v>0</v>
      </c>
      <c r="I21" s="230">
        <v>238</v>
      </c>
      <c r="J21" s="230">
        <v>11</v>
      </c>
      <c r="K21" s="230"/>
      <c r="L21" s="232">
        <f t="shared" si="0"/>
        <v>890</v>
      </c>
      <c r="M21" s="230">
        <v>554</v>
      </c>
      <c r="N21" s="230">
        <v>1196</v>
      </c>
      <c r="O21" s="230">
        <v>63</v>
      </c>
      <c r="P21" s="230">
        <v>28</v>
      </c>
      <c r="Q21" s="230">
        <v>25</v>
      </c>
      <c r="R21" s="230">
        <v>38</v>
      </c>
      <c r="S21" s="230">
        <v>0</v>
      </c>
      <c r="T21" s="230">
        <v>0</v>
      </c>
      <c r="U21" s="297"/>
      <c r="V21" s="232">
        <f t="shared" si="2"/>
        <v>1904</v>
      </c>
      <c r="W21" s="204">
        <v>276</v>
      </c>
      <c r="X21" s="233"/>
      <c r="Y21" s="204"/>
      <c r="Z21" s="214">
        <f t="shared" si="1"/>
        <v>3070</v>
      </c>
      <c r="AA21" s="215">
        <f t="shared" si="5"/>
        <v>2360</v>
      </c>
    </row>
    <row r="22" spans="1:40" ht="17.25" customHeight="1" thickBot="1" x14ac:dyDescent="0.3">
      <c r="A22" s="136" t="s">
        <v>194</v>
      </c>
      <c r="B22" s="138" t="s">
        <v>280</v>
      </c>
      <c r="C22" s="265">
        <v>0</v>
      </c>
      <c r="D22" s="265">
        <v>0</v>
      </c>
      <c r="E22" s="265">
        <v>567</v>
      </c>
      <c r="F22" s="265">
        <v>0</v>
      </c>
      <c r="G22" s="265">
        <v>0</v>
      </c>
      <c r="H22" s="265">
        <v>0</v>
      </c>
      <c r="I22" s="265">
        <v>0</v>
      </c>
      <c r="J22" s="265">
        <v>2283</v>
      </c>
      <c r="K22" s="265"/>
      <c r="L22" s="239">
        <f t="shared" si="0"/>
        <v>2850</v>
      </c>
      <c r="M22" s="265">
        <v>0</v>
      </c>
      <c r="N22" s="265">
        <v>0</v>
      </c>
      <c r="O22" s="265">
        <v>0</v>
      </c>
      <c r="P22" s="265">
        <v>0</v>
      </c>
      <c r="Q22" s="265">
        <v>0</v>
      </c>
      <c r="R22" s="265">
        <v>0</v>
      </c>
      <c r="S22" s="265">
        <v>0</v>
      </c>
      <c r="T22" s="265">
        <v>0</v>
      </c>
      <c r="U22" s="265"/>
      <c r="V22" s="232">
        <f t="shared" si="2"/>
        <v>0</v>
      </c>
      <c r="W22" s="207"/>
      <c r="X22" s="432"/>
      <c r="Y22" s="359"/>
      <c r="Z22" s="376">
        <f t="shared" si="1"/>
        <v>2850</v>
      </c>
      <c r="AA22" s="216">
        <f t="shared" si="5"/>
        <v>0</v>
      </c>
    </row>
    <row r="23" spans="1:40" s="110" customFormat="1" ht="14.4" thickBot="1" x14ac:dyDescent="0.3">
      <c r="A23" s="134"/>
      <c r="B23" s="159" t="s">
        <v>457</v>
      </c>
      <c r="C23" s="258">
        <f t="shared" ref="C23:AA23" si="6">SUM(C6:C22)</f>
        <v>8877</v>
      </c>
      <c r="D23" s="157">
        <f t="shared" si="6"/>
        <v>5580</v>
      </c>
      <c r="E23" s="157">
        <f t="shared" si="6"/>
        <v>2227</v>
      </c>
      <c r="F23" s="157">
        <f t="shared" si="6"/>
        <v>217</v>
      </c>
      <c r="G23" s="157">
        <f t="shared" si="6"/>
        <v>274</v>
      </c>
      <c r="H23" s="364">
        <f t="shared" si="6"/>
        <v>0</v>
      </c>
      <c r="I23" s="157">
        <f t="shared" si="6"/>
        <v>802</v>
      </c>
      <c r="J23" s="157">
        <f t="shared" si="6"/>
        <v>4299</v>
      </c>
      <c r="K23" s="259">
        <f t="shared" si="6"/>
        <v>151</v>
      </c>
      <c r="L23" s="266">
        <f t="shared" si="6"/>
        <v>22427</v>
      </c>
      <c r="M23" s="262">
        <f>SUM(M6:M22)</f>
        <v>3630</v>
      </c>
      <c r="N23" s="158">
        <f>SUM(N6:N22)</f>
        <v>6455</v>
      </c>
      <c r="O23" s="158">
        <f t="shared" si="6"/>
        <v>592</v>
      </c>
      <c r="P23" s="158">
        <f t="shared" si="6"/>
        <v>177</v>
      </c>
      <c r="Q23" s="158">
        <f t="shared" si="6"/>
        <v>223</v>
      </c>
      <c r="R23" s="158">
        <f t="shared" si="6"/>
        <v>58</v>
      </c>
      <c r="S23" s="158">
        <f t="shared" si="6"/>
        <v>56</v>
      </c>
      <c r="T23" s="264">
        <f t="shared" si="6"/>
        <v>261</v>
      </c>
      <c r="U23" s="401">
        <f t="shared" si="6"/>
        <v>0</v>
      </c>
      <c r="V23" s="266">
        <f t="shared" si="6"/>
        <v>11452</v>
      </c>
      <c r="W23" s="210">
        <f t="shared" si="6"/>
        <v>10232</v>
      </c>
      <c r="X23" s="274">
        <f t="shared" si="6"/>
        <v>947</v>
      </c>
      <c r="Y23" s="208">
        <f t="shared" si="6"/>
        <v>2</v>
      </c>
      <c r="Z23" s="208">
        <f t="shared" si="6"/>
        <v>45060</v>
      </c>
      <c r="AA23" s="208">
        <f t="shared" si="6"/>
        <v>25087</v>
      </c>
      <c r="AC23"/>
      <c r="AD23"/>
      <c r="AE23"/>
      <c r="AF23"/>
      <c r="AG23"/>
      <c r="AH23"/>
      <c r="AI23"/>
      <c r="AJ23"/>
      <c r="AK23"/>
      <c r="AL23"/>
      <c r="AM23"/>
      <c r="AN23"/>
    </row>
    <row r="24" spans="1:40" x14ac:dyDescent="0.25">
      <c r="A24" s="136" t="s">
        <v>72</v>
      </c>
      <c r="B24" s="137" t="s">
        <v>356</v>
      </c>
      <c r="C24" s="280">
        <v>1269</v>
      </c>
      <c r="D24" s="280">
        <v>1811</v>
      </c>
      <c r="E24" s="280">
        <v>269</v>
      </c>
      <c r="F24" s="280">
        <v>60</v>
      </c>
      <c r="G24" s="280">
        <v>32</v>
      </c>
      <c r="H24" s="280">
        <v>346</v>
      </c>
      <c r="I24" s="280">
        <v>0</v>
      </c>
      <c r="J24" s="280">
        <v>16</v>
      </c>
      <c r="K24" s="280">
        <v>321</v>
      </c>
      <c r="L24" s="234">
        <f>SUM(C24:K24)</f>
        <v>4124</v>
      </c>
      <c r="M24" s="280">
        <v>6</v>
      </c>
      <c r="N24" s="280">
        <v>4</v>
      </c>
      <c r="O24" s="280">
        <v>0</v>
      </c>
      <c r="P24" s="280">
        <v>0</v>
      </c>
      <c r="Q24" s="280">
        <v>0</v>
      </c>
      <c r="R24" s="280">
        <v>0</v>
      </c>
      <c r="S24" s="280">
        <v>0</v>
      </c>
      <c r="T24" s="280">
        <v>4</v>
      </c>
      <c r="U24" s="280">
        <v>0</v>
      </c>
      <c r="V24" s="429">
        <f>SUM(M24:U24)</f>
        <v>14</v>
      </c>
      <c r="W24" s="433"/>
      <c r="X24" s="233"/>
      <c r="Y24" s="204"/>
      <c r="Z24" s="214">
        <f>L24+V24+W24+X24+Y24</f>
        <v>4138</v>
      </c>
      <c r="AA24" s="215">
        <f>C24+D24+F24+K24+M24+N24+P24+U24</f>
        <v>3471</v>
      </c>
    </row>
    <row r="25" spans="1:40" x14ac:dyDescent="0.25">
      <c r="A25" s="136" t="s">
        <v>85</v>
      </c>
      <c r="B25" s="137" t="s">
        <v>281</v>
      </c>
      <c r="C25" s="230">
        <v>1268</v>
      </c>
      <c r="D25" s="230">
        <v>906</v>
      </c>
      <c r="E25" s="230">
        <v>211</v>
      </c>
      <c r="F25" s="230">
        <v>68</v>
      </c>
      <c r="G25" s="230">
        <v>55</v>
      </c>
      <c r="H25" s="230">
        <v>0</v>
      </c>
      <c r="I25" s="230">
        <v>0</v>
      </c>
      <c r="J25" s="230">
        <v>50</v>
      </c>
      <c r="K25" s="230">
        <v>0</v>
      </c>
      <c r="L25" s="232">
        <f t="shared" ref="L25:L36" si="7">SUM(C25:K25)</f>
        <v>2558</v>
      </c>
      <c r="M25" s="230">
        <v>394</v>
      </c>
      <c r="N25" s="230">
        <v>1185</v>
      </c>
      <c r="O25" s="230">
        <v>145</v>
      </c>
      <c r="P25" s="230">
        <v>29</v>
      </c>
      <c r="Q25" s="230">
        <v>74</v>
      </c>
      <c r="R25" s="230">
        <v>0</v>
      </c>
      <c r="S25" s="230">
        <v>0</v>
      </c>
      <c r="T25" s="230">
        <v>0</v>
      </c>
      <c r="U25" s="230">
        <v>0</v>
      </c>
      <c r="V25" s="430">
        <f t="shared" ref="V25:V36" si="8">SUM(M25:U25)</f>
        <v>1827</v>
      </c>
      <c r="W25" s="204">
        <v>249</v>
      </c>
      <c r="X25" s="233"/>
      <c r="Y25" s="204"/>
      <c r="Z25" s="214">
        <f t="shared" ref="Z25:Z36" si="9">L25+V25+W25+X25+Y25</f>
        <v>4634</v>
      </c>
      <c r="AA25" s="215">
        <f>C25+D25+F25+K25+M25+N25+P25+U25</f>
        <v>3850</v>
      </c>
    </row>
    <row r="26" spans="1:40" x14ac:dyDescent="0.25">
      <c r="A26" s="136" t="s">
        <v>214</v>
      </c>
      <c r="B26" s="137" t="s">
        <v>282</v>
      </c>
      <c r="C26" s="230">
        <v>1528</v>
      </c>
      <c r="D26" s="230">
        <v>1825</v>
      </c>
      <c r="E26" s="230">
        <v>138</v>
      </c>
      <c r="F26" s="230">
        <v>46</v>
      </c>
      <c r="G26" s="230">
        <v>26</v>
      </c>
      <c r="H26" s="230">
        <v>0</v>
      </c>
      <c r="I26" s="230">
        <v>0</v>
      </c>
      <c r="J26" s="230">
        <v>53</v>
      </c>
      <c r="K26" s="230">
        <v>0</v>
      </c>
      <c r="L26" s="232">
        <f t="shared" si="7"/>
        <v>3616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230">
        <v>0</v>
      </c>
      <c r="V26" s="430">
        <f t="shared" si="8"/>
        <v>0</v>
      </c>
      <c r="W26" s="205"/>
      <c r="X26" s="233"/>
      <c r="Y26" s="204"/>
      <c r="Z26" s="214">
        <f t="shared" si="9"/>
        <v>3616</v>
      </c>
      <c r="AA26" s="215">
        <f t="shared" ref="AA26:AA36" si="10">C26+D26+F26+K26+M26+N26+P26+U26</f>
        <v>3399</v>
      </c>
    </row>
    <row r="27" spans="1:40" x14ac:dyDescent="0.25">
      <c r="A27" s="136" t="s">
        <v>101</v>
      </c>
      <c r="B27" s="137" t="s">
        <v>283</v>
      </c>
      <c r="C27" s="230">
        <v>2573</v>
      </c>
      <c r="D27" s="230">
        <v>955</v>
      </c>
      <c r="E27" s="230">
        <v>429</v>
      </c>
      <c r="F27" s="230">
        <v>79</v>
      </c>
      <c r="G27" s="230">
        <v>78</v>
      </c>
      <c r="H27" s="230">
        <v>0</v>
      </c>
      <c r="I27" s="230">
        <v>0</v>
      </c>
      <c r="J27" s="230">
        <v>22</v>
      </c>
      <c r="K27" s="230">
        <v>0</v>
      </c>
      <c r="L27" s="232">
        <f t="shared" si="7"/>
        <v>4136</v>
      </c>
      <c r="M27" s="230">
        <v>392</v>
      </c>
      <c r="N27" s="230">
        <v>1985</v>
      </c>
      <c r="O27" s="230">
        <v>26</v>
      </c>
      <c r="P27" s="230">
        <v>10</v>
      </c>
      <c r="Q27" s="230">
        <v>241</v>
      </c>
      <c r="R27" s="230">
        <v>0</v>
      </c>
      <c r="S27" s="230">
        <v>0</v>
      </c>
      <c r="T27" s="230">
        <v>0</v>
      </c>
      <c r="U27" s="230">
        <v>0</v>
      </c>
      <c r="V27" s="430">
        <f t="shared" si="8"/>
        <v>2654</v>
      </c>
      <c r="W27" s="204">
        <v>279</v>
      </c>
      <c r="X27" s="233"/>
      <c r="Y27" s="204"/>
      <c r="Z27" s="214">
        <f t="shared" si="9"/>
        <v>7069</v>
      </c>
      <c r="AA27" s="215">
        <f t="shared" si="10"/>
        <v>5994</v>
      </c>
      <c r="AM27">
        <v>0</v>
      </c>
    </row>
    <row r="28" spans="1:40" x14ac:dyDescent="0.25">
      <c r="A28" s="136" t="s">
        <v>114</v>
      </c>
      <c r="B28" s="137" t="s">
        <v>284</v>
      </c>
      <c r="C28" s="230">
        <v>622</v>
      </c>
      <c r="D28" s="230">
        <v>196</v>
      </c>
      <c r="E28" s="230">
        <v>116</v>
      </c>
      <c r="F28" s="230">
        <v>28</v>
      </c>
      <c r="G28" s="230">
        <v>21</v>
      </c>
      <c r="H28" s="230">
        <v>0</v>
      </c>
      <c r="I28" s="230">
        <v>379</v>
      </c>
      <c r="J28" s="230">
        <v>107</v>
      </c>
      <c r="K28" s="230">
        <v>0</v>
      </c>
      <c r="L28" s="232">
        <f t="shared" si="7"/>
        <v>1469</v>
      </c>
      <c r="M28" s="230">
        <v>329</v>
      </c>
      <c r="N28" s="230">
        <v>685</v>
      </c>
      <c r="O28" s="230">
        <v>160</v>
      </c>
      <c r="P28" s="230">
        <v>42</v>
      </c>
      <c r="Q28" s="230">
        <v>30</v>
      </c>
      <c r="R28" s="230">
        <v>17</v>
      </c>
      <c r="S28" s="230">
        <v>6</v>
      </c>
      <c r="T28" s="230">
        <v>112</v>
      </c>
      <c r="U28" s="230">
        <v>0</v>
      </c>
      <c r="V28" s="430">
        <f t="shared" si="8"/>
        <v>1381</v>
      </c>
      <c r="W28" s="204">
        <v>562</v>
      </c>
      <c r="X28" s="233"/>
      <c r="Y28" s="204"/>
      <c r="Z28" s="214">
        <f t="shared" si="9"/>
        <v>3412</v>
      </c>
      <c r="AA28" s="215">
        <f t="shared" si="10"/>
        <v>1902</v>
      </c>
      <c r="AM28">
        <v>0</v>
      </c>
    </row>
    <row r="29" spans="1:40" x14ac:dyDescent="0.25">
      <c r="A29" s="136" t="s">
        <v>115</v>
      </c>
      <c r="B29" s="137" t="s">
        <v>285</v>
      </c>
      <c r="C29" s="230">
        <v>614</v>
      </c>
      <c r="D29" s="230">
        <v>1404</v>
      </c>
      <c r="E29" s="230">
        <v>82</v>
      </c>
      <c r="F29" s="230">
        <v>29</v>
      </c>
      <c r="G29" s="230">
        <v>79</v>
      </c>
      <c r="H29" s="230">
        <v>0</v>
      </c>
      <c r="I29" s="230">
        <v>25</v>
      </c>
      <c r="J29" s="230">
        <v>80</v>
      </c>
      <c r="K29" s="230">
        <v>0</v>
      </c>
      <c r="L29" s="232">
        <f t="shared" si="7"/>
        <v>2313</v>
      </c>
      <c r="M29" s="230">
        <v>0</v>
      </c>
      <c r="N29" s="230">
        <v>0</v>
      </c>
      <c r="O29" s="230">
        <v>0</v>
      </c>
      <c r="P29" s="230">
        <v>0</v>
      </c>
      <c r="Q29" s="230">
        <v>0</v>
      </c>
      <c r="R29" s="230">
        <v>0</v>
      </c>
      <c r="S29" s="230">
        <v>0</v>
      </c>
      <c r="T29" s="230">
        <v>0</v>
      </c>
      <c r="U29" s="230">
        <v>0</v>
      </c>
      <c r="V29" s="430">
        <f t="shared" si="8"/>
        <v>0</v>
      </c>
      <c r="W29" s="204">
        <v>400</v>
      </c>
      <c r="X29" s="233"/>
      <c r="Y29" s="204"/>
      <c r="Z29" s="214">
        <f t="shared" si="9"/>
        <v>2713</v>
      </c>
      <c r="AA29" s="215">
        <f t="shared" si="10"/>
        <v>2047</v>
      </c>
      <c r="AM29">
        <v>0</v>
      </c>
    </row>
    <row r="30" spans="1:40" x14ac:dyDescent="0.25">
      <c r="A30" s="136" t="s">
        <v>127</v>
      </c>
      <c r="B30" s="137" t="s">
        <v>286</v>
      </c>
      <c r="C30" s="230">
        <v>8068</v>
      </c>
      <c r="D30" s="230">
        <v>2395</v>
      </c>
      <c r="E30" s="230">
        <v>3989</v>
      </c>
      <c r="F30" s="230">
        <v>53</v>
      </c>
      <c r="G30" s="230">
        <v>130</v>
      </c>
      <c r="H30" s="230">
        <v>32</v>
      </c>
      <c r="I30" s="230">
        <v>0</v>
      </c>
      <c r="J30" s="230">
        <v>305</v>
      </c>
      <c r="K30" s="230">
        <v>0</v>
      </c>
      <c r="L30" s="232">
        <f t="shared" si="7"/>
        <v>14972</v>
      </c>
      <c r="M30" s="230">
        <v>495</v>
      </c>
      <c r="N30" s="230">
        <v>1224</v>
      </c>
      <c r="O30" s="230">
        <v>194</v>
      </c>
      <c r="P30" s="230">
        <v>2</v>
      </c>
      <c r="Q30" s="230">
        <v>117</v>
      </c>
      <c r="R30" s="230">
        <v>0</v>
      </c>
      <c r="S30" s="230">
        <v>0</v>
      </c>
      <c r="T30" s="230">
        <v>3</v>
      </c>
      <c r="U30" s="230">
        <v>0</v>
      </c>
      <c r="V30" s="430">
        <f t="shared" si="8"/>
        <v>2035</v>
      </c>
      <c r="W30" s="204">
        <v>2</v>
      </c>
      <c r="X30" s="233"/>
      <c r="Y30" s="204"/>
      <c r="Z30" s="214">
        <f t="shared" si="9"/>
        <v>17009</v>
      </c>
      <c r="AA30" s="215">
        <f t="shared" si="10"/>
        <v>12237</v>
      </c>
      <c r="AM30">
        <v>0</v>
      </c>
    </row>
    <row r="31" spans="1:40" x14ac:dyDescent="0.25">
      <c r="A31" s="136" t="s">
        <v>129</v>
      </c>
      <c r="B31" s="137" t="s">
        <v>287</v>
      </c>
      <c r="C31" s="459">
        <v>1354</v>
      </c>
      <c r="D31" s="230">
        <v>1010</v>
      </c>
      <c r="E31" s="230">
        <v>586</v>
      </c>
      <c r="F31" s="230">
        <v>52</v>
      </c>
      <c r="G31" s="230">
        <v>84</v>
      </c>
      <c r="H31" s="230">
        <v>0</v>
      </c>
      <c r="I31" s="230">
        <v>0</v>
      </c>
      <c r="J31" s="230">
        <v>114</v>
      </c>
      <c r="K31" s="230">
        <v>0</v>
      </c>
      <c r="L31" s="232">
        <f t="shared" si="7"/>
        <v>3200</v>
      </c>
      <c r="M31" s="230">
        <v>405</v>
      </c>
      <c r="N31" s="230">
        <v>2192</v>
      </c>
      <c r="O31" s="230">
        <v>207</v>
      </c>
      <c r="P31" s="230">
        <v>29</v>
      </c>
      <c r="Q31" s="230">
        <v>52</v>
      </c>
      <c r="R31" s="230">
        <v>12</v>
      </c>
      <c r="S31" s="230">
        <v>0</v>
      </c>
      <c r="T31" s="230">
        <v>0</v>
      </c>
      <c r="U31" s="230">
        <v>0</v>
      </c>
      <c r="V31" s="430">
        <f t="shared" si="8"/>
        <v>2897</v>
      </c>
      <c r="W31" s="204">
        <v>909</v>
      </c>
      <c r="X31" s="233"/>
      <c r="Y31" s="204"/>
      <c r="Z31" s="214">
        <f t="shared" si="9"/>
        <v>7006</v>
      </c>
      <c r="AA31" s="215">
        <f t="shared" si="10"/>
        <v>5042</v>
      </c>
      <c r="AM31">
        <v>0</v>
      </c>
    </row>
    <row r="32" spans="1:40" x14ac:dyDescent="0.25">
      <c r="A32" s="136" t="s">
        <v>139</v>
      </c>
      <c r="B32" s="137" t="s">
        <v>321</v>
      </c>
      <c r="C32" s="459">
        <v>478</v>
      </c>
      <c r="D32" s="230">
        <v>815</v>
      </c>
      <c r="E32" s="230">
        <v>285</v>
      </c>
      <c r="F32" s="230">
        <v>19</v>
      </c>
      <c r="G32" s="230">
        <v>28</v>
      </c>
      <c r="H32" s="230">
        <v>0</v>
      </c>
      <c r="I32" s="230">
        <v>5</v>
      </c>
      <c r="J32" s="230">
        <v>126</v>
      </c>
      <c r="K32" s="230">
        <v>225</v>
      </c>
      <c r="L32" s="232">
        <f t="shared" si="7"/>
        <v>1981</v>
      </c>
      <c r="M32" s="230">
        <v>121</v>
      </c>
      <c r="N32" s="230">
        <v>477</v>
      </c>
      <c r="O32" s="230">
        <v>70</v>
      </c>
      <c r="P32" s="230">
        <v>4</v>
      </c>
      <c r="Q32" s="230">
        <v>14</v>
      </c>
      <c r="R32" s="230">
        <v>0</v>
      </c>
      <c r="S32" s="230">
        <v>0</v>
      </c>
      <c r="T32" s="230">
        <v>1</v>
      </c>
      <c r="U32" s="230">
        <v>5</v>
      </c>
      <c r="V32" s="430">
        <f t="shared" si="8"/>
        <v>692</v>
      </c>
      <c r="W32" s="204">
        <v>821</v>
      </c>
      <c r="X32" s="233"/>
      <c r="Y32" s="204"/>
      <c r="Z32" s="214">
        <f t="shared" si="9"/>
        <v>3494</v>
      </c>
      <c r="AA32" s="215">
        <f>C32+D32+F32+K32+M32+N32+P32+U32</f>
        <v>2144</v>
      </c>
      <c r="AM32">
        <v>0</v>
      </c>
    </row>
    <row r="33" spans="1:40" x14ac:dyDescent="0.25">
      <c r="A33" s="140" t="s">
        <v>151</v>
      </c>
      <c r="B33" s="161" t="s">
        <v>323</v>
      </c>
      <c r="C33">
        <v>0</v>
      </c>
      <c r="D33" s="230">
        <v>0</v>
      </c>
      <c r="E33" s="230">
        <v>274</v>
      </c>
      <c r="F33" s="230">
        <v>0</v>
      </c>
      <c r="G33" s="230">
        <v>0</v>
      </c>
      <c r="H33" s="230">
        <v>0</v>
      </c>
      <c r="I33" s="230">
        <v>0</v>
      </c>
      <c r="J33" s="230">
        <v>853</v>
      </c>
      <c r="K33" s="230">
        <v>0</v>
      </c>
      <c r="L33" s="232">
        <f t="shared" si="7"/>
        <v>1127</v>
      </c>
      <c r="M33" s="147"/>
      <c r="N33" s="147"/>
      <c r="O33" s="147"/>
      <c r="P33" s="147"/>
      <c r="Q33" s="147"/>
      <c r="R33" s="147"/>
      <c r="S33" s="147"/>
      <c r="T33" s="147"/>
      <c r="U33" s="425"/>
      <c r="V33" s="430">
        <f t="shared" si="8"/>
        <v>0</v>
      </c>
      <c r="W33" s="206"/>
      <c r="X33" s="235"/>
      <c r="Y33" s="209"/>
      <c r="Z33" s="214">
        <f t="shared" si="9"/>
        <v>1127</v>
      </c>
      <c r="AA33" s="215">
        <f>C33+D33+F33+K33+M33+N33+P33+U33</f>
        <v>0</v>
      </c>
      <c r="AM33">
        <v>0</v>
      </c>
    </row>
    <row r="34" spans="1:40" x14ac:dyDescent="0.25">
      <c r="A34" s="136" t="s">
        <v>170</v>
      </c>
      <c r="B34" s="137" t="s">
        <v>288</v>
      </c>
      <c r="C34" s="459">
        <v>0</v>
      </c>
      <c r="D34" s="230">
        <v>0</v>
      </c>
      <c r="E34" s="230">
        <v>0</v>
      </c>
      <c r="F34" s="230">
        <v>0</v>
      </c>
      <c r="G34" s="230">
        <v>0</v>
      </c>
      <c r="H34" s="230">
        <v>0</v>
      </c>
      <c r="I34" s="230">
        <v>0</v>
      </c>
      <c r="J34" s="230">
        <v>12</v>
      </c>
      <c r="K34" s="230">
        <v>0</v>
      </c>
      <c r="L34" s="232">
        <f t="shared" si="7"/>
        <v>12</v>
      </c>
      <c r="M34" s="230">
        <v>0</v>
      </c>
      <c r="N34" s="230">
        <v>0</v>
      </c>
      <c r="O34" s="230">
        <v>0</v>
      </c>
      <c r="P34" s="230">
        <v>0</v>
      </c>
      <c r="Q34" s="230">
        <v>0</v>
      </c>
      <c r="R34" s="230">
        <v>0</v>
      </c>
      <c r="S34" s="230">
        <v>0</v>
      </c>
      <c r="T34" s="230">
        <v>0</v>
      </c>
      <c r="U34" s="230">
        <v>0</v>
      </c>
      <c r="V34" s="430">
        <f t="shared" si="8"/>
        <v>0</v>
      </c>
      <c r="W34" s="209">
        <v>0</v>
      </c>
      <c r="X34" s="235"/>
      <c r="Y34" s="209"/>
      <c r="Z34" s="214">
        <f t="shared" si="9"/>
        <v>12</v>
      </c>
      <c r="AA34" s="217">
        <f t="shared" si="10"/>
        <v>0</v>
      </c>
      <c r="AM34">
        <v>0</v>
      </c>
    </row>
    <row r="35" spans="1:40" x14ac:dyDescent="0.25">
      <c r="A35" s="136" t="s">
        <v>171</v>
      </c>
      <c r="B35" s="137" t="s">
        <v>324</v>
      </c>
      <c r="C35" s="230">
        <v>586</v>
      </c>
      <c r="D35" s="230">
        <v>496</v>
      </c>
      <c r="E35" s="230">
        <v>348</v>
      </c>
      <c r="F35" s="230">
        <v>24</v>
      </c>
      <c r="G35" s="230">
        <v>19</v>
      </c>
      <c r="H35" s="230">
        <v>0</v>
      </c>
      <c r="I35" s="230">
        <v>28</v>
      </c>
      <c r="J35" s="230">
        <v>87</v>
      </c>
      <c r="K35" s="230">
        <v>0</v>
      </c>
      <c r="L35" s="232">
        <f t="shared" si="7"/>
        <v>1588</v>
      </c>
      <c r="M35" s="230">
        <v>471</v>
      </c>
      <c r="N35" s="230">
        <v>690</v>
      </c>
      <c r="O35" s="230">
        <v>345</v>
      </c>
      <c r="P35" s="230">
        <v>15</v>
      </c>
      <c r="Q35" s="230">
        <v>8</v>
      </c>
      <c r="R35" s="230">
        <v>67</v>
      </c>
      <c r="S35" s="230">
        <v>0</v>
      </c>
      <c r="T35" s="230">
        <v>1</v>
      </c>
      <c r="U35" s="230">
        <v>0</v>
      </c>
      <c r="V35" s="430">
        <f t="shared" si="8"/>
        <v>1597</v>
      </c>
      <c r="W35" s="204">
        <f>580+1705</f>
        <v>2285</v>
      </c>
      <c r="X35" s="233"/>
      <c r="Y35" s="204"/>
      <c r="Z35" s="214">
        <f t="shared" si="9"/>
        <v>5470</v>
      </c>
      <c r="AA35" s="215">
        <f>C35+D35+F35+K35+M35+N35+P35+U35</f>
        <v>2282</v>
      </c>
      <c r="AM35">
        <v>0</v>
      </c>
    </row>
    <row r="36" spans="1:40" ht="13.8" thickBot="1" x14ac:dyDescent="0.3">
      <c r="A36" s="136" t="s">
        <v>362</v>
      </c>
      <c r="B36" s="137" t="s">
        <v>289</v>
      </c>
      <c r="C36" s="230">
        <v>466</v>
      </c>
      <c r="D36" s="230">
        <v>320</v>
      </c>
      <c r="E36" s="230">
        <v>122</v>
      </c>
      <c r="F36" s="230">
        <v>24</v>
      </c>
      <c r="G36" s="230">
        <v>23</v>
      </c>
      <c r="H36" s="230">
        <v>0</v>
      </c>
      <c r="I36" s="230">
        <v>0</v>
      </c>
      <c r="J36" s="230">
        <v>62</v>
      </c>
      <c r="K36" s="230">
        <v>0</v>
      </c>
      <c r="L36" s="239">
        <f t="shared" si="7"/>
        <v>1017</v>
      </c>
      <c r="M36" s="265">
        <v>0</v>
      </c>
      <c r="N36" s="265">
        <v>0</v>
      </c>
      <c r="O36" s="265">
        <v>10</v>
      </c>
      <c r="P36" s="265">
        <v>0</v>
      </c>
      <c r="Q36" s="265">
        <v>0</v>
      </c>
      <c r="R36" s="265">
        <v>0</v>
      </c>
      <c r="S36" s="265">
        <v>0</v>
      </c>
      <c r="T36" s="265">
        <v>25</v>
      </c>
      <c r="U36" s="265">
        <v>0</v>
      </c>
      <c r="V36" s="431">
        <f t="shared" si="8"/>
        <v>35</v>
      </c>
      <c r="W36" s="206"/>
      <c r="X36" s="235"/>
      <c r="Y36" s="209"/>
      <c r="Z36" s="214">
        <f t="shared" si="9"/>
        <v>1052</v>
      </c>
      <c r="AA36" s="217">
        <f t="shared" si="10"/>
        <v>810</v>
      </c>
      <c r="AM36">
        <v>0</v>
      </c>
    </row>
    <row r="37" spans="1:40" s="109" customFormat="1" ht="14.4" thickBot="1" x14ac:dyDescent="0.3">
      <c r="A37" s="134"/>
      <c r="B37" s="159" t="s">
        <v>458</v>
      </c>
      <c r="C37" s="322">
        <f t="shared" ref="C37:AA37" si="11">SUM(C24:C36)</f>
        <v>18826</v>
      </c>
      <c r="D37" s="323">
        <f t="shared" si="11"/>
        <v>12133</v>
      </c>
      <c r="E37" s="323">
        <f t="shared" si="11"/>
        <v>6849</v>
      </c>
      <c r="F37" s="323">
        <f t="shared" si="11"/>
        <v>482</v>
      </c>
      <c r="G37" s="509">
        <f t="shared" si="11"/>
        <v>575</v>
      </c>
      <c r="H37" s="323">
        <f t="shared" si="11"/>
        <v>378</v>
      </c>
      <c r="I37" s="323">
        <f t="shared" si="11"/>
        <v>437</v>
      </c>
      <c r="J37" s="323">
        <f t="shared" si="11"/>
        <v>1887</v>
      </c>
      <c r="K37" s="437">
        <f t="shared" si="11"/>
        <v>546</v>
      </c>
      <c r="L37" s="266">
        <f t="shared" si="11"/>
        <v>42113</v>
      </c>
      <c r="M37" s="262">
        <f t="shared" si="11"/>
        <v>2613</v>
      </c>
      <c r="N37" s="158">
        <f t="shared" si="11"/>
        <v>8442</v>
      </c>
      <c r="O37" s="158">
        <f t="shared" si="11"/>
        <v>1157</v>
      </c>
      <c r="P37" s="158">
        <f t="shared" si="11"/>
        <v>131</v>
      </c>
      <c r="Q37" s="158">
        <f t="shared" si="11"/>
        <v>536</v>
      </c>
      <c r="R37" s="158">
        <f t="shared" si="11"/>
        <v>96</v>
      </c>
      <c r="S37" s="158">
        <f t="shared" si="11"/>
        <v>6</v>
      </c>
      <c r="T37" s="264">
        <f t="shared" si="11"/>
        <v>146</v>
      </c>
      <c r="U37" s="401">
        <f t="shared" si="11"/>
        <v>5</v>
      </c>
      <c r="V37" s="266">
        <f t="shared" si="11"/>
        <v>13132</v>
      </c>
      <c r="W37" s="210">
        <f t="shared" si="11"/>
        <v>5507</v>
      </c>
      <c r="X37" s="261">
        <f t="shared" si="11"/>
        <v>0</v>
      </c>
      <c r="Y37" s="210">
        <f t="shared" si="11"/>
        <v>0</v>
      </c>
      <c r="Z37" s="210">
        <f t="shared" si="11"/>
        <v>60752</v>
      </c>
      <c r="AA37" s="210">
        <f t="shared" si="11"/>
        <v>43178</v>
      </c>
      <c r="AC37"/>
      <c r="AD37"/>
      <c r="AE37"/>
      <c r="AF37"/>
      <c r="AG37"/>
      <c r="AH37"/>
      <c r="AI37"/>
      <c r="AJ37"/>
      <c r="AK37"/>
      <c r="AL37"/>
      <c r="AM37">
        <v>0</v>
      </c>
      <c r="AN37"/>
    </row>
    <row r="38" spans="1:40" x14ac:dyDescent="0.25">
      <c r="A38" s="136" t="s">
        <v>70</v>
      </c>
      <c r="B38" s="137" t="s">
        <v>313</v>
      </c>
      <c r="C38" s="230">
        <v>674</v>
      </c>
      <c r="D38" s="230">
        <v>1115</v>
      </c>
      <c r="E38" s="230">
        <v>232</v>
      </c>
      <c r="F38" s="230">
        <v>24</v>
      </c>
      <c r="G38" s="230">
        <v>44</v>
      </c>
      <c r="H38" s="230">
        <v>0</v>
      </c>
      <c r="I38" s="230">
        <v>13</v>
      </c>
      <c r="J38" s="230">
        <v>75</v>
      </c>
      <c r="K38" s="230">
        <v>72</v>
      </c>
      <c r="L38" s="234">
        <f t="shared" ref="L38:L54" si="12">SUM(C38:K38)</f>
        <v>2249</v>
      </c>
      <c r="M38" s="280">
        <v>507</v>
      </c>
      <c r="N38" s="280">
        <v>1335</v>
      </c>
      <c r="O38" s="280">
        <v>293</v>
      </c>
      <c r="P38" s="280">
        <v>33</v>
      </c>
      <c r="Q38" s="280">
        <v>31</v>
      </c>
      <c r="R38" s="280">
        <v>18</v>
      </c>
      <c r="S38" s="280">
        <v>7</v>
      </c>
      <c r="T38" s="280">
        <v>4</v>
      </c>
      <c r="U38" s="280">
        <v>0</v>
      </c>
      <c r="V38" s="234">
        <f t="shared" ref="V38:V47" si="13">SUM(M38:U38)</f>
        <v>2228</v>
      </c>
      <c r="W38" s="211">
        <v>844</v>
      </c>
      <c r="X38" s="237">
        <v>0</v>
      </c>
      <c r="Y38" s="211">
        <v>0</v>
      </c>
      <c r="Z38" s="214">
        <f>L38+V38+W38+X38+Y38</f>
        <v>5321</v>
      </c>
      <c r="AA38" s="215">
        <f t="shared" ref="AA38:AA48" si="14">C38+D38+F38+K38+M38+N38+P38+U38</f>
        <v>3760</v>
      </c>
      <c r="AM38">
        <v>0</v>
      </c>
    </row>
    <row r="39" spans="1:40" x14ac:dyDescent="0.25">
      <c r="A39" s="136" t="s">
        <v>75</v>
      </c>
      <c r="B39" s="137" t="s">
        <v>336</v>
      </c>
      <c r="C39" s="230">
        <v>677</v>
      </c>
      <c r="D39" s="230">
        <v>902</v>
      </c>
      <c r="E39" s="230">
        <v>381</v>
      </c>
      <c r="F39" s="230">
        <v>37</v>
      </c>
      <c r="G39" s="230">
        <v>67</v>
      </c>
      <c r="H39" s="230">
        <v>0</v>
      </c>
      <c r="I39" s="230">
        <v>0</v>
      </c>
      <c r="J39" s="230">
        <v>143</v>
      </c>
      <c r="K39" s="230">
        <v>0</v>
      </c>
      <c r="L39" s="232">
        <f t="shared" si="12"/>
        <v>2207</v>
      </c>
      <c r="M39" s="230">
        <v>212</v>
      </c>
      <c r="N39" s="230">
        <v>1205</v>
      </c>
      <c r="O39" s="230">
        <v>122</v>
      </c>
      <c r="P39" s="230">
        <v>42</v>
      </c>
      <c r="Q39" s="230">
        <v>37</v>
      </c>
      <c r="R39" s="230">
        <v>34</v>
      </c>
      <c r="S39" s="230">
        <v>0</v>
      </c>
      <c r="T39" s="230">
        <v>114</v>
      </c>
      <c r="U39" s="230">
        <v>0</v>
      </c>
      <c r="V39" s="232">
        <f t="shared" si="13"/>
        <v>1766</v>
      </c>
      <c r="W39" s="204">
        <v>78</v>
      </c>
      <c r="X39" s="233"/>
      <c r="Y39" s="204"/>
      <c r="Z39" s="214">
        <f t="shared" ref="Z39:Z54" si="15">L39+V39+W39+X39+Y39</f>
        <v>4051</v>
      </c>
      <c r="AA39" s="215">
        <f t="shared" si="14"/>
        <v>3075</v>
      </c>
      <c r="AM39">
        <v>0</v>
      </c>
    </row>
    <row r="40" spans="1:40" x14ac:dyDescent="0.25">
      <c r="A40" s="136" t="s">
        <v>78</v>
      </c>
      <c r="B40" s="137" t="s">
        <v>314</v>
      </c>
      <c r="C40" s="230">
        <v>224</v>
      </c>
      <c r="D40" s="230">
        <v>483</v>
      </c>
      <c r="E40" s="230">
        <v>116</v>
      </c>
      <c r="F40" s="230">
        <v>14</v>
      </c>
      <c r="G40" s="230">
        <v>31</v>
      </c>
      <c r="H40" s="230">
        <v>0</v>
      </c>
      <c r="I40" s="230">
        <v>0</v>
      </c>
      <c r="J40" s="230">
        <v>93</v>
      </c>
      <c r="K40" s="230">
        <v>0</v>
      </c>
      <c r="L40" s="232">
        <f t="shared" si="12"/>
        <v>961</v>
      </c>
      <c r="M40" s="230">
        <v>328</v>
      </c>
      <c r="N40" s="230">
        <v>429</v>
      </c>
      <c r="O40" s="230">
        <v>226</v>
      </c>
      <c r="P40" s="230">
        <v>23</v>
      </c>
      <c r="Q40" s="230">
        <v>36</v>
      </c>
      <c r="R40" s="230">
        <v>12</v>
      </c>
      <c r="S40" s="230">
        <v>0</v>
      </c>
      <c r="T40" s="230">
        <v>5</v>
      </c>
      <c r="U40" s="230">
        <v>0</v>
      </c>
      <c r="V40" s="232">
        <f t="shared" si="13"/>
        <v>1059</v>
      </c>
      <c r="W40" s="204">
        <v>718</v>
      </c>
      <c r="X40" s="233"/>
      <c r="Y40" s="204"/>
      <c r="Z40" s="214">
        <f t="shared" si="15"/>
        <v>2738</v>
      </c>
      <c r="AA40" s="215">
        <f t="shared" si="14"/>
        <v>1501</v>
      </c>
      <c r="AM40">
        <v>0</v>
      </c>
    </row>
    <row r="41" spans="1:40" x14ac:dyDescent="0.25">
      <c r="A41" s="136" t="s">
        <v>88</v>
      </c>
      <c r="B41" s="137" t="s">
        <v>337</v>
      </c>
      <c r="C41" s="230">
        <v>1408</v>
      </c>
      <c r="D41" s="230">
        <v>669</v>
      </c>
      <c r="E41" s="230">
        <v>238</v>
      </c>
      <c r="F41" s="230">
        <v>23</v>
      </c>
      <c r="G41" s="230">
        <v>72</v>
      </c>
      <c r="H41" s="230">
        <v>2</v>
      </c>
      <c r="I41" s="230">
        <v>0</v>
      </c>
      <c r="J41" s="230">
        <v>41</v>
      </c>
      <c r="K41" s="230">
        <v>0</v>
      </c>
      <c r="L41" s="232">
        <f t="shared" si="12"/>
        <v>2453</v>
      </c>
      <c r="M41" s="230">
        <v>603</v>
      </c>
      <c r="N41" s="230">
        <v>282</v>
      </c>
      <c r="O41" s="230">
        <v>136</v>
      </c>
      <c r="P41" s="230">
        <v>10</v>
      </c>
      <c r="Q41" s="230">
        <v>18</v>
      </c>
      <c r="R41" s="230">
        <v>184</v>
      </c>
      <c r="S41" s="230">
        <v>0</v>
      </c>
      <c r="T41" s="230">
        <v>8</v>
      </c>
      <c r="U41" s="230">
        <v>0</v>
      </c>
      <c r="V41" s="232">
        <f t="shared" si="13"/>
        <v>1241</v>
      </c>
      <c r="W41" s="204">
        <v>755</v>
      </c>
      <c r="X41" s="233"/>
      <c r="Y41" s="204"/>
      <c r="Z41" s="214">
        <f t="shared" si="15"/>
        <v>4449</v>
      </c>
      <c r="AA41" s="215">
        <f t="shared" si="14"/>
        <v>2995</v>
      </c>
      <c r="AM41">
        <v>0</v>
      </c>
    </row>
    <row r="42" spans="1:40" x14ac:dyDescent="0.25">
      <c r="A42" s="136" t="s">
        <v>99</v>
      </c>
      <c r="B42" s="137" t="s">
        <v>338</v>
      </c>
      <c r="C42" s="230">
        <v>9546</v>
      </c>
      <c r="D42" s="230">
        <v>2081</v>
      </c>
      <c r="E42" s="230">
        <v>1600</v>
      </c>
      <c r="F42" s="230">
        <v>144</v>
      </c>
      <c r="G42" s="230">
        <v>138</v>
      </c>
      <c r="H42" s="230">
        <v>347</v>
      </c>
      <c r="I42" s="230">
        <v>448</v>
      </c>
      <c r="J42" s="230">
        <v>163</v>
      </c>
      <c r="K42" s="230">
        <v>0</v>
      </c>
      <c r="L42" s="232">
        <f t="shared" si="12"/>
        <v>14467</v>
      </c>
      <c r="M42" s="230">
        <v>557</v>
      </c>
      <c r="N42" s="230">
        <v>299</v>
      </c>
      <c r="O42" s="230">
        <v>548</v>
      </c>
      <c r="P42" s="230">
        <v>3</v>
      </c>
      <c r="Q42" s="230">
        <v>11</v>
      </c>
      <c r="R42" s="230">
        <v>456</v>
      </c>
      <c r="S42" s="230">
        <v>0</v>
      </c>
      <c r="T42" s="230">
        <v>2</v>
      </c>
      <c r="U42" s="230">
        <v>0</v>
      </c>
      <c r="V42" s="232">
        <f t="shared" si="13"/>
        <v>1876</v>
      </c>
      <c r="W42" s="204">
        <v>863</v>
      </c>
      <c r="X42" s="233"/>
      <c r="Y42" s="204"/>
      <c r="Z42" s="214">
        <f t="shared" si="15"/>
        <v>17206</v>
      </c>
      <c r="AA42" s="215">
        <f t="shared" si="14"/>
        <v>12630</v>
      </c>
      <c r="AM42">
        <v>0</v>
      </c>
    </row>
    <row r="43" spans="1:40" x14ac:dyDescent="0.25">
      <c r="A43" s="136" t="s">
        <v>113</v>
      </c>
      <c r="B43" s="137" t="s">
        <v>339</v>
      </c>
      <c r="C43" s="230">
        <v>911</v>
      </c>
      <c r="D43" s="230">
        <v>715</v>
      </c>
      <c r="E43" s="230">
        <v>321</v>
      </c>
      <c r="F43" s="230">
        <v>36</v>
      </c>
      <c r="G43" s="230">
        <v>48</v>
      </c>
      <c r="H43" s="230">
        <v>0</v>
      </c>
      <c r="I43" s="230">
        <v>0</v>
      </c>
      <c r="J43" s="230">
        <v>150</v>
      </c>
      <c r="K43" s="230">
        <v>0</v>
      </c>
      <c r="L43" s="232">
        <f t="shared" si="12"/>
        <v>2181</v>
      </c>
      <c r="M43" s="230">
        <v>1543</v>
      </c>
      <c r="N43" s="230">
        <v>2183</v>
      </c>
      <c r="O43" s="230">
        <v>890</v>
      </c>
      <c r="P43" s="230">
        <v>44</v>
      </c>
      <c r="Q43" s="230">
        <v>103</v>
      </c>
      <c r="R43" s="230">
        <v>87</v>
      </c>
      <c r="S43" s="230">
        <v>0</v>
      </c>
      <c r="T43" s="230">
        <v>0</v>
      </c>
      <c r="U43" s="230">
        <v>0</v>
      </c>
      <c r="V43" s="232">
        <f t="shared" si="13"/>
        <v>4850</v>
      </c>
      <c r="W43" s="204">
        <v>675</v>
      </c>
      <c r="X43" s="233"/>
      <c r="Y43" s="204"/>
      <c r="Z43" s="214">
        <f t="shared" si="15"/>
        <v>7706</v>
      </c>
      <c r="AA43" s="215">
        <f t="shared" si="14"/>
        <v>5432</v>
      </c>
      <c r="AM43">
        <v>0</v>
      </c>
    </row>
    <row r="44" spans="1:40" ht="26.4" x14ac:dyDescent="0.25">
      <c r="A44" s="136" t="s">
        <v>116</v>
      </c>
      <c r="B44" s="137" t="s">
        <v>316</v>
      </c>
      <c r="C44" s="230">
        <v>1787</v>
      </c>
      <c r="D44" s="230">
        <v>1560</v>
      </c>
      <c r="E44" s="230">
        <v>726</v>
      </c>
      <c r="F44" s="230">
        <v>26</v>
      </c>
      <c r="G44" s="230">
        <v>197</v>
      </c>
      <c r="H44" s="230">
        <v>0</v>
      </c>
      <c r="I44" s="230">
        <v>0</v>
      </c>
      <c r="J44" s="230">
        <v>99</v>
      </c>
      <c r="K44" s="230">
        <v>59</v>
      </c>
      <c r="L44" s="232">
        <f t="shared" si="12"/>
        <v>4454</v>
      </c>
      <c r="M44" s="230">
        <v>191</v>
      </c>
      <c r="N44" s="230">
        <v>130</v>
      </c>
      <c r="O44" s="230">
        <v>159</v>
      </c>
      <c r="P44" s="230">
        <v>0</v>
      </c>
      <c r="Q44" s="230">
        <v>2</v>
      </c>
      <c r="R44" s="230">
        <v>0</v>
      </c>
      <c r="S44" s="230">
        <v>0</v>
      </c>
      <c r="T44" s="230">
        <v>10</v>
      </c>
      <c r="U44" s="230">
        <v>26</v>
      </c>
      <c r="V44" s="232">
        <f t="shared" si="13"/>
        <v>518</v>
      </c>
      <c r="W44" s="204">
        <v>554</v>
      </c>
      <c r="X44" s="233"/>
      <c r="Y44" s="204"/>
      <c r="Z44" s="214">
        <f t="shared" si="15"/>
        <v>5526</v>
      </c>
      <c r="AA44" s="215">
        <f t="shared" si="14"/>
        <v>3779</v>
      </c>
      <c r="AM44">
        <v>0</v>
      </c>
    </row>
    <row r="45" spans="1:40" x14ac:dyDescent="0.25">
      <c r="A45" s="137" t="s">
        <v>117</v>
      </c>
      <c r="B45" s="418" t="s">
        <v>317</v>
      </c>
      <c r="C45" s="230">
        <v>978</v>
      </c>
      <c r="D45" s="230">
        <v>1430</v>
      </c>
      <c r="E45" s="230">
        <v>616</v>
      </c>
      <c r="F45" s="230">
        <v>44</v>
      </c>
      <c r="G45" s="230">
        <v>87</v>
      </c>
      <c r="H45" s="230">
        <v>1</v>
      </c>
      <c r="I45" s="230">
        <v>0</v>
      </c>
      <c r="J45" s="230">
        <v>236</v>
      </c>
      <c r="K45" s="230">
        <v>0</v>
      </c>
      <c r="L45" s="232">
        <f t="shared" si="12"/>
        <v>3392</v>
      </c>
      <c r="M45" s="230">
        <v>324</v>
      </c>
      <c r="N45" s="230">
        <v>1346</v>
      </c>
      <c r="O45" s="230">
        <v>214</v>
      </c>
      <c r="P45" s="230">
        <v>9</v>
      </c>
      <c r="Q45" s="230">
        <v>58</v>
      </c>
      <c r="R45" s="230">
        <v>83</v>
      </c>
      <c r="S45" s="230">
        <v>100</v>
      </c>
      <c r="T45" s="230">
        <v>0</v>
      </c>
      <c r="U45" s="425"/>
      <c r="V45" s="232">
        <f t="shared" si="13"/>
        <v>2134</v>
      </c>
      <c r="W45" s="204">
        <v>620</v>
      </c>
      <c r="X45" s="233"/>
      <c r="Y45" s="204"/>
      <c r="Z45" s="214">
        <f t="shared" si="15"/>
        <v>6146</v>
      </c>
      <c r="AA45" s="215">
        <f t="shared" si="14"/>
        <v>4131</v>
      </c>
      <c r="AM45">
        <v>0</v>
      </c>
    </row>
    <row r="46" spans="1:40" x14ac:dyDescent="0.25">
      <c r="A46" s="137" t="s">
        <v>118</v>
      </c>
      <c r="B46" s="418" t="s">
        <v>340</v>
      </c>
      <c r="C46" s="230">
        <v>238</v>
      </c>
      <c r="D46" s="230">
        <v>463</v>
      </c>
      <c r="E46" s="230">
        <v>44</v>
      </c>
      <c r="F46" s="230">
        <v>27</v>
      </c>
      <c r="G46" s="230">
        <v>16</v>
      </c>
      <c r="H46" s="230">
        <v>0</v>
      </c>
      <c r="I46" s="230">
        <v>0</v>
      </c>
      <c r="J46" s="230">
        <v>94</v>
      </c>
      <c r="K46" s="230">
        <v>0</v>
      </c>
      <c r="L46" s="232">
        <f t="shared" si="12"/>
        <v>882</v>
      </c>
      <c r="M46" s="230">
        <v>138</v>
      </c>
      <c r="N46" s="230">
        <v>121</v>
      </c>
      <c r="O46" s="230">
        <v>29</v>
      </c>
      <c r="P46" s="230">
        <v>2</v>
      </c>
      <c r="Q46" s="230">
        <v>4</v>
      </c>
      <c r="R46" s="230">
        <v>48</v>
      </c>
      <c r="S46" s="230">
        <v>0</v>
      </c>
      <c r="T46" s="230">
        <v>0</v>
      </c>
      <c r="U46" s="425"/>
      <c r="V46" s="232">
        <f t="shared" si="13"/>
        <v>342</v>
      </c>
      <c r="W46" s="204">
        <v>222</v>
      </c>
      <c r="X46" s="233">
        <v>63</v>
      </c>
      <c r="Y46" s="204">
        <v>5</v>
      </c>
      <c r="Z46" s="214">
        <f t="shared" si="15"/>
        <v>1514</v>
      </c>
      <c r="AA46" s="215">
        <f t="shared" si="14"/>
        <v>989</v>
      </c>
      <c r="AM46">
        <v>0</v>
      </c>
    </row>
    <row r="47" spans="1:40" x14ac:dyDescent="0.25">
      <c r="A47" s="137" t="s">
        <v>122</v>
      </c>
      <c r="B47" s="418" t="s">
        <v>341</v>
      </c>
      <c r="C47" s="230">
        <v>856</v>
      </c>
      <c r="D47" s="230">
        <v>1111</v>
      </c>
      <c r="E47" s="230">
        <v>341</v>
      </c>
      <c r="F47" s="230">
        <v>38</v>
      </c>
      <c r="G47" s="230">
        <v>79</v>
      </c>
      <c r="H47" s="230">
        <v>0</v>
      </c>
      <c r="I47" s="230">
        <v>42</v>
      </c>
      <c r="J47" s="230">
        <v>494</v>
      </c>
      <c r="K47" s="230">
        <v>0</v>
      </c>
      <c r="L47" s="232">
        <f t="shared" si="12"/>
        <v>2961</v>
      </c>
      <c r="M47" s="230">
        <v>1653</v>
      </c>
      <c r="N47" s="230">
        <v>2095</v>
      </c>
      <c r="O47" s="230">
        <v>821</v>
      </c>
      <c r="P47" s="230">
        <v>48</v>
      </c>
      <c r="Q47" s="230">
        <v>67</v>
      </c>
      <c r="R47" s="230">
        <v>270</v>
      </c>
      <c r="S47" s="230">
        <v>0</v>
      </c>
      <c r="T47" s="230">
        <v>8</v>
      </c>
      <c r="U47" s="425"/>
      <c r="V47" s="232">
        <f t="shared" si="13"/>
        <v>4962</v>
      </c>
      <c r="W47" s="204">
        <v>1136</v>
      </c>
      <c r="X47" s="233"/>
      <c r="Y47" s="204"/>
      <c r="Z47" s="214">
        <f t="shared" si="15"/>
        <v>9059</v>
      </c>
      <c r="AA47" s="215">
        <f t="shared" si="14"/>
        <v>5801</v>
      </c>
      <c r="AM47">
        <v>0</v>
      </c>
    </row>
    <row r="48" spans="1:40" ht="17.25" customHeight="1" x14ac:dyDescent="0.25">
      <c r="A48" s="137" t="s">
        <v>140</v>
      </c>
      <c r="B48" s="418" t="s">
        <v>265</v>
      </c>
      <c r="C48" s="182"/>
      <c r="D48" s="128"/>
      <c r="E48" s="128"/>
      <c r="F48" s="128"/>
      <c r="G48" s="128"/>
      <c r="H48" s="128"/>
      <c r="I48" s="128"/>
      <c r="J48" s="128"/>
      <c r="K48" s="423"/>
      <c r="L48" s="229">
        <f t="shared" si="12"/>
        <v>0</v>
      </c>
      <c r="M48" s="257"/>
      <c r="N48" s="147"/>
      <c r="O48" s="147"/>
      <c r="P48" s="147"/>
      <c r="Q48" s="147"/>
      <c r="R48" s="147"/>
      <c r="S48" s="147"/>
      <c r="T48" s="147"/>
      <c r="U48" s="425"/>
      <c r="V48" s="232"/>
      <c r="W48" s="205"/>
      <c r="X48" s="233">
        <f>2363+1926</f>
        <v>4289</v>
      </c>
      <c r="Y48" s="204">
        <f>567+288</f>
        <v>855</v>
      </c>
      <c r="Z48" s="214">
        <f t="shared" si="15"/>
        <v>5144</v>
      </c>
      <c r="AA48" s="215">
        <f t="shared" si="14"/>
        <v>0</v>
      </c>
      <c r="AM48">
        <v>0</v>
      </c>
    </row>
    <row r="49" spans="1:40" x14ac:dyDescent="0.25">
      <c r="A49" s="137" t="s">
        <v>141</v>
      </c>
      <c r="B49" s="418" t="s">
        <v>342</v>
      </c>
      <c r="C49" s="230">
        <v>670</v>
      </c>
      <c r="D49" s="230">
        <v>455</v>
      </c>
      <c r="E49" s="230">
        <v>142</v>
      </c>
      <c r="F49" s="230">
        <v>30</v>
      </c>
      <c r="G49" s="230">
        <v>38</v>
      </c>
      <c r="H49" s="230">
        <v>0</v>
      </c>
      <c r="I49" s="230">
        <v>0</v>
      </c>
      <c r="J49" s="230">
        <v>61</v>
      </c>
      <c r="K49" s="230">
        <v>0</v>
      </c>
      <c r="L49" s="232">
        <f t="shared" si="12"/>
        <v>1396</v>
      </c>
      <c r="M49" s="230">
        <v>407</v>
      </c>
      <c r="N49" s="230">
        <v>662</v>
      </c>
      <c r="O49" s="230">
        <v>280</v>
      </c>
      <c r="P49" s="230">
        <v>8</v>
      </c>
      <c r="Q49" s="230">
        <v>24</v>
      </c>
      <c r="R49" s="230">
        <v>43</v>
      </c>
      <c r="S49" s="230">
        <v>0</v>
      </c>
      <c r="T49" s="230">
        <v>78</v>
      </c>
      <c r="U49" s="425"/>
      <c r="V49" s="232">
        <f t="shared" ref="V49:V54" si="16">SUM(M49:U49)</f>
        <v>1502</v>
      </c>
      <c r="W49" s="204">
        <v>634</v>
      </c>
      <c r="X49" s="233"/>
      <c r="Y49" s="204"/>
      <c r="Z49" s="214">
        <f t="shared" si="15"/>
        <v>3532</v>
      </c>
      <c r="AA49" s="215">
        <f t="shared" ref="AA49:AA54" si="17">C49+D49+F49+K49+M49+N49+P49+U49</f>
        <v>2232</v>
      </c>
      <c r="AM49">
        <v>0</v>
      </c>
    </row>
    <row r="50" spans="1:40" x14ac:dyDescent="0.25">
      <c r="A50" s="137" t="s">
        <v>142</v>
      </c>
      <c r="B50" s="418" t="s">
        <v>343</v>
      </c>
      <c r="C50" s="230">
        <v>0</v>
      </c>
      <c r="D50" s="230">
        <v>0</v>
      </c>
      <c r="E50" s="230">
        <v>435</v>
      </c>
      <c r="F50" s="230">
        <v>0</v>
      </c>
      <c r="G50" s="230">
        <v>0</v>
      </c>
      <c r="H50" s="230">
        <v>0</v>
      </c>
      <c r="I50" s="230">
        <v>0</v>
      </c>
      <c r="J50" s="230">
        <v>6738</v>
      </c>
      <c r="K50" s="230">
        <v>0</v>
      </c>
      <c r="L50" s="232">
        <f t="shared" si="12"/>
        <v>7173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425"/>
      <c r="V50" s="232">
        <f t="shared" si="16"/>
        <v>0</v>
      </c>
      <c r="W50" s="204">
        <f>320+309</f>
        <v>629</v>
      </c>
      <c r="X50" s="233"/>
      <c r="Y50" s="204"/>
      <c r="Z50" s="214">
        <f t="shared" si="15"/>
        <v>7802</v>
      </c>
      <c r="AA50" s="215">
        <f t="shared" si="17"/>
        <v>0</v>
      </c>
      <c r="AM50">
        <v>0</v>
      </c>
    </row>
    <row r="51" spans="1:40" x14ac:dyDescent="0.25">
      <c r="A51" s="137" t="s">
        <v>147</v>
      </c>
      <c r="B51" s="418" t="s">
        <v>322</v>
      </c>
      <c r="C51" s="230">
        <v>4228</v>
      </c>
      <c r="D51" s="230">
        <v>2250</v>
      </c>
      <c r="E51" s="230">
        <v>911</v>
      </c>
      <c r="F51" s="230">
        <v>47</v>
      </c>
      <c r="G51" s="230">
        <v>70</v>
      </c>
      <c r="H51" s="230">
        <v>0</v>
      </c>
      <c r="I51" s="230">
        <v>78</v>
      </c>
      <c r="J51" s="230">
        <v>854</v>
      </c>
      <c r="K51" s="230">
        <v>0</v>
      </c>
      <c r="L51" s="232">
        <f t="shared" si="12"/>
        <v>8438</v>
      </c>
      <c r="M51" s="230">
        <v>738</v>
      </c>
      <c r="N51" s="230">
        <v>2185</v>
      </c>
      <c r="O51" s="230">
        <v>487</v>
      </c>
      <c r="P51" s="230">
        <v>36</v>
      </c>
      <c r="Q51" s="230">
        <v>104</v>
      </c>
      <c r="R51" s="230">
        <v>146</v>
      </c>
      <c r="S51" s="230">
        <v>0</v>
      </c>
      <c r="T51" s="230">
        <v>4</v>
      </c>
      <c r="U51" s="425"/>
      <c r="V51" s="232">
        <f t="shared" si="16"/>
        <v>3700</v>
      </c>
      <c r="W51" s="204">
        <v>1456</v>
      </c>
      <c r="X51" s="233"/>
      <c r="Y51" s="204"/>
      <c r="Z51" s="214">
        <f t="shared" si="15"/>
        <v>13594</v>
      </c>
      <c r="AA51" s="215">
        <f t="shared" si="17"/>
        <v>9484</v>
      </c>
      <c r="AM51">
        <v>0</v>
      </c>
    </row>
    <row r="52" spans="1:40" x14ac:dyDescent="0.25">
      <c r="A52" s="370" t="s">
        <v>365</v>
      </c>
      <c r="B52" s="420" t="s">
        <v>366</v>
      </c>
      <c r="C52" s="182"/>
      <c r="D52" s="128"/>
      <c r="E52" s="128"/>
      <c r="F52" s="128"/>
      <c r="G52" s="128"/>
      <c r="H52" s="128"/>
      <c r="I52" s="128"/>
      <c r="J52" s="128">
        <v>2042</v>
      </c>
      <c r="K52" s="423"/>
      <c r="L52" s="229">
        <f t="shared" si="12"/>
        <v>2042</v>
      </c>
      <c r="M52" s="257"/>
      <c r="N52" s="147"/>
      <c r="O52" s="147"/>
      <c r="P52" s="147"/>
      <c r="Q52" s="147"/>
      <c r="R52" s="147"/>
      <c r="S52" s="147"/>
      <c r="T52" s="147"/>
      <c r="U52" s="425"/>
      <c r="V52" s="232">
        <f t="shared" si="16"/>
        <v>0</v>
      </c>
      <c r="W52" s="205"/>
      <c r="X52" s="233"/>
      <c r="Y52" s="204"/>
      <c r="Z52" s="214">
        <f t="shared" si="15"/>
        <v>2042</v>
      </c>
      <c r="AA52" s="215">
        <f t="shared" si="17"/>
        <v>0</v>
      </c>
      <c r="AM52">
        <v>0</v>
      </c>
    </row>
    <row r="53" spans="1:40" x14ac:dyDescent="0.25">
      <c r="A53" s="137" t="s">
        <v>174</v>
      </c>
      <c r="B53" s="420" t="s">
        <v>344</v>
      </c>
      <c r="C53" s="230">
        <v>3204</v>
      </c>
      <c r="D53" s="230">
        <v>1985</v>
      </c>
      <c r="E53" s="230">
        <v>718</v>
      </c>
      <c r="F53" s="230">
        <v>70</v>
      </c>
      <c r="G53" s="230">
        <v>73</v>
      </c>
      <c r="H53" s="230">
        <v>0</v>
      </c>
      <c r="I53" s="230">
        <v>249</v>
      </c>
      <c r="J53" s="230">
        <v>221</v>
      </c>
      <c r="K53" s="230">
        <v>0</v>
      </c>
      <c r="L53" s="232">
        <f t="shared" si="12"/>
        <v>6520</v>
      </c>
      <c r="M53" s="230">
        <v>601</v>
      </c>
      <c r="N53" s="230">
        <v>846</v>
      </c>
      <c r="O53" s="230">
        <v>297</v>
      </c>
      <c r="P53" s="230">
        <v>12</v>
      </c>
      <c r="Q53" s="230">
        <v>29</v>
      </c>
      <c r="R53" s="230">
        <v>41</v>
      </c>
      <c r="S53" s="230">
        <v>0</v>
      </c>
      <c r="T53" s="230">
        <v>0</v>
      </c>
      <c r="U53" s="425"/>
      <c r="V53" s="232">
        <f t="shared" si="16"/>
        <v>1826</v>
      </c>
      <c r="W53" s="204">
        <v>919</v>
      </c>
      <c r="X53" s="233"/>
      <c r="Y53" s="204"/>
      <c r="Z53" s="214">
        <f t="shared" si="15"/>
        <v>9265</v>
      </c>
      <c r="AA53" s="215">
        <f t="shared" si="17"/>
        <v>6718</v>
      </c>
      <c r="AM53">
        <v>0</v>
      </c>
    </row>
    <row r="54" spans="1:40" ht="13.8" thickBot="1" x14ac:dyDescent="0.3">
      <c r="A54" s="136" t="s">
        <v>186</v>
      </c>
      <c r="B54" s="420" t="s">
        <v>345</v>
      </c>
      <c r="C54" s="230">
        <v>136</v>
      </c>
      <c r="D54" s="230">
        <v>248</v>
      </c>
      <c r="E54" s="230">
        <v>29</v>
      </c>
      <c r="F54" s="230">
        <v>17</v>
      </c>
      <c r="G54" s="230">
        <v>13</v>
      </c>
      <c r="H54" s="230">
        <v>9</v>
      </c>
      <c r="I54" s="230">
        <v>0</v>
      </c>
      <c r="J54" s="230">
        <v>67</v>
      </c>
      <c r="K54" s="230">
        <v>0</v>
      </c>
      <c r="L54" s="239">
        <f t="shared" si="12"/>
        <v>519</v>
      </c>
      <c r="M54" s="265">
        <v>316</v>
      </c>
      <c r="N54" s="265">
        <v>1257</v>
      </c>
      <c r="O54" s="265">
        <v>179</v>
      </c>
      <c r="P54" s="265">
        <v>21</v>
      </c>
      <c r="Q54" s="265">
        <v>82</v>
      </c>
      <c r="R54" s="265">
        <v>28</v>
      </c>
      <c r="S54" s="265">
        <v>0</v>
      </c>
      <c r="T54" s="265">
        <v>4</v>
      </c>
      <c r="U54" s="426"/>
      <c r="V54" s="239">
        <f t="shared" si="16"/>
        <v>1887</v>
      </c>
      <c r="W54" s="209">
        <v>250</v>
      </c>
      <c r="X54" s="235"/>
      <c r="Y54" s="209"/>
      <c r="Z54" s="214">
        <f t="shared" si="15"/>
        <v>2656</v>
      </c>
      <c r="AA54" s="217">
        <f t="shared" si="17"/>
        <v>1995</v>
      </c>
      <c r="AM54">
        <v>0</v>
      </c>
    </row>
    <row r="55" spans="1:40" s="109" customFormat="1" ht="14.4" thickBot="1" x14ac:dyDescent="0.3">
      <c r="A55" s="134"/>
      <c r="B55" s="159" t="s">
        <v>459</v>
      </c>
      <c r="C55" s="322">
        <f t="shared" ref="C55:AA55" si="18">SUM(C38:C54)</f>
        <v>25537</v>
      </c>
      <c r="D55" s="323">
        <f t="shared" si="18"/>
        <v>15467</v>
      </c>
      <c r="E55" s="323">
        <f t="shared" si="18"/>
        <v>6850</v>
      </c>
      <c r="F55" s="509">
        <f t="shared" si="18"/>
        <v>577</v>
      </c>
      <c r="G55" s="509">
        <f t="shared" si="18"/>
        <v>973</v>
      </c>
      <c r="H55" s="323">
        <f t="shared" si="18"/>
        <v>359</v>
      </c>
      <c r="I55" s="323">
        <f t="shared" si="18"/>
        <v>830</v>
      </c>
      <c r="J55" s="323">
        <f t="shared" si="18"/>
        <v>11571</v>
      </c>
      <c r="K55" s="437">
        <f t="shared" si="18"/>
        <v>131</v>
      </c>
      <c r="L55" s="266">
        <f t="shared" si="18"/>
        <v>62295</v>
      </c>
      <c r="M55" s="262">
        <f t="shared" si="18"/>
        <v>8118</v>
      </c>
      <c r="N55" s="158">
        <f t="shared" si="18"/>
        <v>14375</v>
      </c>
      <c r="O55" s="158">
        <f t="shared" si="18"/>
        <v>4681</v>
      </c>
      <c r="P55" s="158">
        <f t="shared" si="18"/>
        <v>291</v>
      </c>
      <c r="Q55" s="158">
        <f t="shared" si="18"/>
        <v>606</v>
      </c>
      <c r="R55" s="158">
        <f t="shared" si="18"/>
        <v>1450</v>
      </c>
      <c r="S55" s="158">
        <f t="shared" si="18"/>
        <v>107</v>
      </c>
      <c r="T55" s="264">
        <f t="shared" si="18"/>
        <v>237</v>
      </c>
      <c r="U55" s="401">
        <f t="shared" si="18"/>
        <v>26</v>
      </c>
      <c r="V55" s="266">
        <f t="shared" si="18"/>
        <v>29891</v>
      </c>
      <c r="W55" s="210">
        <f t="shared" si="18"/>
        <v>10353</v>
      </c>
      <c r="X55" s="261">
        <f t="shared" si="18"/>
        <v>4352</v>
      </c>
      <c r="Y55" s="210">
        <f t="shared" si="18"/>
        <v>860</v>
      </c>
      <c r="Z55" s="210">
        <f t="shared" si="18"/>
        <v>107751</v>
      </c>
      <c r="AA55" s="210">
        <f t="shared" si="18"/>
        <v>64522</v>
      </c>
      <c r="AB55" s="366"/>
      <c r="AC55"/>
      <c r="AD55"/>
      <c r="AE55"/>
      <c r="AF55"/>
      <c r="AG55"/>
      <c r="AH55"/>
      <c r="AI55"/>
      <c r="AJ55"/>
      <c r="AK55"/>
      <c r="AL55"/>
      <c r="AM55">
        <v>0</v>
      </c>
      <c r="AN55"/>
    </row>
    <row r="56" spans="1:40" x14ac:dyDescent="0.25">
      <c r="A56" s="136" t="s">
        <v>71</v>
      </c>
      <c r="B56" s="137" t="s">
        <v>305</v>
      </c>
      <c r="C56" s="230">
        <v>8</v>
      </c>
      <c r="D56" s="230">
        <f>6+2</f>
        <v>8</v>
      </c>
      <c r="E56" s="230">
        <f>6+3</f>
        <v>9</v>
      </c>
      <c r="F56" s="230">
        <v>0</v>
      </c>
      <c r="G56" s="230">
        <v>0</v>
      </c>
      <c r="H56" s="230">
        <v>0</v>
      </c>
      <c r="I56" s="230">
        <v>0</v>
      </c>
      <c r="J56" s="230">
        <v>1853</v>
      </c>
      <c r="K56" s="230">
        <v>0</v>
      </c>
      <c r="L56" s="234">
        <f t="shared" ref="L56:L71" si="19">SUM(C56:K56)</f>
        <v>1878</v>
      </c>
      <c r="M56" s="280">
        <v>0</v>
      </c>
      <c r="N56" s="280">
        <v>0</v>
      </c>
      <c r="O56" s="280">
        <v>0</v>
      </c>
      <c r="P56" s="280">
        <v>0</v>
      </c>
      <c r="Q56" s="280">
        <v>0</v>
      </c>
      <c r="R56" s="280">
        <v>0</v>
      </c>
      <c r="S56" s="280">
        <v>0</v>
      </c>
      <c r="T56" s="280">
        <v>0</v>
      </c>
      <c r="U56" s="280"/>
      <c r="V56" s="234">
        <f t="shared" ref="V56:V65" si="20">SUM(M56:U56)</f>
        <v>0</v>
      </c>
      <c r="W56" s="211">
        <f>13698+2593+6745</f>
        <v>23036</v>
      </c>
      <c r="X56" s="237"/>
      <c r="Y56" s="211"/>
      <c r="Z56" s="214">
        <f>L56+V56+W56+X56+Y56</f>
        <v>24914</v>
      </c>
      <c r="AA56" s="215">
        <f t="shared" ref="AA56:AA71" si="21">C56+D56+F56+K56+M56+N56+P56+U56</f>
        <v>16</v>
      </c>
      <c r="AB56" s="367"/>
      <c r="AM56">
        <v>0</v>
      </c>
    </row>
    <row r="57" spans="1:40" x14ac:dyDescent="0.25">
      <c r="A57" s="136" t="s">
        <v>77</v>
      </c>
      <c r="B57" s="137" t="s">
        <v>306</v>
      </c>
      <c r="C57" s="230">
        <v>3433</v>
      </c>
      <c r="D57" s="230">
        <v>2588</v>
      </c>
      <c r="E57" s="230">
        <v>1572</v>
      </c>
      <c r="F57" s="230">
        <v>141</v>
      </c>
      <c r="G57" s="230">
        <v>100</v>
      </c>
      <c r="H57" s="230">
        <v>20</v>
      </c>
      <c r="I57" s="230">
        <v>31</v>
      </c>
      <c r="J57" s="230">
        <v>407</v>
      </c>
      <c r="K57" s="230">
        <v>0</v>
      </c>
      <c r="L57" s="234">
        <f t="shared" si="19"/>
        <v>8292</v>
      </c>
      <c r="M57" s="230">
        <v>489</v>
      </c>
      <c r="N57" s="230">
        <v>1249</v>
      </c>
      <c r="O57" s="230">
        <v>658</v>
      </c>
      <c r="P57" s="230">
        <v>26</v>
      </c>
      <c r="Q57" s="230">
        <v>32</v>
      </c>
      <c r="R57" s="230">
        <v>162</v>
      </c>
      <c r="S57" s="230">
        <v>0</v>
      </c>
      <c r="T57" s="230">
        <v>52</v>
      </c>
      <c r="U57" s="230"/>
      <c r="V57" s="232">
        <f t="shared" si="20"/>
        <v>2668</v>
      </c>
      <c r="W57" s="204">
        <v>707</v>
      </c>
      <c r="X57" s="233"/>
      <c r="Y57" s="204"/>
      <c r="Z57" s="214">
        <f t="shared" ref="Z57:Z71" si="22">L57+V57+W57+X57+Y57</f>
        <v>11667</v>
      </c>
      <c r="AA57" s="215">
        <f t="shared" si="21"/>
        <v>7926</v>
      </c>
      <c r="AB57" s="368"/>
      <c r="AM57">
        <v>0</v>
      </c>
    </row>
    <row r="58" spans="1:40" x14ac:dyDescent="0.25">
      <c r="A58" s="136" t="s">
        <v>102</v>
      </c>
      <c r="B58" s="137" t="s">
        <v>315</v>
      </c>
      <c r="C58" s="230"/>
      <c r="D58" s="230"/>
      <c r="E58" s="230"/>
      <c r="F58" s="230"/>
      <c r="G58" s="230"/>
      <c r="H58" s="230"/>
      <c r="I58" s="230"/>
      <c r="J58" s="230"/>
      <c r="K58" s="230"/>
      <c r="L58" s="234">
        <f t="shared" si="19"/>
        <v>0</v>
      </c>
      <c r="M58" s="230"/>
      <c r="N58" s="230"/>
      <c r="O58" s="230"/>
      <c r="P58" s="230"/>
      <c r="Q58" s="230"/>
      <c r="R58" s="230"/>
      <c r="S58" s="230"/>
      <c r="T58" s="230"/>
      <c r="U58" s="230"/>
      <c r="V58" s="232">
        <f>SUM(M58:U58)</f>
        <v>0</v>
      </c>
      <c r="W58" s="205"/>
      <c r="X58" s="233"/>
      <c r="Y58" s="204"/>
      <c r="Z58" s="214">
        <f t="shared" si="22"/>
        <v>0</v>
      </c>
      <c r="AA58" s="215">
        <f t="shared" si="21"/>
        <v>0</v>
      </c>
      <c r="AB58" s="368"/>
      <c r="AL58">
        <v>0</v>
      </c>
      <c r="AM58">
        <v>0</v>
      </c>
    </row>
    <row r="59" spans="1:40" x14ac:dyDescent="0.25">
      <c r="A59" s="137" t="s">
        <v>103</v>
      </c>
      <c r="B59" s="418" t="s">
        <v>297</v>
      </c>
      <c r="C59" s="230">
        <v>322</v>
      </c>
      <c r="D59" s="230">
        <v>103</v>
      </c>
      <c r="E59" s="230">
        <v>219</v>
      </c>
      <c r="F59" s="230">
        <v>3</v>
      </c>
      <c r="G59" s="230">
        <v>6</v>
      </c>
      <c r="H59" s="230">
        <v>0</v>
      </c>
      <c r="I59" s="230">
        <v>0</v>
      </c>
      <c r="J59" s="230">
        <v>43</v>
      </c>
      <c r="K59" s="230">
        <v>0</v>
      </c>
      <c r="L59" s="234">
        <f t="shared" si="19"/>
        <v>696</v>
      </c>
      <c r="M59" s="230">
        <v>46</v>
      </c>
      <c r="N59" s="230">
        <v>23</v>
      </c>
      <c r="O59" s="230">
        <v>22</v>
      </c>
      <c r="P59" s="230">
        <v>0</v>
      </c>
      <c r="Q59" s="230">
        <v>6</v>
      </c>
      <c r="R59" s="230">
        <v>0</v>
      </c>
      <c r="S59" s="230">
        <v>0</v>
      </c>
      <c r="T59" s="230">
        <v>0</v>
      </c>
      <c r="U59" s="230"/>
      <c r="V59" s="232">
        <f>SUM(M59:U59)</f>
        <v>97</v>
      </c>
      <c r="W59" s="204">
        <v>500</v>
      </c>
      <c r="X59" s="233"/>
      <c r="Y59" s="204"/>
      <c r="Z59" s="214">
        <f t="shared" si="22"/>
        <v>1293</v>
      </c>
      <c r="AA59" s="215">
        <f t="shared" si="21"/>
        <v>497</v>
      </c>
      <c r="AB59" s="368"/>
      <c r="AL59">
        <v>0</v>
      </c>
      <c r="AM59">
        <v>0</v>
      </c>
    </row>
    <row r="60" spans="1:40" x14ac:dyDescent="0.25">
      <c r="A60" s="136" t="s">
        <v>112</v>
      </c>
      <c r="B60" s="137" t="s">
        <v>307</v>
      </c>
      <c r="C60" s="230">
        <v>883</v>
      </c>
      <c r="D60" s="230">
        <v>700</v>
      </c>
      <c r="E60" s="230">
        <v>299</v>
      </c>
      <c r="F60" s="230">
        <v>18</v>
      </c>
      <c r="G60" s="230">
        <v>40</v>
      </c>
      <c r="H60" s="230">
        <v>0</v>
      </c>
      <c r="I60" s="230">
        <v>48</v>
      </c>
      <c r="J60" s="230">
        <v>151</v>
      </c>
      <c r="K60" s="230">
        <v>0</v>
      </c>
      <c r="L60" s="234">
        <f t="shared" si="19"/>
        <v>2139</v>
      </c>
      <c r="M60" s="230">
        <v>821</v>
      </c>
      <c r="N60" s="230">
        <v>1905</v>
      </c>
      <c r="O60" s="230">
        <v>192</v>
      </c>
      <c r="P60" s="230">
        <v>58</v>
      </c>
      <c r="Q60" s="230">
        <v>46</v>
      </c>
      <c r="R60" s="230">
        <v>0</v>
      </c>
      <c r="S60" s="230">
        <v>0</v>
      </c>
      <c r="T60" s="230">
        <v>0</v>
      </c>
      <c r="U60" s="230"/>
      <c r="V60" s="232">
        <f t="shared" si="20"/>
        <v>3022</v>
      </c>
      <c r="W60" s="204">
        <v>508</v>
      </c>
      <c r="X60" s="233"/>
      <c r="Y60" s="204"/>
      <c r="Z60" s="214">
        <f t="shared" si="22"/>
        <v>5669</v>
      </c>
      <c r="AA60" s="215">
        <f t="shared" si="21"/>
        <v>4385</v>
      </c>
      <c r="AB60" s="368"/>
      <c r="AL60">
        <v>0</v>
      </c>
      <c r="AM60">
        <v>0</v>
      </c>
    </row>
    <row r="61" spans="1:40" x14ac:dyDescent="0.25">
      <c r="A61" s="136" t="s">
        <v>120</v>
      </c>
      <c r="B61" s="137" t="s">
        <v>318</v>
      </c>
      <c r="C61" s="230">
        <v>3015</v>
      </c>
      <c r="D61" s="230">
        <v>1323</v>
      </c>
      <c r="E61" s="230">
        <v>536</v>
      </c>
      <c r="F61" s="230">
        <v>35</v>
      </c>
      <c r="G61" s="230">
        <v>120</v>
      </c>
      <c r="H61" s="230">
        <v>16</v>
      </c>
      <c r="I61" s="230">
        <v>0</v>
      </c>
      <c r="J61" s="230">
        <v>595</v>
      </c>
      <c r="K61" s="230">
        <v>264</v>
      </c>
      <c r="L61" s="234">
        <f t="shared" si="19"/>
        <v>5904</v>
      </c>
      <c r="M61" s="230">
        <v>1329</v>
      </c>
      <c r="N61" s="230">
        <v>1337</v>
      </c>
      <c r="O61" s="230">
        <v>936</v>
      </c>
      <c r="P61" s="230">
        <v>30</v>
      </c>
      <c r="Q61" s="230">
        <v>44</v>
      </c>
      <c r="R61" s="230">
        <v>339</v>
      </c>
      <c r="S61" s="230">
        <v>0</v>
      </c>
      <c r="T61" s="230">
        <v>62</v>
      </c>
      <c r="U61" s="230"/>
      <c r="V61" s="232">
        <f>SUM(M61:U61)</f>
        <v>4077</v>
      </c>
      <c r="W61" s="204">
        <v>303</v>
      </c>
      <c r="X61" s="233"/>
      <c r="Y61" s="204"/>
      <c r="Z61" s="214">
        <f t="shared" si="22"/>
        <v>10284</v>
      </c>
      <c r="AA61" s="215">
        <f t="shared" si="21"/>
        <v>7333</v>
      </c>
      <c r="AB61" s="368"/>
      <c r="AL61">
        <v>0</v>
      </c>
      <c r="AM61">
        <v>0</v>
      </c>
    </row>
    <row r="62" spans="1:40" x14ac:dyDescent="0.25">
      <c r="A62" s="136" t="s">
        <v>131</v>
      </c>
      <c r="B62" s="137" t="s">
        <v>308</v>
      </c>
      <c r="C62" s="230">
        <v>734</v>
      </c>
      <c r="D62" s="230">
        <v>458</v>
      </c>
      <c r="E62" s="230">
        <v>314</v>
      </c>
      <c r="F62" s="230">
        <v>52</v>
      </c>
      <c r="G62" s="230">
        <v>55</v>
      </c>
      <c r="H62" s="230">
        <v>0</v>
      </c>
      <c r="I62" s="230">
        <v>0</v>
      </c>
      <c r="J62" s="230">
        <v>307</v>
      </c>
      <c r="K62" s="230">
        <v>0</v>
      </c>
      <c r="L62" s="234">
        <f t="shared" si="19"/>
        <v>1920</v>
      </c>
      <c r="M62" s="230">
        <v>648</v>
      </c>
      <c r="N62" s="230">
        <v>1900</v>
      </c>
      <c r="O62" s="230">
        <v>558</v>
      </c>
      <c r="P62" s="230">
        <v>36</v>
      </c>
      <c r="Q62" s="230">
        <v>68</v>
      </c>
      <c r="R62" s="230">
        <v>22</v>
      </c>
      <c r="S62" s="230">
        <v>0</v>
      </c>
      <c r="T62" s="230">
        <v>0</v>
      </c>
      <c r="U62" s="230"/>
      <c r="V62" s="232">
        <f t="shared" si="20"/>
        <v>3232</v>
      </c>
      <c r="W62" s="204">
        <v>1016</v>
      </c>
      <c r="X62" s="233"/>
      <c r="Y62" s="204"/>
      <c r="Z62" s="214">
        <f t="shared" si="22"/>
        <v>6168</v>
      </c>
      <c r="AA62" s="215">
        <f t="shared" si="21"/>
        <v>3828</v>
      </c>
      <c r="AB62" s="368"/>
      <c r="AL62">
        <v>0</v>
      </c>
      <c r="AM62">
        <v>0</v>
      </c>
    </row>
    <row r="63" spans="1:40" ht="26.4" x14ac:dyDescent="0.25">
      <c r="A63" s="136" t="s">
        <v>133</v>
      </c>
      <c r="B63" s="137" t="s">
        <v>319</v>
      </c>
      <c r="C63" s="230">
        <v>224</v>
      </c>
      <c r="D63" s="230">
        <v>362</v>
      </c>
      <c r="E63" s="230">
        <v>67</v>
      </c>
      <c r="F63" s="230">
        <v>16</v>
      </c>
      <c r="G63" s="230">
        <v>10</v>
      </c>
      <c r="H63" s="230">
        <v>0</v>
      </c>
      <c r="I63" s="230">
        <v>0</v>
      </c>
      <c r="J63" s="230">
        <v>60</v>
      </c>
      <c r="K63" s="230">
        <v>0</v>
      </c>
      <c r="L63" s="234">
        <f t="shared" si="19"/>
        <v>739</v>
      </c>
      <c r="M63" s="230">
        <v>175</v>
      </c>
      <c r="N63" s="230">
        <v>316</v>
      </c>
      <c r="O63" s="230">
        <v>151</v>
      </c>
      <c r="P63" s="230">
        <v>13</v>
      </c>
      <c r="Q63" s="230">
        <v>6</v>
      </c>
      <c r="R63" s="230">
        <v>0</v>
      </c>
      <c r="S63" s="230">
        <v>0</v>
      </c>
      <c r="T63" s="230">
        <v>0</v>
      </c>
      <c r="U63" s="230"/>
      <c r="V63" s="232">
        <f>SUM(M63:U63)</f>
        <v>661</v>
      </c>
      <c r="W63" s="204">
        <v>372</v>
      </c>
      <c r="X63" s="233"/>
      <c r="Y63" s="204"/>
      <c r="Z63" s="214">
        <f t="shared" si="22"/>
        <v>1772</v>
      </c>
      <c r="AA63" s="215">
        <f t="shared" si="21"/>
        <v>1106</v>
      </c>
      <c r="AB63" s="368"/>
      <c r="AL63">
        <v>0</v>
      </c>
      <c r="AM63">
        <v>0</v>
      </c>
    </row>
    <row r="64" spans="1:40" ht="26.4" x14ac:dyDescent="0.25">
      <c r="A64" s="136" t="s">
        <v>134</v>
      </c>
      <c r="B64" s="137" t="s">
        <v>320</v>
      </c>
      <c r="C64" s="230">
        <v>939</v>
      </c>
      <c r="D64" s="230">
        <v>495</v>
      </c>
      <c r="E64" s="230">
        <v>89</v>
      </c>
      <c r="F64" s="230">
        <v>31</v>
      </c>
      <c r="G64" s="230">
        <v>17</v>
      </c>
      <c r="H64" s="230">
        <v>0</v>
      </c>
      <c r="I64" s="230">
        <v>43</v>
      </c>
      <c r="J64" s="230">
        <v>61</v>
      </c>
      <c r="K64" s="230">
        <v>0</v>
      </c>
      <c r="L64" s="234">
        <f t="shared" si="19"/>
        <v>1675</v>
      </c>
      <c r="M64" s="230">
        <v>157</v>
      </c>
      <c r="N64" s="230">
        <v>189</v>
      </c>
      <c r="O64" s="230">
        <v>108</v>
      </c>
      <c r="P64" s="230">
        <v>0</v>
      </c>
      <c r="Q64" s="230">
        <v>8</v>
      </c>
      <c r="R64" s="230">
        <v>0</v>
      </c>
      <c r="S64" s="230">
        <v>0</v>
      </c>
      <c r="T64" s="230">
        <v>0</v>
      </c>
      <c r="U64" s="230"/>
      <c r="V64" s="232">
        <f>SUM(M64:U64)</f>
        <v>462</v>
      </c>
      <c r="W64" s="204">
        <v>151</v>
      </c>
      <c r="X64" s="233"/>
      <c r="Y64" s="204"/>
      <c r="Z64" s="214">
        <f t="shared" si="22"/>
        <v>2288</v>
      </c>
      <c r="AA64" s="215">
        <f t="shared" si="21"/>
        <v>1811</v>
      </c>
      <c r="AB64" s="368"/>
      <c r="AL64">
        <v>0</v>
      </c>
      <c r="AM64">
        <v>0</v>
      </c>
    </row>
    <row r="65" spans="1:40" x14ac:dyDescent="0.25">
      <c r="A65" s="136" t="s">
        <v>145</v>
      </c>
      <c r="B65" s="137" t="s">
        <v>309</v>
      </c>
      <c r="C65" s="230">
        <v>329</v>
      </c>
      <c r="D65" s="230">
        <v>210</v>
      </c>
      <c r="E65" s="230">
        <v>81</v>
      </c>
      <c r="F65" s="230">
        <v>35</v>
      </c>
      <c r="G65" s="230">
        <v>17</v>
      </c>
      <c r="H65" s="230">
        <v>0</v>
      </c>
      <c r="I65" s="230">
        <v>0</v>
      </c>
      <c r="J65" s="230">
        <v>156</v>
      </c>
      <c r="K65" s="230">
        <v>0</v>
      </c>
      <c r="L65" s="234">
        <f t="shared" si="19"/>
        <v>828</v>
      </c>
      <c r="M65" s="230">
        <v>389</v>
      </c>
      <c r="N65" s="230">
        <v>403</v>
      </c>
      <c r="O65" s="230">
        <v>212</v>
      </c>
      <c r="P65" s="230">
        <v>6</v>
      </c>
      <c r="Q65" s="230">
        <v>44</v>
      </c>
      <c r="R65" s="230">
        <v>0</v>
      </c>
      <c r="S65" s="230">
        <v>0</v>
      </c>
      <c r="T65" s="230">
        <v>335</v>
      </c>
      <c r="U65" s="230"/>
      <c r="V65" s="232">
        <f t="shared" si="20"/>
        <v>1389</v>
      </c>
      <c r="W65" s="204">
        <f>252+44</f>
        <v>296</v>
      </c>
      <c r="X65" s="233"/>
      <c r="Y65" s="204"/>
      <c r="Z65" s="214">
        <f t="shared" si="22"/>
        <v>2513</v>
      </c>
      <c r="AA65" s="215">
        <f t="shared" si="21"/>
        <v>1372</v>
      </c>
      <c r="AB65" s="368"/>
      <c r="AL65">
        <v>0</v>
      </c>
      <c r="AM65">
        <v>0</v>
      </c>
    </row>
    <row r="66" spans="1:40" x14ac:dyDescent="0.25">
      <c r="A66" s="136" t="s">
        <v>149</v>
      </c>
      <c r="B66" s="137" t="s">
        <v>353</v>
      </c>
      <c r="C66" s="230">
        <v>67</v>
      </c>
      <c r="D66" s="230">
        <v>55</v>
      </c>
      <c r="E66" s="230">
        <v>25</v>
      </c>
      <c r="F66" s="230">
        <v>12</v>
      </c>
      <c r="G66" s="230">
        <v>4</v>
      </c>
      <c r="H66" s="230">
        <v>0</v>
      </c>
      <c r="I66" s="230">
        <v>0</v>
      </c>
      <c r="J66" s="230">
        <v>18</v>
      </c>
      <c r="K66" s="230">
        <v>0</v>
      </c>
      <c r="L66" s="234">
        <f t="shared" si="19"/>
        <v>181</v>
      </c>
      <c r="M66" s="230">
        <v>77</v>
      </c>
      <c r="N66" s="230">
        <v>108</v>
      </c>
      <c r="O66" s="230">
        <v>31</v>
      </c>
      <c r="P66" s="230">
        <v>6</v>
      </c>
      <c r="Q66" s="230">
        <v>6</v>
      </c>
      <c r="R66" s="230">
        <v>12</v>
      </c>
      <c r="S66" s="230">
        <v>0</v>
      </c>
      <c r="T66" s="230">
        <v>0</v>
      </c>
      <c r="U66" s="230"/>
      <c r="V66" s="232">
        <f t="shared" ref="V66:V71" si="23">SUM(M66:U66)</f>
        <v>240</v>
      </c>
      <c r="W66" s="204">
        <v>34</v>
      </c>
      <c r="X66" s="233"/>
      <c r="Y66" s="204"/>
      <c r="Z66" s="214">
        <f t="shared" si="22"/>
        <v>455</v>
      </c>
      <c r="AA66" s="215">
        <f t="shared" si="21"/>
        <v>325</v>
      </c>
      <c r="AB66" s="368"/>
      <c r="AL66">
        <v>0</v>
      </c>
      <c r="AM66">
        <v>0</v>
      </c>
    </row>
    <row r="67" spans="1:40" x14ac:dyDescent="0.25">
      <c r="A67" s="136" t="s">
        <v>182</v>
      </c>
      <c r="B67" s="137" t="s">
        <v>357</v>
      </c>
      <c r="C67" s="230">
        <v>500</v>
      </c>
      <c r="D67" s="230">
        <v>119</v>
      </c>
      <c r="E67" s="230">
        <v>72</v>
      </c>
      <c r="F67" s="230">
        <v>25</v>
      </c>
      <c r="G67" s="230">
        <v>3</v>
      </c>
      <c r="H67" s="230">
        <v>0</v>
      </c>
      <c r="I67" s="230">
        <v>0</v>
      </c>
      <c r="J67" s="230">
        <v>24</v>
      </c>
      <c r="K67" s="230">
        <v>0</v>
      </c>
      <c r="L67" s="234">
        <f t="shared" si="19"/>
        <v>743</v>
      </c>
      <c r="M67" s="230">
        <v>272</v>
      </c>
      <c r="N67" s="230">
        <v>474</v>
      </c>
      <c r="O67" s="230">
        <v>26</v>
      </c>
      <c r="P67" s="230">
        <v>2</v>
      </c>
      <c r="Q67" s="230">
        <v>40</v>
      </c>
      <c r="R67" s="230"/>
      <c r="S67" s="230"/>
      <c r="T67" s="230"/>
      <c r="U67" s="230"/>
      <c r="V67" s="232">
        <f t="shared" si="23"/>
        <v>814</v>
      </c>
      <c r="W67" s="204">
        <v>413</v>
      </c>
      <c r="X67" s="233"/>
      <c r="Y67" s="204"/>
      <c r="Z67" s="214">
        <f t="shared" si="22"/>
        <v>1970</v>
      </c>
      <c r="AA67" s="215">
        <f t="shared" si="21"/>
        <v>1392</v>
      </c>
      <c r="AB67" s="367"/>
      <c r="AL67">
        <v>0</v>
      </c>
      <c r="AM67">
        <v>0</v>
      </c>
    </row>
    <row r="68" spans="1:40" x14ac:dyDescent="0.25">
      <c r="A68" s="136" t="s">
        <v>185</v>
      </c>
      <c r="B68" s="137" t="s">
        <v>310</v>
      </c>
      <c r="C68" s="230"/>
      <c r="D68" s="230"/>
      <c r="E68" s="230"/>
      <c r="F68" s="230"/>
      <c r="G68" s="230"/>
      <c r="H68" s="230"/>
      <c r="I68" s="230"/>
      <c r="J68" s="230"/>
      <c r="K68" s="230"/>
      <c r="L68" s="234">
        <f t="shared" si="19"/>
        <v>0</v>
      </c>
      <c r="M68" s="230"/>
      <c r="N68" s="230"/>
      <c r="O68" s="230"/>
      <c r="P68" s="230"/>
      <c r="Q68" s="230"/>
      <c r="R68" s="230"/>
      <c r="S68" s="230"/>
      <c r="T68" s="230"/>
      <c r="U68" s="425"/>
      <c r="V68" s="232">
        <f t="shared" si="23"/>
        <v>0</v>
      </c>
      <c r="W68" s="204">
        <v>1690</v>
      </c>
      <c r="X68" s="233"/>
      <c r="Y68" s="204"/>
      <c r="Z68" s="214">
        <f t="shared" si="22"/>
        <v>1690</v>
      </c>
      <c r="AA68" s="215">
        <f t="shared" si="21"/>
        <v>0</v>
      </c>
      <c r="AB68" s="368"/>
      <c r="AL68">
        <v>0</v>
      </c>
      <c r="AM68">
        <v>0</v>
      </c>
    </row>
    <row r="69" spans="1:40" x14ac:dyDescent="0.25">
      <c r="A69" s="136" t="s">
        <v>188</v>
      </c>
      <c r="B69" s="137" t="s">
        <v>311</v>
      </c>
      <c r="C69" s="230"/>
      <c r="D69" s="230"/>
      <c r="E69" s="230"/>
      <c r="F69" s="230"/>
      <c r="G69" s="230"/>
      <c r="H69" s="230"/>
      <c r="I69" s="230"/>
      <c r="J69" s="230"/>
      <c r="K69" s="230"/>
      <c r="L69" s="234">
        <f t="shared" si="19"/>
        <v>0</v>
      </c>
      <c r="M69" s="230"/>
      <c r="N69" s="230"/>
      <c r="O69" s="230"/>
      <c r="P69" s="230"/>
      <c r="Q69" s="230"/>
      <c r="R69" s="230"/>
      <c r="S69" s="230"/>
      <c r="T69" s="230"/>
      <c r="U69" s="425"/>
      <c r="V69" s="232">
        <f t="shared" si="23"/>
        <v>0</v>
      </c>
      <c r="W69" s="209">
        <v>0</v>
      </c>
      <c r="X69" s="235"/>
      <c r="Y69" s="209"/>
      <c r="Z69" s="214">
        <f t="shared" si="22"/>
        <v>0</v>
      </c>
      <c r="AA69" s="215">
        <f t="shared" si="21"/>
        <v>0</v>
      </c>
      <c r="AB69" s="368"/>
      <c r="AL69">
        <v>0</v>
      </c>
      <c r="AM69">
        <v>0</v>
      </c>
    </row>
    <row r="70" spans="1:40" x14ac:dyDescent="0.25">
      <c r="A70" s="136" t="s">
        <v>192</v>
      </c>
      <c r="B70" s="137" t="s">
        <v>312</v>
      </c>
      <c r="C70" s="230">
        <v>29</v>
      </c>
      <c r="D70" s="230">
        <v>10</v>
      </c>
      <c r="E70" s="230">
        <v>0</v>
      </c>
      <c r="F70" s="230">
        <v>0</v>
      </c>
      <c r="G70" s="230">
        <v>0</v>
      </c>
      <c r="H70" s="230">
        <v>0</v>
      </c>
      <c r="I70" s="230">
        <v>0</v>
      </c>
      <c r="J70" s="230">
        <v>5</v>
      </c>
      <c r="K70" s="230">
        <v>0</v>
      </c>
      <c r="L70" s="234">
        <f t="shared" si="19"/>
        <v>44</v>
      </c>
      <c r="M70" s="230">
        <v>305</v>
      </c>
      <c r="N70" s="230">
        <v>192</v>
      </c>
      <c r="O70" s="230">
        <v>7</v>
      </c>
      <c r="P70" s="230">
        <v>5</v>
      </c>
      <c r="Q70" s="230">
        <v>28</v>
      </c>
      <c r="R70" s="230">
        <v>0</v>
      </c>
      <c r="S70" s="230">
        <v>0</v>
      </c>
      <c r="T70" s="230">
        <v>0</v>
      </c>
      <c r="U70" s="425"/>
      <c r="V70" s="232">
        <f t="shared" si="23"/>
        <v>537</v>
      </c>
      <c r="W70" s="209">
        <v>374</v>
      </c>
      <c r="X70" s="235"/>
      <c r="Y70" s="209"/>
      <c r="Z70" s="214">
        <f t="shared" si="22"/>
        <v>955</v>
      </c>
      <c r="AA70" s="215">
        <f t="shared" si="21"/>
        <v>541</v>
      </c>
      <c r="AB70" s="368"/>
      <c r="AL70">
        <v>0</v>
      </c>
      <c r="AM70">
        <v>0</v>
      </c>
    </row>
    <row r="71" spans="1:40" ht="27" thickBot="1" x14ac:dyDescent="0.3">
      <c r="A71" s="136" t="s">
        <v>193</v>
      </c>
      <c r="B71" s="137" t="s">
        <v>325</v>
      </c>
      <c r="C71" s="265">
        <v>0</v>
      </c>
      <c r="D71" s="265">
        <v>0</v>
      </c>
      <c r="E71" s="265">
        <v>0</v>
      </c>
      <c r="F71" s="265">
        <v>0</v>
      </c>
      <c r="G71" s="265">
        <v>0</v>
      </c>
      <c r="H71" s="265">
        <v>0</v>
      </c>
      <c r="I71" s="265">
        <v>331</v>
      </c>
      <c r="J71" s="265">
        <v>623</v>
      </c>
      <c r="K71" s="265">
        <v>0</v>
      </c>
      <c r="L71" s="234">
        <f t="shared" si="19"/>
        <v>954</v>
      </c>
      <c r="M71" s="265">
        <v>0</v>
      </c>
      <c r="N71" s="265">
        <v>0</v>
      </c>
      <c r="O71" s="265">
        <v>0</v>
      </c>
      <c r="P71" s="265">
        <v>0</v>
      </c>
      <c r="Q71" s="265">
        <v>0</v>
      </c>
      <c r="R71" s="265">
        <v>0</v>
      </c>
      <c r="S71" s="265">
        <v>0</v>
      </c>
      <c r="T71" s="265">
        <v>0</v>
      </c>
      <c r="U71" s="426"/>
      <c r="V71" s="239">
        <f t="shared" si="23"/>
        <v>0</v>
      </c>
      <c r="W71" s="209">
        <v>4166</v>
      </c>
      <c r="X71" s="235"/>
      <c r="Y71" s="209"/>
      <c r="Z71" s="214">
        <f t="shared" si="22"/>
        <v>5120</v>
      </c>
      <c r="AA71" s="215">
        <f t="shared" si="21"/>
        <v>0</v>
      </c>
      <c r="AB71" s="367"/>
      <c r="AL71">
        <v>0</v>
      </c>
      <c r="AM71">
        <v>0</v>
      </c>
    </row>
    <row r="72" spans="1:40" s="109" customFormat="1" ht="14.4" thickBot="1" x14ac:dyDescent="0.3">
      <c r="A72" s="134"/>
      <c r="B72" s="159" t="s">
        <v>460</v>
      </c>
      <c r="C72" s="258">
        <f t="shared" ref="C72:AA72" si="24">SUM(C56:C71)</f>
        <v>10483</v>
      </c>
      <c r="D72" s="157">
        <f t="shared" si="24"/>
        <v>6431</v>
      </c>
      <c r="E72" s="157">
        <f t="shared" si="24"/>
        <v>3283</v>
      </c>
      <c r="F72" s="157">
        <f t="shared" si="24"/>
        <v>368</v>
      </c>
      <c r="G72" s="364">
        <f t="shared" si="24"/>
        <v>372</v>
      </c>
      <c r="H72" s="157">
        <f t="shared" si="24"/>
        <v>36</v>
      </c>
      <c r="I72" s="157">
        <f t="shared" si="24"/>
        <v>453</v>
      </c>
      <c r="J72" s="157">
        <f t="shared" si="24"/>
        <v>4303</v>
      </c>
      <c r="K72" s="259">
        <f t="shared" si="24"/>
        <v>264</v>
      </c>
      <c r="L72" s="401">
        <f>SUM(L56:L71)</f>
        <v>25993</v>
      </c>
      <c r="M72" s="262">
        <f t="shared" si="24"/>
        <v>4708</v>
      </c>
      <c r="N72" s="158">
        <f t="shared" si="24"/>
        <v>8096</v>
      </c>
      <c r="O72" s="158">
        <f t="shared" si="24"/>
        <v>2901</v>
      </c>
      <c r="P72" s="158">
        <f t="shared" si="24"/>
        <v>182</v>
      </c>
      <c r="Q72" s="158">
        <f t="shared" si="24"/>
        <v>328</v>
      </c>
      <c r="R72" s="158">
        <f t="shared" si="24"/>
        <v>535</v>
      </c>
      <c r="S72" s="158">
        <f t="shared" si="24"/>
        <v>0</v>
      </c>
      <c r="T72" s="264">
        <f t="shared" si="24"/>
        <v>449</v>
      </c>
      <c r="U72" s="401">
        <f t="shared" si="24"/>
        <v>0</v>
      </c>
      <c r="V72" s="266">
        <f t="shared" si="24"/>
        <v>17199</v>
      </c>
      <c r="W72" s="210">
        <f t="shared" si="24"/>
        <v>33566</v>
      </c>
      <c r="X72" s="261">
        <f t="shared" si="24"/>
        <v>0</v>
      </c>
      <c r="Y72" s="276">
        <f t="shared" si="24"/>
        <v>0</v>
      </c>
      <c r="Z72" s="261">
        <f t="shared" si="24"/>
        <v>76758</v>
      </c>
      <c r="AA72" s="210">
        <f t="shared" si="24"/>
        <v>30532</v>
      </c>
      <c r="AB72" s="366"/>
      <c r="AC72"/>
      <c r="AD72"/>
      <c r="AE72"/>
      <c r="AF72"/>
      <c r="AG72"/>
      <c r="AH72"/>
      <c r="AI72"/>
      <c r="AJ72"/>
      <c r="AK72"/>
      <c r="AL72">
        <v>0</v>
      </c>
      <c r="AM72">
        <v>0</v>
      </c>
      <c r="AN72"/>
    </row>
    <row r="73" spans="1:40" x14ac:dyDescent="0.25">
      <c r="A73" s="136" t="s">
        <v>65</v>
      </c>
      <c r="B73" s="137" t="s">
        <v>326</v>
      </c>
      <c r="C73" s="280">
        <v>471</v>
      </c>
      <c r="D73" s="280">
        <v>322</v>
      </c>
      <c r="E73" s="280">
        <v>177</v>
      </c>
      <c r="F73" s="280">
        <v>0</v>
      </c>
      <c r="G73" s="280">
        <v>26</v>
      </c>
      <c r="H73" s="280">
        <v>0</v>
      </c>
      <c r="I73" s="280">
        <v>40</v>
      </c>
      <c r="J73" s="280">
        <v>84</v>
      </c>
      <c r="K73" s="280">
        <v>0</v>
      </c>
      <c r="L73" s="234">
        <f>SUM(C73:K73)</f>
        <v>1120</v>
      </c>
      <c r="M73" s="280">
        <v>176</v>
      </c>
      <c r="N73" s="280">
        <v>577</v>
      </c>
      <c r="O73" s="280">
        <v>140</v>
      </c>
      <c r="P73" s="280">
        <v>18</v>
      </c>
      <c r="Q73" s="280">
        <v>18</v>
      </c>
      <c r="R73" s="280">
        <v>62</v>
      </c>
      <c r="S73" s="280">
        <v>18</v>
      </c>
      <c r="T73" s="280">
        <v>0</v>
      </c>
      <c r="U73" s="427"/>
      <c r="V73" s="234">
        <f>SUM(M73:U73)</f>
        <v>1009</v>
      </c>
      <c r="W73" s="211">
        <v>650</v>
      </c>
      <c r="X73" s="237"/>
      <c r="Y73" s="211"/>
      <c r="Z73" s="214">
        <f>L73+V73+W73+X73+Y73</f>
        <v>2779</v>
      </c>
      <c r="AA73" s="218">
        <f>C73+D73+F73+K73+M73+N73+P73+U73</f>
        <v>1564</v>
      </c>
      <c r="AB73" s="368"/>
      <c r="AL73">
        <v>0</v>
      </c>
      <c r="AM73">
        <v>0</v>
      </c>
    </row>
    <row r="74" spans="1:40" x14ac:dyDescent="0.25">
      <c r="A74" s="136" t="s">
        <v>81</v>
      </c>
      <c r="B74" s="137" t="s">
        <v>327</v>
      </c>
      <c r="C74" s="230">
        <v>718</v>
      </c>
      <c r="D74" s="230">
        <v>262</v>
      </c>
      <c r="E74" s="230">
        <v>147</v>
      </c>
      <c r="F74" s="230">
        <v>38</v>
      </c>
      <c r="G74" s="230">
        <v>22</v>
      </c>
      <c r="H74" s="230">
        <v>0</v>
      </c>
      <c r="I74" s="230">
        <v>9</v>
      </c>
      <c r="J74" s="230">
        <v>33</v>
      </c>
      <c r="K74" s="230">
        <v>0</v>
      </c>
      <c r="L74" s="232">
        <f>SUM(C74:K74)</f>
        <v>1229</v>
      </c>
      <c r="M74" s="230">
        <v>492</v>
      </c>
      <c r="N74" s="230">
        <v>409</v>
      </c>
      <c r="O74" s="230">
        <v>145</v>
      </c>
      <c r="P74" s="230">
        <v>2</v>
      </c>
      <c r="Q74" s="230">
        <v>13</v>
      </c>
      <c r="R74" s="230">
        <v>80</v>
      </c>
      <c r="S74" s="230">
        <v>125</v>
      </c>
      <c r="T74" s="230">
        <v>0</v>
      </c>
      <c r="U74" s="425"/>
      <c r="V74" s="232">
        <f>SUM(M74:U74)</f>
        <v>1266</v>
      </c>
      <c r="W74" s="204">
        <v>2287</v>
      </c>
      <c r="X74" s="233"/>
      <c r="Y74" s="204"/>
      <c r="Z74" s="214">
        <f t="shared" ref="Z74:Z88" si="25">L74+V74+W74+X74+Y74</f>
        <v>4782</v>
      </c>
      <c r="AA74" s="215">
        <f>C74+D74+F74+K74+M74+N74+P74+U74</f>
        <v>1921</v>
      </c>
      <c r="AB74" s="368"/>
      <c r="AL74">
        <v>0</v>
      </c>
      <c r="AM74">
        <v>0</v>
      </c>
    </row>
    <row r="75" spans="1:40" x14ac:dyDescent="0.25">
      <c r="A75" s="136" t="s">
        <v>87</v>
      </c>
      <c r="B75" s="137" t="s">
        <v>292</v>
      </c>
      <c r="C75" s="230">
        <v>540</v>
      </c>
      <c r="D75" s="230">
        <v>623</v>
      </c>
      <c r="E75" s="230">
        <v>247</v>
      </c>
      <c r="F75" s="230">
        <v>19</v>
      </c>
      <c r="G75" s="230">
        <v>19</v>
      </c>
      <c r="H75" s="230">
        <v>0</v>
      </c>
      <c r="I75" s="230">
        <v>0</v>
      </c>
      <c r="J75" s="230">
        <v>65</v>
      </c>
      <c r="K75" s="230">
        <v>0</v>
      </c>
      <c r="L75" s="232">
        <f t="shared" ref="L75:L88" si="26">SUM(C75:K75)</f>
        <v>1513</v>
      </c>
      <c r="M75" s="230">
        <v>246</v>
      </c>
      <c r="N75" s="230">
        <v>434</v>
      </c>
      <c r="O75" s="230">
        <v>198</v>
      </c>
      <c r="P75" s="230">
        <v>15</v>
      </c>
      <c r="Q75" s="230">
        <v>23</v>
      </c>
      <c r="R75" s="230">
        <v>0</v>
      </c>
      <c r="S75" s="230">
        <v>0</v>
      </c>
      <c r="T75" s="230">
        <v>36</v>
      </c>
      <c r="U75" s="425"/>
      <c r="V75" s="232">
        <f t="shared" ref="V75:V88" si="27">SUM(M75:U75)</f>
        <v>952</v>
      </c>
      <c r="W75" s="204">
        <v>440</v>
      </c>
      <c r="X75" s="233"/>
      <c r="Y75" s="204"/>
      <c r="Z75" s="214">
        <f t="shared" si="25"/>
        <v>2905</v>
      </c>
      <c r="AA75" s="215">
        <f t="shared" ref="AA75:AA88" si="28">C75+D75+F75+K75+M75+N75+P75+U75</f>
        <v>1877</v>
      </c>
      <c r="AB75" s="368"/>
      <c r="AL75">
        <v>0</v>
      </c>
      <c r="AM75">
        <v>0</v>
      </c>
    </row>
    <row r="76" spans="1:40" x14ac:dyDescent="0.25">
      <c r="A76" s="136" t="s">
        <v>92</v>
      </c>
      <c r="B76" s="137" t="s">
        <v>328</v>
      </c>
      <c r="C76" s="230">
        <v>151</v>
      </c>
      <c r="D76" s="230">
        <v>21</v>
      </c>
      <c r="E76" s="230">
        <v>57</v>
      </c>
      <c r="F76" s="230">
        <v>13</v>
      </c>
      <c r="G76" s="230">
        <v>3</v>
      </c>
      <c r="H76" s="230">
        <v>0</v>
      </c>
      <c r="I76" s="230">
        <v>0</v>
      </c>
      <c r="J76" s="230">
        <v>9</v>
      </c>
      <c r="K76" s="230">
        <v>0</v>
      </c>
      <c r="L76" s="232">
        <f t="shared" si="26"/>
        <v>254</v>
      </c>
      <c r="M76" s="230">
        <v>94</v>
      </c>
      <c r="N76" s="230">
        <v>142</v>
      </c>
      <c r="O76" s="230">
        <v>26</v>
      </c>
      <c r="P76" s="230">
        <v>11</v>
      </c>
      <c r="Q76" s="230">
        <v>2</v>
      </c>
      <c r="R76" s="230">
        <v>0</v>
      </c>
      <c r="S76" s="230">
        <v>0</v>
      </c>
      <c r="T76" s="230">
        <v>0</v>
      </c>
      <c r="U76" s="425"/>
      <c r="V76" s="232">
        <f t="shared" si="27"/>
        <v>275</v>
      </c>
      <c r="W76" s="204">
        <v>204</v>
      </c>
      <c r="X76" s="233"/>
      <c r="Y76" s="204"/>
      <c r="Z76" s="214">
        <f t="shared" si="25"/>
        <v>733</v>
      </c>
      <c r="AA76" s="215">
        <f t="shared" si="28"/>
        <v>432</v>
      </c>
      <c r="AB76" s="368"/>
      <c r="AM76">
        <v>0</v>
      </c>
    </row>
    <row r="77" spans="1:40" x14ac:dyDescent="0.25">
      <c r="A77" s="136" t="s">
        <v>96</v>
      </c>
      <c r="B77" s="137" t="s">
        <v>293</v>
      </c>
      <c r="C77" s="230">
        <v>1529</v>
      </c>
      <c r="D77" s="230">
        <v>696</v>
      </c>
      <c r="E77" s="230">
        <v>657</v>
      </c>
      <c r="F77" s="230">
        <v>51</v>
      </c>
      <c r="G77" s="230">
        <v>53</v>
      </c>
      <c r="H77" s="230">
        <v>0</v>
      </c>
      <c r="I77" s="230">
        <v>14</v>
      </c>
      <c r="J77" s="230">
        <v>165</v>
      </c>
      <c r="K77" s="230">
        <v>0</v>
      </c>
      <c r="L77" s="232">
        <f t="shared" si="26"/>
        <v>3165</v>
      </c>
      <c r="M77" s="230">
        <v>268</v>
      </c>
      <c r="N77" s="230">
        <v>522</v>
      </c>
      <c r="O77" s="230">
        <v>378</v>
      </c>
      <c r="P77" s="230">
        <v>9</v>
      </c>
      <c r="Q77" s="230">
        <v>24</v>
      </c>
      <c r="R77" s="230">
        <v>31</v>
      </c>
      <c r="S77" s="230">
        <v>0</v>
      </c>
      <c r="T77" s="230">
        <v>22</v>
      </c>
      <c r="U77" s="425"/>
      <c r="V77" s="232">
        <f t="shared" si="27"/>
        <v>1254</v>
      </c>
      <c r="W77" s="204">
        <v>733</v>
      </c>
      <c r="X77" s="233"/>
      <c r="Y77" s="204"/>
      <c r="Z77" s="214">
        <f t="shared" si="25"/>
        <v>5152</v>
      </c>
      <c r="AA77" s="215">
        <f t="shared" si="28"/>
        <v>3075</v>
      </c>
      <c r="AB77" s="368"/>
      <c r="AM77">
        <v>0</v>
      </c>
    </row>
    <row r="78" spans="1:40" x14ac:dyDescent="0.25">
      <c r="A78" s="136" t="s">
        <v>100</v>
      </c>
      <c r="B78" s="137" t="s">
        <v>295</v>
      </c>
      <c r="C78" s="230">
        <v>855</v>
      </c>
      <c r="D78" s="230">
        <v>247</v>
      </c>
      <c r="E78" s="230">
        <v>61</v>
      </c>
      <c r="F78" s="230">
        <v>53</v>
      </c>
      <c r="G78" s="230">
        <v>21</v>
      </c>
      <c r="H78" s="230">
        <v>0</v>
      </c>
      <c r="I78" s="230">
        <v>0</v>
      </c>
      <c r="J78" s="230">
        <v>48</v>
      </c>
      <c r="K78" s="230">
        <v>0</v>
      </c>
      <c r="L78" s="232">
        <f t="shared" si="26"/>
        <v>1285</v>
      </c>
      <c r="M78" s="230">
        <v>142</v>
      </c>
      <c r="N78" s="230">
        <v>336</v>
      </c>
      <c r="O78" s="230">
        <v>74</v>
      </c>
      <c r="P78" s="230">
        <v>9</v>
      </c>
      <c r="Q78" s="230">
        <v>0</v>
      </c>
      <c r="R78" s="230">
        <v>0</v>
      </c>
      <c r="S78" s="230">
        <v>0</v>
      </c>
      <c r="T78" s="230">
        <v>0</v>
      </c>
      <c r="U78" s="425"/>
      <c r="V78" s="232">
        <f t="shared" si="27"/>
        <v>561</v>
      </c>
      <c r="W78" s="204">
        <v>1013</v>
      </c>
      <c r="X78" s="233"/>
      <c r="Y78" s="204"/>
      <c r="Z78" s="214">
        <f t="shared" si="25"/>
        <v>2859</v>
      </c>
      <c r="AA78" s="215">
        <f t="shared" si="28"/>
        <v>1642</v>
      </c>
      <c r="AB78" s="368"/>
      <c r="AM78">
        <v>0</v>
      </c>
    </row>
    <row r="79" spans="1:40" x14ac:dyDescent="0.25">
      <c r="A79" s="136" t="s">
        <v>108</v>
      </c>
      <c r="B79" s="137" t="s">
        <v>296</v>
      </c>
      <c r="C79" s="230">
        <v>311</v>
      </c>
      <c r="D79" s="230">
        <v>213</v>
      </c>
      <c r="E79" s="230">
        <v>108</v>
      </c>
      <c r="F79" s="230">
        <v>29</v>
      </c>
      <c r="G79" s="230">
        <v>11</v>
      </c>
      <c r="H79" s="230">
        <v>0</v>
      </c>
      <c r="I79" s="230">
        <v>19</v>
      </c>
      <c r="J79" s="230">
        <v>79</v>
      </c>
      <c r="K79" s="230">
        <v>0</v>
      </c>
      <c r="L79" s="232">
        <f t="shared" si="26"/>
        <v>770</v>
      </c>
      <c r="M79" s="230">
        <v>179</v>
      </c>
      <c r="N79" s="230">
        <v>230</v>
      </c>
      <c r="O79" s="230">
        <v>145</v>
      </c>
      <c r="P79" s="230">
        <v>15</v>
      </c>
      <c r="Q79" s="230">
        <v>13</v>
      </c>
      <c r="R79" s="230">
        <v>0</v>
      </c>
      <c r="S79" s="230">
        <v>0</v>
      </c>
      <c r="T79" s="230">
        <v>2</v>
      </c>
      <c r="U79" s="425"/>
      <c r="V79" s="232">
        <f t="shared" si="27"/>
        <v>584</v>
      </c>
      <c r="W79" s="204">
        <v>137</v>
      </c>
      <c r="X79" s="233"/>
      <c r="Y79" s="204"/>
      <c r="Z79" s="214">
        <f t="shared" si="25"/>
        <v>1491</v>
      </c>
      <c r="AA79" s="215">
        <f t="shared" si="28"/>
        <v>977</v>
      </c>
      <c r="AB79" s="368"/>
      <c r="AM79">
        <v>0</v>
      </c>
    </row>
    <row r="80" spans="1:40" x14ac:dyDescent="0.25">
      <c r="A80" s="136" t="s">
        <v>109</v>
      </c>
      <c r="B80" s="137" t="s">
        <v>329</v>
      </c>
      <c r="C80" s="230">
        <v>232</v>
      </c>
      <c r="D80" s="230">
        <v>230</v>
      </c>
      <c r="E80" s="230">
        <v>73</v>
      </c>
      <c r="F80" s="230">
        <v>18</v>
      </c>
      <c r="G80" s="230">
        <v>13</v>
      </c>
      <c r="H80" s="230">
        <v>0</v>
      </c>
      <c r="I80" s="230">
        <v>0</v>
      </c>
      <c r="J80" s="230">
        <v>43</v>
      </c>
      <c r="K80" s="230">
        <v>0</v>
      </c>
      <c r="L80" s="232">
        <f t="shared" si="26"/>
        <v>609</v>
      </c>
      <c r="M80" s="230">
        <v>169</v>
      </c>
      <c r="N80" s="230">
        <v>206</v>
      </c>
      <c r="O80" s="230">
        <v>113</v>
      </c>
      <c r="P80" s="230">
        <v>4</v>
      </c>
      <c r="Q80" s="230">
        <v>8</v>
      </c>
      <c r="R80" s="230">
        <v>32</v>
      </c>
      <c r="S80" s="230">
        <v>0</v>
      </c>
      <c r="T80" s="230">
        <v>0</v>
      </c>
      <c r="U80" s="425"/>
      <c r="V80" s="232">
        <f t="shared" si="27"/>
        <v>532</v>
      </c>
      <c r="W80" s="204">
        <v>317</v>
      </c>
      <c r="X80" s="233"/>
      <c r="Y80" s="204"/>
      <c r="Z80" s="214">
        <f t="shared" si="25"/>
        <v>1458</v>
      </c>
      <c r="AA80" s="215">
        <f t="shared" si="28"/>
        <v>859</v>
      </c>
      <c r="AB80" s="368"/>
      <c r="AM80">
        <v>0</v>
      </c>
    </row>
    <row r="81" spans="1:40" x14ac:dyDescent="0.25">
      <c r="A81" s="136" t="s">
        <v>124</v>
      </c>
      <c r="B81" s="137" t="s">
        <v>330</v>
      </c>
      <c r="C81" s="230">
        <v>591</v>
      </c>
      <c r="D81" s="230">
        <v>303</v>
      </c>
      <c r="E81" s="230">
        <v>125</v>
      </c>
      <c r="F81" s="230">
        <v>18</v>
      </c>
      <c r="G81" s="230">
        <v>38</v>
      </c>
      <c r="H81" s="230">
        <v>0</v>
      </c>
      <c r="I81" s="230">
        <v>0</v>
      </c>
      <c r="J81" s="230">
        <v>33</v>
      </c>
      <c r="K81" s="230">
        <v>0</v>
      </c>
      <c r="L81" s="232">
        <f t="shared" si="26"/>
        <v>1108</v>
      </c>
      <c r="M81" s="230">
        <v>93</v>
      </c>
      <c r="N81" s="230">
        <v>254</v>
      </c>
      <c r="O81" s="230">
        <v>41</v>
      </c>
      <c r="P81" s="230">
        <v>0</v>
      </c>
      <c r="Q81" s="230">
        <v>40</v>
      </c>
      <c r="R81" s="230">
        <v>0</v>
      </c>
      <c r="S81" s="230">
        <v>0</v>
      </c>
      <c r="T81" s="230">
        <v>0</v>
      </c>
      <c r="U81" s="425"/>
      <c r="V81" s="232">
        <f t="shared" si="27"/>
        <v>428</v>
      </c>
      <c r="W81" s="204">
        <v>484</v>
      </c>
      <c r="X81" s="233"/>
      <c r="Y81" s="204"/>
      <c r="Z81" s="214">
        <f t="shared" si="25"/>
        <v>2020</v>
      </c>
      <c r="AA81" s="215">
        <f t="shared" si="28"/>
        <v>1259</v>
      </c>
      <c r="AB81" s="368"/>
      <c r="AM81">
        <v>0</v>
      </c>
    </row>
    <row r="82" spans="1:40" x14ac:dyDescent="0.25">
      <c r="A82" s="136" t="s">
        <v>126</v>
      </c>
      <c r="B82" s="137" t="s">
        <v>331</v>
      </c>
      <c r="C82" s="230">
        <v>322</v>
      </c>
      <c r="D82" s="230">
        <v>179</v>
      </c>
      <c r="E82" s="230">
        <v>71</v>
      </c>
      <c r="F82" s="230">
        <v>15</v>
      </c>
      <c r="G82" s="230">
        <v>22</v>
      </c>
      <c r="H82" s="230">
        <v>0</v>
      </c>
      <c r="I82" s="230">
        <v>0</v>
      </c>
      <c r="J82" s="230">
        <v>85</v>
      </c>
      <c r="K82" s="230">
        <v>0</v>
      </c>
      <c r="L82" s="232">
        <f t="shared" si="26"/>
        <v>694</v>
      </c>
      <c r="M82" s="230">
        <v>177</v>
      </c>
      <c r="N82" s="230">
        <v>388</v>
      </c>
      <c r="O82" s="230">
        <v>55</v>
      </c>
      <c r="P82" s="230">
        <v>26</v>
      </c>
      <c r="Q82" s="230">
        <v>28</v>
      </c>
      <c r="R82" s="230">
        <v>0</v>
      </c>
      <c r="S82" s="230">
        <v>0</v>
      </c>
      <c r="T82" s="230">
        <v>28</v>
      </c>
      <c r="U82" s="425"/>
      <c r="V82" s="232">
        <f t="shared" si="27"/>
        <v>702</v>
      </c>
      <c r="W82" s="204">
        <v>701</v>
      </c>
      <c r="X82" s="233"/>
      <c r="Y82" s="204"/>
      <c r="Z82" s="214">
        <f t="shared" si="25"/>
        <v>2097</v>
      </c>
      <c r="AA82" s="215">
        <f t="shared" si="28"/>
        <v>1107</v>
      </c>
      <c r="AB82" s="368"/>
      <c r="AM82">
        <v>0</v>
      </c>
    </row>
    <row r="83" spans="1:40" x14ac:dyDescent="0.25">
      <c r="A83" s="136" t="s">
        <v>132</v>
      </c>
      <c r="B83" s="137" t="s">
        <v>298</v>
      </c>
      <c r="C83" s="230">
        <v>747</v>
      </c>
      <c r="D83" s="230">
        <v>1419</v>
      </c>
      <c r="E83" s="230">
        <v>354</v>
      </c>
      <c r="F83" s="230">
        <v>37</v>
      </c>
      <c r="G83" s="230">
        <v>93</v>
      </c>
      <c r="H83" s="230">
        <v>0</v>
      </c>
      <c r="I83" s="230">
        <v>0</v>
      </c>
      <c r="J83" s="230">
        <v>117</v>
      </c>
      <c r="K83" s="230">
        <v>0</v>
      </c>
      <c r="L83" s="232">
        <f t="shared" si="26"/>
        <v>2767</v>
      </c>
      <c r="M83" s="230">
        <v>273</v>
      </c>
      <c r="N83" s="230">
        <v>631</v>
      </c>
      <c r="O83" s="230">
        <v>161</v>
      </c>
      <c r="P83" s="230">
        <v>26</v>
      </c>
      <c r="Q83" s="230">
        <v>16</v>
      </c>
      <c r="R83" s="230">
        <v>115</v>
      </c>
      <c r="S83" s="230">
        <v>0</v>
      </c>
      <c r="T83" s="230">
        <v>3</v>
      </c>
      <c r="U83" s="425"/>
      <c r="V83" s="232">
        <f t="shared" si="27"/>
        <v>1225</v>
      </c>
      <c r="W83" s="518">
        <v>560</v>
      </c>
      <c r="X83" s="233"/>
      <c r="Y83" s="204"/>
      <c r="Z83" s="214">
        <f t="shared" si="25"/>
        <v>4552</v>
      </c>
      <c r="AA83" s="215">
        <f t="shared" si="28"/>
        <v>3133</v>
      </c>
      <c r="AB83" s="368"/>
      <c r="AM83">
        <v>0</v>
      </c>
    </row>
    <row r="84" spans="1:40" x14ac:dyDescent="0.25">
      <c r="A84" s="136" t="s">
        <v>137</v>
      </c>
      <c r="B84" s="137" t="s">
        <v>299</v>
      </c>
      <c r="C84" s="230">
        <v>237</v>
      </c>
      <c r="D84" s="230">
        <v>322</v>
      </c>
      <c r="E84" s="230">
        <v>55</v>
      </c>
      <c r="F84" s="230">
        <v>11</v>
      </c>
      <c r="G84" s="230">
        <v>29</v>
      </c>
      <c r="H84" s="230">
        <v>0</v>
      </c>
      <c r="I84" s="230">
        <v>0</v>
      </c>
      <c r="J84" s="230">
        <v>139</v>
      </c>
      <c r="K84" s="230">
        <v>0</v>
      </c>
      <c r="L84" s="232">
        <f t="shared" si="26"/>
        <v>793</v>
      </c>
      <c r="M84" s="230">
        <v>191</v>
      </c>
      <c r="N84" s="230">
        <v>699</v>
      </c>
      <c r="O84" s="230">
        <v>116</v>
      </c>
      <c r="P84" s="230">
        <v>9</v>
      </c>
      <c r="Q84" s="230">
        <v>23</v>
      </c>
      <c r="R84" s="230">
        <v>0</v>
      </c>
      <c r="S84" s="230">
        <v>0</v>
      </c>
      <c r="T84" s="230">
        <v>1</v>
      </c>
      <c r="U84" s="425"/>
      <c r="V84" s="232">
        <f t="shared" si="27"/>
        <v>1039</v>
      </c>
      <c r="W84" s="204">
        <v>330</v>
      </c>
      <c r="X84" s="233"/>
      <c r="Y84" s="204"/>
      <c r="Z84" s="214">
        <f t="shared" si="25"/>
        <v>2162</v>
      </c>
      <c r="AA84" s="215">
        <f t="shared" si="28"/>
        <v>1469</v>
      </c>
      <c r="AB84" s="368"/>
      <c r="AM84">
        <v>0</v>
      </c>
    </row>
    <row r="85" spans="1:40" x14ac:dyDescent="0.25">
      <c r="A85" s="136" t="s">
        <v>148</v>
      </c>
      <c r="B85" s="137" t="s">
        <v>300</v>
      </c>
      <c r="C85" s="230">
        <v>231</v>
      </c>
      <c r="D85" s="230">
        <v>309</v>
      </c>
      <c r="E85" s="230">
        <v>88</v>
      </c>
      <c r="F85" s="230">
        <v>10</v>
      </c>
      <c r="G85" s="230">
        <v>21</v>
      </c>
      <c r="H85" s="230">
        <v>0</v>
      </c>
      <c r="I85" s="230">
        <v>0</v>
      </c>
      <c r="J85" s="230">
        <v>38</v>
      </c>
      <c r="K85" s="230">
        <v>0</v>
      </c>
      <c r="L85" s="232">
        <f t="shared" si="26"/>
        <v>697</v>
      </c>
      <c r="M85" s="230">
        <v>134</v>
      </c>
      <c r="N85" s="230">
        <v>236</v>
      </c>
      <c r="O85" s="230">
        <v>119</v>
      </c>
      <c r="P85" s="230">
        <v>11</v>
      </c>
      <c r="Q85" s="230">
        <v>8</v>
      </c>
      <c r="R85" s="230">
        <v>14</v>
      </c>
      <c r="S85" s="230">
        <v>0</v>
      </c>
      <c r="T85" s="230">
        <v>0</v>
      </c>
      <c r="U85" s="425"/>
      <c r="V85" s="232">
        <f t="shared" si="27"/>
        <v>522</v>
      </c>
      <c r="W85" s="204">
        <v>269</v>
      </c>
      <c r="X85" s="233"/>
      <c r="Y85" s="204"/>
      <c r="Z85" s="214">
        <f t="shared" si="25"/>
        <v>1488</v>
      </c>
      <c r="AA85" s="215">
        <f t="shared" si="28"/>
        <v>931</v>
      </c>
      <c r="AB85" s="368"/>
      <c r="AM85">
        <v>0</v>
      </c>
    </row>
    <row r="86" spans="1:40" x14ac:dyDescent="0.25">
      <c r="A86" s="136" t="s">
        <v>169</v>
      </c>
      <c r="B86" s="137" t="s">
        <v>301</v>
      </c>
      <c r="C86" s="230">
        <v>343</v>
      </c>
      <c r="D86" s="230">
        <v>168</v>
      </c>
      <c r="E86" s="230">
        <v>281</v>
      </c>
      <c r="F86" s="230">
        <v>16</v>
      </c>
      <c r="G86" s="230">
        <v>48</v>
      </c>
      <c r="H86" s="230">
        <v>0</v>
      </c>
      <c r="I86" s="230">
        <v>0</v>
      </c>
      <c r="J86" s="230">
        <v>43</v>
      </c>
      <c r="K86" s="230">
        <v>0</v>
      </c>
      <c r="L86" s="232">
        <f t="shared" si="26"/>
        <v>899</v>
      </c>
      <c r="M86" s="230">
        <v>115</v>
      </c>
      <c r="N86" s="230">
        <v>339</v>
      </c>
      <c r="O86" s="230">
        <v>54</v>
      </c>
      <c r="P86" s="230">
        <v>12</v>
      </c>
      <c r="Q86" s="230">
        <v>14</v>
      </c>
      <c r="R86" s="230">
        <v>0</v>
      </c>
      <c r="S86" s="230">
        <v>0</v>
      </c>
      <c r="T86" s="230">
        <v>0</v>
      </c>
      <c r="U86" s="425"/>
      <c r="V86" s="232">
        <f t="shared" si="27"/>
        <v>534</v>
      </c>
      <c r="W86" s="205"/>
      <c r="X86" s="233"/>
      <c r="Y86" s="204"/>
      <c r="Z86" s="214">
        <f t="shared" si="25"/>
        <v>1433</v>
      </c>
      <c r="AA86" s="215">
        <f t="shared" si="28"/>
        <v>993</v>
      </c>
      <c r="AB86" s="368"/>
      <c r="AM86">
        <v>0</v>
      </c>
    </row>
    <row r="87" spans="1:40" x14ac:dyDescent="0.25">
      <c r="A87" s="136" t="s">
        <v>172</v>
      </c>
      <c r="B87" s="137" t="s">
        <v>333</v>
      </c>
      <c r="C87" s="230">
        <v>8056</v>
      </c>
      <c r="D87" s="230">
        <v>2545</v>
      </c>
      <c r="E87" s="230">
        <v>1295</v>
      </c>
      <c r="F87" s="230">
        <v>94</v>
      </c>
      <c r="G87" s="230">
        <v>79</v>
      </c>
      <c r="H87" s="230">
        <v>0</v>
      </c>
      <c r="I87" s="230">
        <v>52</v>
      </c>
      <c r="J87" s="230">
        <v>161</v>
      </c>
      <c r="K87" s="230">
        <v>0</v>
      </c>
      <c r="L87" s="232">
        <f t="shared" si="26"/>
        <v>12282</v>
      </c>
      <c r="M87" s="230">
        <v>1265</v>
      </c>
      <c r="N87" s="230">
        <v>905</v>
      </c>
      <c r="O87" s="230">
        <v>322</v>
      </c>
      <c r="P87" s="230">
        <v>19</v>
      </c>
      <c r="Q87" s="230">
        <v>22</v>
      </c>
      <c r="R87" s="230">
        <v>0</v>
      </c>
      <c r="S87" s="230">
        <v>0</v>
      </c>
      <c r="T87" s="230">
        <v>6</v>
      </c>
      <c r="U87" s="425"/>
      <c r="V87" s="232">
        <f t="shared" si="27"/>
        <v>2539</v>
      </c>
      <c r="W87" s="209">
        <v>743</v>
      </c>
      <c r="X87" s="235"/>
      <c r="Y87" s="209"/>
      <c r="Z87" s="214">
        <f t="shared" si="25"/>
        <v>15564</v>
      </c>
      <c r="AA87" s="215">
        <f t="shared" si="28"/>
        <v>12884</v>
      </c>
      <c r="AB87" s="368"/>
      <c r="AM87">
        <v>0</v>
      </c>
    </row>
    <row r="88" spans="1:40" ht="13.8" thickBot="1" x14ac:dyDescent="0.3">
      <c r="A88" s="136" t="s">
        <v>175</v>
      </c>
      <c r="B88" s="137" t="s">
        <v>334</v>
      </c>
      <c r="C88" s="265">
        <v>92</v>
      </c>
      <c r="D88" s="265">
        <v>74</v>
      </c>
      <c r="E88" s="265">
        <v>20</v>
      </c>
      <c r="F88" s="265">
        <v>10</v>
      </c>
      <c r="G88" s="265">
        <v>11</v>
      </c>
      <c r="H88" s="265">
        <v>0</v>
      </c>
      <c r="I88" s="265">
        <v>0</v>
      </c>
      <c r="J88" s="265">
        <v>6</v>
      </c>
      <c r="K88" s="265">
        <v>0</v>
      </c>
      <c r="L88" s="239">
        <f t="shared" si="26"/>
        <v>213</v>
      </c>
      <c r="M88" s="265">
        <v>196</v>
      </c>
      <c r="N88" s="265">
        <v>186</v>
      </c>
      <c r="O88" s="265">
        <v>69</v>
      </c>
      <c r="P88" s="265">
        <v>17</v>
      </c>
      <c r="Q88" s="265">
        <v>2</v>
      </c>
      <c r="R88" s="265">
        <v>0</v>
      </c>
      <c r="S88" s="265">
        <v>0</v>
      </c>
      <c r="T88" s="265">
        <v>0</v>
      </c>
      <c r="U88" s="426"/>
      <c r="V88" s="239">
        <f t="shared" si="27"/>
        <v>470</v>
      </c>
      <c r="W88" s="209">
        <v>409</v>
      </c>
      <c r="X88" s="235"/>
      <c r="Y88" s="209"/>
      <c r="Z88" s="214">
        <f t="shared" si="25"/>
        <v>1092</v>
      </c>
      <c r="AA88" s="215">
        <f t="shared" si="28"/>
        <v>575</v>
      </c>
      <c r="AB88" s="368"/>
      <c r="AM88">
        <v>0</v>
      </c>
    </row>
    <row r="89" spans="1:40" s="109" customFormat="1" ht="14.4" thickBot="1" x14ac:dyDescent="0.3">
      <c r="A89" s="134"/>
      <c r="B89" s="159" t="s">
        <v>461</v>
      </c>
      <c r="C89" s="258">
        <f t="shared" ref="C89:AA89" si="29">SUM(C73:C88)</f>
        <v>15426</v>
      </c>
      <c r="D89" s="157">
        <f t="shared" si="29"/>
        <v>7933</v>
      </c>
      <c r="E89" s="157">
        <f t="shared" si="29"/>
        <v>3816</v>
      </c>
      <c r="F89" s="157">
        <f t="shared" si="29"/>
        <v>432</v>
      </c>
      <c r="G89" s="364">
        <f t="shared" si="29"/>
        <v>509</v>
      </c>
      <c r="H89" s="157">
        <f t="shared" si="29"/>
        <v>0</v>
      </c>
      <c r="I89" s="157">
        <f t="shared" si="29"/>
        <v>134</v>
      </c>
      <c r="J89" s="157">
        <f t="shared" si="29"/>
        <v>1148</v>
      </c>
      <c r="K89" s="259">
        <f t="shared" si="29"/>
        <v>0</v>
      </c>
      <c r="L89" s="266">
        <f t="shared" si="29"/>
        <v>29398</v>
      </c>
      <c r="M89" s="262">
        <f t="shared" si="29"/>
        <v>4210</v>
      </c>
      <c r="N89" s="158">
        <f t="shared" si="29"/>
        <v>6494</v>
      </c>
      <c r="O89" s="158">
        <f t="shared" si="29"/>
        <v>2156</v>
      </c>
      <c r="P89" s="158">
        <f t="shared" si="29"/>
        <v>203</v>
      </c>
      <c r="Q89" s="158">
        <f t="shared" si="29"/>
        <v>254</v>
      </c>
      <c r="R89" s="158">
        <f t="shared" si="29"/>
        <v>334</v>
      </c>
      <c r="S89" s="158">
        <f t="shared" si="29"/>
        <v>143</v>
      </c>
      <c r="T89" s="264">
        <f t="shared" si="29"/>
        <v>98</v>
      </c>
      <c r="U89" s="401">
        <f t="shared" si="29"/>
        <v>0</v>
      </c>
      <c r="V89" s="266">
        <f t="shared" si="29"/>
        <v>13892</v>
      </c>
      <c r="W89" s="210">
        <f t="shared" si="29"/>
        <v>9277</v>
      </c>
      <c r="X89" s="261">
        <f t="shared" si="29"/>
        <v>0</v>
      </c>
      <c r="Y89" s="210">
        <f t="shared" si="29"/>
        <v>0</v>
      </c>
      <c r="Z89" s="210">
        <f t="shared" si="29"/>
        <v>52567</v>
      </c>
      <c r="AA89" s="210">
        <f t="shared" si="29"/>
        <v>34698</v>
      </c>
      <c r="AB89" s="366"/>
      <c r="AC89"/>
      <c r="AD89"/>
      <c r="AE89"/>
      <c r="AF89"/>
      <c r="AG89"/>
      <c r="AH89"/>
      <c r="AI89"/>
      <c r="AJ89"/>
      <c r="AK89"/>
      <c r="AL89"/>
      <c r="AM89">
        <v>0</v>
      </c>
      <c r="AN89"/>
    </row>
    <row r="90" spans="1:40" x14ac:dyDescent="0.25">
      <c r="A90" s="136" t="s">
        <v>67</v>
      </c>
      <c r="B90" s="137" t="s">
        <v>346</v>
      </c>
      <c r="C90" s="280">
        <v>122</v>
      </c>
      <c r="D90" s="280">
        <v>54</v>
      </c>
      <c r="E90" s="280">
        <v>27</v>
      </c>
      <c r="F90" s="280">
        <v>4</v>
      </c>
      <c r="G90" s="280">
        <v>6</v>
      </c>
      <c r="H90" s="280">
        <v>0</v>
      </c>
      <c r="I90" s="280">
        <v>0</v>
      </c>
      <c r="J90" s="280">
        <v>51</v>
      </c>
      <c r="K90" s="280">
        <v>0</v>
      </c>
      <c r="L90" s="234">
        <f t="shared" ref="L90:L105" si="30">SUM(C90:K90)</f>
        <v>264</v>
      </c>
      <c r="M90" s="280">
        <v>91</v>
      </c>
      <c r="N90" s="280">
        <v>121</v>
      </c>
      <c r="O90" s="280">
        <v>42</v>
      </c>
      <c r="P90" s="280">
        <v>0</v>
      </c>
      <c r="Q90" s="280">
        <v>2</v>
      </c>
      <c r="R90" s="280">
        <v>0</v>
      </c>
      <c r="S90" s="280">
        <v>0</v>
      </c>
      <c r="T90" s="280">
        <v>0</v>
      </c>
      <c r="U90" s="280"/>
      <c r="V90" s="234">
        <f t="shared" ref="V90:V105" si="31">SUM(M90:U90)</f>
        <v>256</v>
      </c>
      <c r="W90" s="211"/>
      <c r="X90" s="237"/>
      <c r="Y90" s="211"/>
      <c r="Z90" s="214">
        <f>L90+V90+W90+X90+Y90</f>
        <v>520</v>
      </c>
      <c r="AA90" s="215">
        <f t="shared" ref="AA90:AA105" si="32">C90+D90+F90+K90+M90+N90+P90+U90</f>
        <v>392</v>
      </c>
      <c r="AB90" s="368"/>
      <c r="AM90">
        <v>0</v>
      </c>
    </row>
    <row r="91" spans="1:40" x14ac:dyDescent="0.25">
      <c r="A91" s="136" t="s">
        <v>76</v>
      </c>
      <c r="B91" s="137" t="s">
        <v>290</v>
      </c>
      <c r="C91" s="230">
        <v>84</v>
      </c>
      <c r="D91" s="230">
        <v>104</v>
      </c>
      <c r="E91" s="230">
        <v>66</v>
      </c>
      <c r="F91" s="230">
        <v>1</v>
      </c>
      <c r="G91" s="230">
        <v>16</v>
      </c>
      <c r="H91" s="230">
        <v>0</v>
      </c>
      <c r="I91" s="230">
        <v>0</v>
      </c>
      <c r="J91" s="230">
        <v>6</v>
      </c>
      <c r="K91" s="230">
        <v>0</v>
      </c>
      <c r="L91" s="232">
        <f t="shared" si="30"/>
        <v>277</v>
      </c>
      <c r="M91" s="230">
        <v>47</v>
      </c>
      <c r="N91" s="230">
        <v>61</v>
      </c>
      <c r="O91" s="230">
        <v>36</v>
      </c>
      <c r="P91" s="230">
        <v>0</v>
      </c>
      <c r="Q91" s="230">
        <v>2</v>
      </c>
      <c r="R91" s="230">
        <v>2</v>
      </c>
      <c r="S91" s="230">
        <v>0</v>
      </c>
      <c r="T91" s="230">
        <v>1</v>
      </c>
      <c r="U91" s="230"/>
      <c r="V91" s="232">
        <f t="shared" si="31"/>
        <v>149</v>
      </c>
      <c r="W91" s="204">
        <v>1149</v>
      </c>
      <c r="X91" s="233"/>
      <c r="Y91" s="204"/>
      <c r="Z91" s="214">
        <f t="shared" ref="Z91:Z105" si="33">L91+V91+W91+X91+Y91</f>
        <v>1575</v>
      </c>
      <c r="AA91" s="215">
        <f t="shared" si="32"/>
        <v>297</v>
      </c>
      <c r="AB91" s="367"/>
    </row>
    <row r="92" spans="1:40" x14ac:dyDescent="0.25">
      <c r="A92" s="136" t="s">
        <v>79</v>
      </c>
      <c r="B92" s="137" t="s">
        <v>347</v>
      </c>
      <c r="C92" s="230">
        <v>385</v>
      </c>
      <c r="D92" s="230">
        <v>115</v>
      </c>
      <c r="E92" s="230">
        <v>84</v>
      </c>
      <c r="F92" s="230">
        <v>17</v>
      </c>
      <c r="G92" s="230">
        <v>6</v>
      </c>
      <c r="H92" s="230">
        <v>0</v>
      </c>
      <c r="I92" s="230">
        <v>40</v>
      </c>
      <c r="J92" s="230">
        <v>195</v>
      </c>
      <c r="K92" s="230">
        <v>0</v>
      </c>
      <c r="L92" s="232">
        <f t="shared" si="30"/>
        <v>842</v>
      </c>
      <c r="M92" s="230">
        <v>279</v>
      </c>
      <c r="N92" s="230">
        <v>191</v>
      </c>
      <c r="O92" s="230">
        <v>87</v>
      </c>
      <c r="P92" s="230">
        <v>5</v>
      </c>
      <c r="Q92" s="230">
        <v>5</v>
      </c>
      <c r="R92" s="230">
        <v>0</v>
      </c>
      <c r="S92" s="230">
        <v>0</v>
      </c>
      <c r="T92" s="230">
        <v>13</v>
      </c>
      <c r="U92" s="230"/>
      <c r="V92" s="232">
        <f t="shared" si="31"/>
        <v>580</v>
      </c>
      <c r="W92" s="204">
        <v>207</v>
      </c>
      <c r="X92" s="233"/>
      <c r="Y92" s="204"/>
      <c r="Z92" s="214">
        <f t="shared" si="33"/>
        <v>1629</v>
      </c>
      <c r="AA92" s="215">
        <f t="shared" si="32"/>
        <v>992</v>
      </c>
      <c r="AB92" s="368"/>
    </row>
    <row r="93" spans="1:40" x14ac:dyDescent="0.25">
      <c r="A93" s="136" t="s">
        <v>83</v>
      </c>
      <c r="B93" s="137" t="s">
        <v>291</v>
      </c>
      <c r="C93" s="230">
        <v>2256</v>
      </c>
      <c r="D93" s="230">
        <v>2305</v>
      </c>
      <c r="E93" s="230">
        <v>413</v>
      </c>
      <c r="F93" s="230">
        <v>32</v>
      </c>
      <c r="G93" s="230">
        <v>143</v>
      </c>
      <c r="H93" s="230">
        <v>0</v>
      </c>
      <c r="I93" s="230">
        <v>86</v>
      </c>
      <c r="J93" s="230">
        <v>210</v>
      </c>
      <c r="K93" s="230">
        <v>0</v>
      </c>
      <c r="L93" s="232">
        <f t="shared" si="30"/>
        <v>5445</v>
      </c>
      <c r="M93" s="230">
        <v>349</v>
      </c>
      <c r="N93" s="230">
        <v>1165</v>
      </c>
      <c r="O93" s="230">
        <v>292</v>
      </c>
      <c r="P93" s="230">
        <v>2</v>
      </c>
      <c r="Q93" s="230">
        <v>136</v>
      </c>
      <c r="R93" s="230">
        <v>27</v>
      </c>
      <c r="S93" s="230">
        <v>0</v>
      </c>
      <c r="T93" s="230">
        <v>4</v>
      </c>
      <c r="U93" s="230"/>
      <c r="V93" s="232">
        <f t="shared" si="31"/>
        <v>1975</v>
      </c>
      <c r="W93" s="205"/>
      <c r="X93" s="233"/>
      <c r="Y93" s="204"/>
      <c r="Z93" s="214">
        <f t="shared" si="33"/>
        <v>7420</v>
      </c>
      <c r="AA93" s="215">
        <f t="shared" si="32"/>
        <v>6109</v>
      </c>
      <c r="AB93" s="368"/>
      <c r="AC93" s="109"/>
    </row>
    <row r="94" spans="1:40" ht="26.4" x14ac:dyDescent="0.25">
      <c r="A94" s="136" t="s">
        <v>89</v>
      </c>
      <c r="B94" s="137" t="s">
        <v>348</v>
      </c>
      <c r="C94" s="230">
        <v>62</v>
      </c>
      <c r="D94" s="230">
        <v>104</v>
      </c>
      <c r="E94" s="230">
        <v>8</v>
      </c>
      <c r="F94" s="230">
        <v>1</v>
      </c>
      <c r="G94" s="230">
        <v>3</v>
      </c>
      <c r="H94" s="230">
        <v>0</v>
      </c>
      <c r="I94" s="230">
        <v>0</v>
      </c>
      <c r="J94" s="230">
        <v>47</v>
      </c>
      <c r="K94" s="230">
        <v>0</v>
      </c>
      <c r="L94" s="232">
        <f t="shared" si="30"/>
        <v>225</v>
      </c>
      <c r="M94" s="230">
        <v>20</v>
      </c>
      <c r="N94" s="230">
        <v>53</v>
      </c>
      <c r="O94" s="230">
        <v>26</v>
      </c>
      <c r="P94" s="230">
        <v>0</v>
      </c>
      <c r="Q94" s="230">
        <v>4</v>
      </c>
      <c r="R94" s="230">
        <v>0</v>
      </c>
      <c r="S94" s="230">
        <v>0</v>
      </c>
      <c r="T94" s="230">
        <v>0</v>
      </c>
      <c r="U94" s="230"/>
      <c r="V94" s="232">
        <f t="shared" si="31"/>
        <v>103</v>
      </c>
      <c r="W94" s="204">
        <v>264</v>
      </c>
      <c r="X94" s="233"/>
      <c r="Y94" s="204"/>
      <c r="Z94" s="214">
        <f t="shared" si="33"/>
        <v>592</v>
      </c>
      <c r="AA94" s="215">
        <f t="shared" si="32"/>
        <v>240</v>
      </c>
      <c r="AB94" s="368"/>
    </row>
    <row r="95" spans="1:40" x14ac:dyDescent="0.25">
      <c r="A95" s="136" t="s">
        <v>90</v>
      </c>
      <c r="B95" s="137" t="s">
        <v>349</v>
      </c>
      <c r="C95" s="230">
        <v>240</v>
      </c>
      <c r="D95" s="230">
        <v>239</v>
      </c>
      <c r="E95" s="230">
        <v>59</v>
      </c>
      <c r="F95" s="230">
        <v>8</v>
      </c>
      <c r="G95" s="230">
        <v>9</v>
      </c>
      <c r="H95" s="230">
        <v>0</v>
      </c>
      <c r="I95" s="230">
        <v>0</v>
      </c>
      <c r="J95" s="230">
        <v>108</v>
      </c>
      <c r="K95" s="230">
        <v>0</v>
      </c>
      <c r="L95" s="232">
        <f t="shared" si="30"/>
        <v>663</v>
      </c>
      <c r="M95" s="230">
        <v>187</v>
      </c>
      <c r="N95" s="230">
        <v>166</v>
      </c>
      <c r="O95" s="230">
        <v>88</v>
      </c>
      <c r="P95" s="230">
        <v>2</v>
      </c>
      <c r="Q95" s="230">
        <v>3</v>
      </c>
      <c r="R95" s="230">
        <v>32</v>
      </c>
      <c r="S95" s="230">
        <v>0</v>
      </c>
      <c r="T95" s="230">
        <v>56</v>
      </c>
      <c r="U95" s="230"/>
      <c r="V95" s="232">
        <f t="shared" si="31"/>
        <v>534</v>
      </c>
      <c r="W95" s="204">
        <v>298</v>
      </c>
      <c r="X95" s="233"/>
      <c r="Y95" s="204"/>
      <c r="Z95" s="214">
        <f t="shared" si="33"/>
        <v>1495</v>
      </c>
      <c r="AA95" s="215">
        <f t="shared" si="32"/>
        <v>842</v>
      </c>
    </row>
    <row r="96" spans="1:40" x14ac:dyDescent="0.25">
      <c r="A96" s="136" t="s">
        <v>93</v>
      </c>
      <c r="B96" s="137" t="s">
        <v>359</v>
      </c>
      <c r="C96" s="230">
        <v>222</v>
      </c>
      <c r="D96" s="230">
        <v>384</v>
      </c>
      <c r="E96" s="230">
        <v>179</v>
      </c>
      <c r="F96" s="230">
        <v>10</v>
      </c>
      <c r="G96" s="230">
        <v>13</v>
      </c>
      <c r="H96" s="230">
        <v>0</v>
      </c>
      <c r="I96" s="230">
        <v>0</v>
      </c>
      <c r="J96" s="230">
        <v>128</v>
      </c>
      <c r="K96" s="230">
        <v>0</v>
      </c>
      <c r="L96" s="232">
        <f t="shared" si="30"/>
        <v>936</v>
      </c>
      <c r="M96" s="230">
        <v>152</v>
      </c>
      <c r="N96" s="230">
        <v>364</v>
      </c>
      <c r="O96" s="230">
        <v>85</v>
      </c>
      <c r="P96" s="230">
        <v>24</v>
      </c>
      <c r="Q96" s="230">
        <v>0</v>
      </c>
      <c r="R96" s="230">
        <v>0</v>
      </c>
      <c r="S96" s="230">
        <v>0</v>
      </c>
      <c r="T96" s="230">
        <v>0</v>
      </c>
      <c r="U96" s="230"/>
      <c r="V96" s="232">
        <f t="shared" si="31"/>
        <v>625</v>
      </c>
      <c r="W96" s="204">
        <v>349</v>
      </c>
      <c r="X96" s="233"/>
      <c r="Y96" s="204"/>
      <c r="Z96" s="214">
        <f t="shared" si="33"/>
        <v>1910</v>
      </c>
      <c r="AA96" s="215">
        <f t="shared" si="32"/>
        <v>1156</v>
      </c>
    </row>
    <row r="97" spans="1:27" x14ac:dyDescent="0.25">
      <c r="A97" s="136" t="s">
        <v>97</v>
      </c>
      <c r="B97" s="137" t="s">
        <v>294</v>
      </c>
      <c r="C97" s="230">
        <v>545</v>
      </c>
      <c r="D97" s="230">
        <v>464</v>
      </c>
      <c r="E97" s="230">
        <v>122</v>
      </c>
      <c r="F97" s="230">
        <v>10</v>
      </c>
      <c r="G97" s="230">
        <v>23</v>
      </c>
      <c r="H97" s="230">
        <v>34</v>
      </c>
      <c r="I97" s="230">
        <v>0</v>
      </c>
      <c r="J97" s="230">
        <v>191</v>
      </c>
      <c r="K97" s="230">
        <v>2</v>
      </c>
      <c r="L97" s="232">
        <f t="shared" si="30"/>
        <v>1391</v>
      </c>
      <c r="M97" s="230">
        <v>287</v>
      </c>
      <c r="N97" s="230">
        <v>466</v>
      </c>
      <c r="O97" s="230">
        <v>179</v>
      </c>
      <c r="P97" s="230">
        <v>2</v>
      </c>
      <c r="Q97" s="230">
        <v>30</v>
      </c>
      <c r="R97" s="230">
        <v>0</v>
      </c>
      <c r="S97" s="230">
        <v>0</v>
      </c>
      <c r="T97" s="230">
        <v>0</v>
      </c>
      <c r="U97" s="230"/>
      <c r="V97" s="232">
        <f t="shared" si="31"/>
        <v>964</v>
      </c>
      <c r="W97" s="204">
        <v>995</v>
      </c>
      <c r="X97" s="233"/>
      <c r="Y97" s="204"/>
      <c r="Z97" s="214">
        <f t="shared" si="33"/>
        <v>3350</v>
      </c>
      <c r="AA97" s="215">
        <f t="shared" si="32"/>
        <v>1776</v>
      </c>
    </row>
    <row r="98" spans="1:27" x14ac:dyDescent="0.25">
      <c r="A98" s="136" t="s">
        <v>125</v>
      </c>
      <c r="B98" s="137" t="s">
        <v>350</v>
      </c>
      <c r="C98" s="230">
        <v>394</v>
      </c>
      <c r="D98" s="230">
        <v>279</v>
      </c>
      <c r="E98" s="230">
        <v>114</v>
      </c>
      <c r="F98" s="230">
        <v>33</v>
      </c>
      <c r="G98" s="230">
        <v>22</v>
      </c>
      <c r="H98" s="230">
        <v>0</v>
      </c>
      <c r="I98" s="230">
        <v>0</v>
      </c>
      <c r="J98" s="230">
        <v>98</v>
      </c>
      <c r="K98" s="230">
        <v>0</v>
      </c>
      <c r="L98" s="232">
        <f t="shared" si="30"/>
        <v>940</v>
      </c>
      <c r="M98" s="230">
        <v>184</v>
      </c>
      <c r="N98" s="230">
        <v>150</v>
      </c>
      <c r="O98" s="230">
        <v>52</v>
      </c>
      <c r="P98" s="230">
        <v>3</v>
      </c>
      <c r="Q98" s="230">
        <v>1</v>
      </c>
      <c r="R98" s="230">
        <v>0</v>
      </c>
      <c r="S98" s="230">
        <v>0</v>
      </c>
      <c r="T98" s="230">
        <v>56</v>
      </c>
      <c r="U98" s="230"/>
      <c r="V98" s="232">
        <f t="shared" si="31"/>
        <v>446</v>
      </c>
      <c r="W98" s="204">
        <v>282</v>
      </c>
      <c r="X98" s="233"/>
      <c r="Y98" s="204"/>
      <c r="Z98" s="214">
        <f t="shared" si="33"/>
        <v>1668</v>
      </c>
      <c r="AA98" s="215">
        <f t="shared" si="32"/>
        <v>1043</v>
      </c>
    </row>
    <row r="99" spans="1:27" x14ac:dyDescent="0.25">
      <c r="A99" s="136" t="s">
        <v>135</v>
      </c>
      <c r="B99" s="137" t="s">
        <v>351</v>
      </c>
      <c r="C99" s="230">
        <v>305</v>
      </c>
      <c r="D99" s="230">
        <v>391</v>
      </c>
      <c r="E99" s="230">
        <v>100</v>
      </c>
      <c r="F99" s="230">
        <v>14</v>
      </c>
      <c r="G99" s="230">
        <v>13</v>
      </c>
      <c r="H99" s="230">
        <v>0</v>
      </c>
      <c r="I99" s="230">
        <v>0</v>
      </c>
      <c r="J99" s="230">
        <v>79</v>
      </c>
      <c r="K99" s="230">
        <v>0</v>
      </c>
      <c r="L99" s="232">
        <f t="shared" si="30"/>
        <v>902</v>
      </c>
      <c r="M99" s="230">
        <v>118</v>
      </c>
      <c r="N99" s="230">
        <v>415</v>
      </c>
      <c r="O99" s="230">
        <v>110</v>
      </c>
      <c r="P99" s="230">
        <v>3</v>
      </c>
      <c r="Q99" s="230">
        <v>22</v>
      </c>
      <c r="R99" s="230">
        <v>8</v>
      </c>
      <c r="S99" s="230">
        <v>0</v>
      </c>
      <c r="T99" s="230">
        <v>0</v>
      </c>
      <c r="U99" s="230"/>
      <c r="V99" s="232">
        <f t="shared" si="31"/>
        <v>676</v>
      </c>
      <c r="W99" s="204">
        <v>392</v>
      </c>
      <c r="X99" s="233"/>
      <c r="Y99" s="204"/>
      <c r="Z99" s="214">
        <f t="shared" si="33"/>
        <v>1970</v>
      </c>
      <c r="AA99" s="215">
        <f t="shared" si="32"/>
        <v>1246</v>
      </c>
    </row>
    <row r="100" spans="1:27" x14ac:dyDescent="0.25">
      <c r="A100" s="136" t="s">
        <v>144</v>
      </c>
      <c r="B100" s="137" t="s">
        <v>352</v>
      </c>
      <c r="C100" s="230">
        <v>851</v>
      </c>
      <c r="D100" s="230">
        <v>217</v>
      </c>
      <c r="E100" s="230">
        <v>96</v>
      </c>
      <c r="F100" s="230">
        <v>67</v>
      </c>
      <c r="G100" s="230">
        <v>35</v>
      </c>
      <c r="H100" s="230">
        <v>0</v>
      </c>
      <c r="I100" s="230">
        <v>0</v>
      </c>
      <c r="J100" s="230">
        <v>94</v>
      </c>
      <c r="K100" s="230">
        <v>0</v>
      </c>
      <c r="L100" s="232">
        <f t="shared" si="30"/>
        <v>1360</v>
      </c>
      <c r="M100" s="230">
        <v>166</v>
      </c>
      <c r="N100" s="230">
        <v>157</v>
      </c>
      <c r="O100" s="230">
        <v>86</v>
      </c>
      <c r="P100" s="230">
        <v>25</v>
      </c>
      <c r="Q100" s="230">
        <v>1</v>
      </c>
      <c r="R100" s="230">
        <v>0</v>
      </c>
      <c r="S100" s="230">
        <v>0</v>
      </c>
      <c r="T100" s="230">
        <v>4</v>
      </c>
      <c r="U100" s="230"/>
      <c r="V100" s="232">
        <f t="shared" si="31"/>
        <v>439</v>
      </c>
      <c r="W100" s="204">
        <v>142</v>
      </c>
      <c r="X100" s="233"/>
      <c r="Y100" s="204"/>
      <c r="Z100" s="214">
        <f t="shared" si="33"/>
        <v>1941</v>
      </c>
      <c r="AA100" s="215">
        <f t="shared" si="32"/>
        <v>1483</v>
      </c>
    </row>
    <row r="101" spans="1:27" x14ac:dyDescent="0.25">
      <c r="A101" s="136" t="s">
        <v>176</v>
      </c>
      <c r="B101" s="137" t="s">
        <v>354</v>
      </c>
      <c r="C101" s="230">
        <v>320</v>
      </c>
      <c r="D101" s="230">
        <v>496</v>
      </c>
      <c r="E101" s="230">
        <v>74</v>
      </c>
      <c r="F101" s="230">
        <v>23</v>
      </c>
      <c r="G101" s="230">
        <v>19</v>
      </c>
      <c r="H101" s="230">
        <v>0</v>
      </c>
      <c r="I101" s="230">
        <v>0</v>
      </c>
      <c r="J101" s="230">
        <v>139</v>
      </c>
      <c r="K101" s="230">
        <v>0</v>
      </c>
      <c r="L101" s="232">
        <f t="shared" si="30"/>
        <v>1071</v>
      </c>
      <c r="M101" s="230">
        <v>185</v>
      </c>
      <c r="N101" s="230">
        <v>496</v>
      </c>
      <c r="O101" s="230">
        <v>153</v>
      </c>
      <c r="P101" s="230">
        <v>9</v>
      </c>
      <c r="Q101" s="230">
        <v>6</v>
      </c>
      <c r="R101" s="230">
        <v>0</v>
      </c>
      <c r="S101" s="230">
        <v>0</v>
      </c>
      <c r="T101" s="230">
        <v>3</v>
      </c>
      <c r="U101" s="230"/>
      <c r="V101" s="232">
        <f t="shared" si="31"/>
        <v>852</v>
      </c>
      <c r="W101" s="204">
        <v>380</v>
      </c>
      <c r="X101" s="233"/>
      <c r="Y101" s="204"/>
      <c r="Z101" s="214">
        <f t="shared" si="33"/>
        <v>2303</v>
      </c>
      <c r="AA101" s="215">
        <f t="shared" si="32"/>
        <v>1529</v>
      </c>
    </row>
    <row r="102" spans="1:27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30"/>
        <v>0</v>
      </c>
      <c r="M102" s="147"/>
      <c r="N102" s="147"/>
      <c r="O102" s="147"/>
      <c r="P102" s="147"/>
      <c r="Q102" s="147"/>
      <c r="R102" s="147"/>
      <c r="S102" s="147"/>
      <c r="T102" s="147"/>
      <c r="U102" s="147"/>
      <c r="V102" s="232">
        <f t="shared" si="31"/>
        <v>0</v>
      </c>
      <c r="W102" s="204">
        <f>0+1011+2046+1424+5324+19126+928+947+1401</f>
        <v>32207</v>
      </c>
      <c r="X102" s="233"/>
      <c r="Y102" s="204"/>
      <c r="Z102" s="214">
        <f t="shared" si="33"/>
        <v>32207</v>
      </c>
      <c r="AA102" s="215">
        <f t="shared" si="32"/>
        <v>0</v>
      </c>
    </row>
    <row r="103" spans="1:27" x14ac:dyDescent="0.25">
      <c r="A103" s="136" t="s">
        <v>177</v>
      </c>
      <c r="B103" s="137" t="s">
        <v>302</v>
      </c>
      <c r="C103" s="230">
        <v>913</v>
      </c>
      <c r="D103" s="230">
        <v>2289</v>
      </c>
      <c r="E103" s="230">
        <v>448</v>
      </c>
      <c r="F103" s="230">
        <v>50</v>
      </c>
      <c r="G103" s="230">
        <v>46</v>
      </c>
      <c r="H103" s="230">
        <v>2</v>
      </c>
      <c r="I103" s="230">
        <v>20</v>
      </c>
      <c r="J103" s="230">
        <v>132</v>
      </c>
      <c r="K103" s="230">
        <v>0</v>
      </c>
      <c r="L103" s="232">
        <f t="shared" si="30"/>
        <v>3900</v>
      </c>
      <c r="M103" s="230">
        <v>179</v>
      </c>
      <c r="N103" s="230">
        <v>725</v>
      </c>
      <c r="O103" s="230">
        <v>228</v>
      </c>
      <c r="P103" s="230">
        <v>11</v>
      </c>
      <c r="Q103" s="230">
        <v>22</v>
      </c>
      <c r="R103" s="230">
        <v>142</v>
      </c>
      <c r="S103" s="230">
        <v>0</v>
      </c>
      <c r="T103" s="230">
        <v>4</v>
      </c>
      <c r="U103" s="230"/>
      <c r="V103" s="232">
        <f t="shared" si="31"/>
        <v>1311</v>
      </c>
      <c r="W103" s="204">
        <v>779</v>
      </c>
      <c r="X103" s="233"/>
      <c r="Y103" s="204"/>
      <c r="Z103" s="214">
        <f t="shared" si="33"/>
        <v>5990</v>
      </c>
      <c r="AA103" s="215">
        <f t="shared" si="32"/>
        <v>4167</v>
      </c>
    </row>
    <row r="104" spans="1:27" ht="26.4" x14ac:dyDescent="0.25">
      <c r="A104" s="136" t="s">
        <v>178</v>
      </c>
      <c r="B104" s="137" t="s">
        <v>304</v>
      </c>
      <c r="C104" s="230">
        <v>308</v>
      </c>
      <c r="D104" s="230">
        <v>578</v>
      </c>
      <c r="E104" s="230">
        <v>138</v>
      </c>
      <c r="F104" s="230">
        <v>49</v>
      </c>
      <c r="G104" s="230">
        <v>11</v>
      </c>
      <c r="H104" s="230">
        <v>0</v>
      </c>
      <c r="I104" s="230">
        <v>0</v>
      </c>
      <c r="J104" s="230">
        <v>90</v>
      </c>
      <c r="K104" s="230">
        <v>0</v>
      </c>
      <c r="L104" s="232">
        <f t="shared" si="30"/>
        <v>1174</v>
      </c>
      <c r="M104" s="230">
        <v>75</v>
      </c>
      <c r="N104" s="230">
        <v>211</v>
      </c>
      <c r="O104" s="230">
        <v>51</v>
      </c>
      <c r="P104" s="230">
        <v>2</v>
      </c>
      <c r="Q104" s="230">
        <v>6</v>
      </c>
      <c r="R104" s="230">
        <v>0</v>
      </c>
      <c r="S104" s="230">
        <v>0</v>
      </c>
      <c r="T104" s="230">
        <v>0</v>
      </c>
      <c r="U104" s="230"/>
      <c r="V104" s="232">
        <f t="shared" si="31"/>
        <v>345</v>
      </c>
      <c r="W104" s="209">
        <v>434</v>
      </c>
      <c r="X104" s="235"/>
      <c r="Y104" s="209"/>
      <c r="Z104" s="214">
        <f t="shared" si="33"/>
        <v>1953</v>
      </c>
      <c r="AA104" s="215">
        <f t="shared" si="32"/>
        <v>1223</v>
      </c>
    </row>
    <row r="105" spans="1:27" ht="13.8" thickBot="1" x14ac:dyDescent="0.3">
      <c r="A105" s="136" t="s">
        <v>190</v>
      </c>
      <c r="B105" s="143" t="s">
        <v>364</v>
      </c>
      <c r="C105" s="230">
        <v>824</v>
      </c>
      <c r="D105" s="230">
        <v>923</v>
      </c>
      <c r="E105" s="230">
        <v>312</v>
      </c>
      <c r="F105" s="230">
        <v>23</v>
      </c>
      <c r="G105" s="230">
        <v>51</v>
      </c>
      <c r="H105" s="230">
        <v>14</v>
      </c>
      <c r="I105" s="230">
        <v>24</v>
      </c>
      <c r="J105" s="230">
        <v>285</v>
      </c>
      <c r="K105" s="230">
        <v>0</v>
      </c>
      <c r="L105" s="239">
        <f t="shared" si="30"/>
        <v>2456</v>
      </c>
      <c r="M105" s="265">
        <v>394</v>
      </c>
      <c r="N105" s="265">
        <v>918</v>
      </c>
      <c r="O105" s="265">
        <v>210</v>
      </c>
      <c r="P105" s="265">
        <v>31</v>
      </c>
      <c r="Q105" s="265">
        <v>74</v>
      </c>
      <c r="R105" s="265">
        <v>0</v>
      </c>
      <c r="S105" s="265">
        <v>0</v>
      </c>
      <c r="T105" s="265">
        <v>0</v>
      </c>
      <c r="U105" s="265"/>
      <c r="V105" s="357">
        <f t="shared" si="31"/>
        <v>1627</v>
      </c>
      <c r="W105" s="209">
        <v>611</v>
      </c>
      <c r="X105" s="235"/>
      <c r="Y105" s="209"/>
      <c r="Z105" s="214">
        <f t="shared" si="33"/>
        <v>4694</v>
      </c>
      <c r="AA105" s="215">
        <f t="shared" si="32"/>
        <v>3113</v>
      </c>
    </row>
    <row r="106" spans="1:27" s="109" customFormat="1" ht="14.4" thickBot="1" x14ac:dyDescent="0.3">
      <c r="A106" s="134"/>
      <c r="B106" s="159" t="s">
        <v>462</v>
      </c>
      <c r="C106" s="396">
        <f t="shared" ref="C106:AA106" si="34">SUM(C90:C105)</f>
        <v>7831</v>
      </c>
      <c r="D106" s="320">
        <f t="shared" si="34"/>
        <v>8942</v>
      </c>
      <c r="E106" s="320">
        <f t="shared" si="34"/>
        <v>2240</v>
      </c>
      <c r="F106" s="320">
        <f t="shared" si="34"/>
        <v>342</v>
      </c>
      <c r="G106" s="494">
        <f t="shared" si="34"/>
        <v>416</v>
      </c>
      <c r="H106" s="320">
        <f t="shared" si="34"/>
        <v>50</v>
      </c>
      <c r="I106" s="320">
        <f t="shared" si="34"/>
        <v>170</v>
      </c>
      <c r="J106" s="320">
        <f t="shared" si="34"/>
        <v>1853</v>
      </c>
      <c r="K106" s="436">
        <f t="shared" si="34"/>
        <v>2</v>
      </c>
      <c r="L106" s="266">
        <f t="shared" ref="L106" si="35">SUM(L90:L105)</f>
        <v>21846</v>
      </c>
      <c r="M106" s="262">
        <f t="shared" si="34"/>
        <v>2713</v>
      </c>
      <c r="N106" s="158">
        <f t="shared" si="34"/>
        <v>5659</v>
      </c>
      <c r="O106" s="158">
        <f t="shared" si="34"/>
        <v>1725</v>
      </c>
      <c r="P106" s="158">
        <f t="shared" si="34"/>
        <v>119</v>
      </c>
      <c r="Q106" s="158">
        <f t="shared" si="34"/>
        <v>314</v>
      </c>
      <c r="R106" s="158">
        <f t="shared" si="34"/>
        <v>211</v>
      </c>
      <c r="S106" s="158">
        <f t="shared" si="34"/>
        <v>0</v>
      </c>
      <c r="T106" s="158">
        <f t="shared" si="34"/>
        <v>141</v>
      </c>
      <c r="U106" s="264">
        <f t="shared" si="34"/>
        <v>0</v>
      </c>
      <c r="V106" s="266">
        <f t="shared" si="34"/>
        <v>10882</v>
      </c>
      <c r="W106" s="210">
        <f t="shared" si="34"/>
        <v>38489</v>
      </c>
      <c r="X106" s="261">
        <f>SUM(X90:X105)</f>
        <v>0</v>
      </c>
      <c r="Y106" s="210">
        <f>SUM(Y90:Y105)</f>
        <v>0</v>
      </c>
      <c r="Z106" s="210">
        <f t="shared" si="34"/>
        <v>71217</v>
      </c>
      <c r="AA106" s="210">
        <f t="shared" si="34"/>
        <v>25608</v>
      </c>
    </row>
    <row r="107" spans="1:27" ht="18" thickBot="1" x14ac:dyDescent="0.35">
      <c r="A107" s="135"/>
      <c r="B107" s="169" t="s">
        <v>463</v>
      </c>
      <c r="C107" s="186">
        <f t="shared" ref="C107:Z107" si="36">C106+C89+C72+C55+C37+C23</f>
        <v>86980</v>
      </c>
      <c r="D107" s="162">
        <f t="shared" si="36"/>
        <v>56486</v>
      </c>
      <c r="E107" s="162">
        <f t="shared" si="36"/>
        <v>25265</v>
      </c>
      <c r="F107" s="422">
        <f t="shared" si="36"/>
        <v>2418</v>
      </c>
      <c r="G107" s="162">
        <f t="shared" si="36"/>
        <v>3119</v>
      </c>
      <c r="H107" s="162">
        <f t="shared" si="36"/>
        <v>823</v>
      </c>
      <c r="I107" s="162">
        <f t="shared" si="36"/>
        <v>2826</v>
      </c>
      <c r="J107" s="162">
        <f t="shared" si="36"/>
        <v>25061</v>
      </c>
      <c r="K107" s="424">
        <f t="shared" si="36"/>
        <v>1094</v>
      </c>
      <c r="L107" s="421">
        <f t="shared" si="36"/>
        <v>204072</v>
      </c>
      <c r="M107" s="162">
        <f t="shared" si="36"/>
        <v>25992</v>
      </c>
      <c r="N107" s="162">
        <f t="shared" si="36"/>
        <v>49521</v>
      </c>
      <c r="O107" s="162">
        <f t="shared" si="36"/>
        <v>13212</v>
      </c>
      <c r="P107" s="162">
        <f t="shared" si="36"/>
        <v>1103</v>
      </c>
      <c r="Q107" s="162">
        <f t="shared" si="36"/>
        <v>2261</v>
      </c>
      <c r="R107" s="162">
        <f t="shared" si="36"/>
        <v>2684</v>
      </c>
      <c r="S107" s="162">
        <f t="shared" si="36"/>
        <v>312</v>
      </c>
      <c r="T107" s="162">
        <f t="shared" si="36"/>
        <v>1332</v>
      </c>
      <c r="U107" s="428">
        <f t="shared" si="36"/>
        <v>31</v>
      </c>
      <c r="V107" s="163">
        <f t="shared" si="36"/>
        <v>96448</v>
      </c>
      <c r="W107" s="212">
        <f t="shared" si="36"/>
        <v>107424</v>
      </c>
      <c r="X107" s="421">
        <f t="shared" si="36"/>
        <v>5299</v>
      </c>
      <c r="Y107" s="212">
        <f t="shared" si="36"/>
        <v>862</v>
      </c>
      <c r="Z107" s="212">
        <f t="shared" si="36"/>
        <v>414105</v>
      </c>
      <c r="AA107" s="212">
        <f>AA106+AA89+AA72+AA55+AA37+AA23</f>
        <v>223625</v>
      </c>
    </row>
    <row r="109" spans="1:27" x14ac:dyDescent="0.25">
      <c r="C109" s="122">
        <f>C107</f>
        <v>86980</v>
      </c>
      <c r="D109" s="122">
        <f t="shared" ref="D109:AA109" si="37">D107</f>
        <v>56486</v>
      </c>
      <c r="E109" s="122">
        <f t="shared" si="37"/>
        <v>25265</v>
      </c>
      <c r="F109" s="122">
        <f t="shared" si="37"/>
        <v>2418</v>
      </c>
      <c r="G109" s="122">
        <f t="shared" si="37"/>
        <v>3119</v>
      </c>
      <c r="H109" s="122">
        <f t="shared" si="37"/>
        <v>823</v>
      </c>
      <c r="I109" s="122">
        <f t="shared" si="37"/>
        <v>2826</v>
      </c>
      <c r="J109" s="122">
        <f t="shared" si="37"/>
        <v>25061</v>
      </c>
      <c r="K109" s="122">
        <f t="shared" si="37"/>
        <v>1094</v>
      </c>
      <c r="L109" s="122">
        <f t="shared" si="37"/>
        <v>204072</v>
      </c>
      <c r="M109" s="122">
        <f t="shared" si="37"/>
        <v>25992</v>
      </c>
      <c r="N109" s="122">
        <f t="shared" si="37"/>
        <v>49521</v>
      </c>
      <c r="O109" s="122">
        <f t="shared" si="37"/>
        <v>13212</v>
      </c>
      <c r="P109" s="122">
        <f t="shared" si="37"/>
        <v>1103</v>
      </c>
      <c r="Q109" s="122">
        <f t="shared" si="37"/>
        <v>2261</v>
      </c>
      <c r="R109" s="122">
        <f t="shared" si="37"/>
        <v>2684</v>
      </c>
      <c r="S109" s="122">
        <f t="shared" si="37"/>
        <v>312</v>
      </c>
      <c r="T109" s="122">
        <f t="shared" si="37"/>
        <v>1332</v>
      </c>
      <c r="U109" s="122">
        <f t="shared" si="37"/>
        <v>31</v>
      </c>
      <c r="V109" s="122">
        <f t="shared" si="37"/>
        <v>96448</v>
      </c>
      <c r="W109" s="122">
        <f t="shared" si="37"/>
        <v>107424</v>
      </c>
      <c r="X109" s="122">
        <f t="shared" si="37"/>
        <v>5299</v>
      </c>
      <c r="Y109" s="122">
        <f t="shared" si="37"/>
        <v>862</v>
      </c>
      <c r="Z109" s="122">
        <f t="shared" si="37"/>
        <v>414105</v>
      </c>
      <c r="AA109" s="122">
        <f t="shared" si="37"/>
        <v>223625</v>
      </c>
    </row>
    <row r="110" spans="1:27" x14ac:dyDescent="0.25">
      <c r="L110">
        <v>202030</v>
      </c>
    </row>
    <row r="111" spans="1:27" x14ac:dyDescent="0.25">
      <c r="K111" s="122"/>
      <c r="L111" s="122">
        <f>+L109-L110</f>
        <v>2042</v>
      </c>
    </row>
    <row r="112" spans="1:27" x14ac:dyDescent="0.25">
      <c r="M112" s="122"/>
    </row>
    <row r="118" spans="5:5" x14ac:dyDescent="0.25">
      <c r="E118" s="369"/>
    </row>
  </sheetData>
  <mergeCells count="5">
    <mergeCell ref="B1:B3"/>
    <mergeCell ref="C4:L4"/>
    <mergeCell ref="M4:V4"/>
    <mergeCell ref="C1:Z1"/>
    <mergeCell ref="C2:Z2"/>
  </mergeCells>
  <conditionalFormatting sqref="W6:Y22 W24:Y36 W38:Y54 W56:Y71 W73:Y88">
    <cfRule type="cellIs" dxfId="42" priority="1" stopIfTrue="1" operator="notBetween">
      <formula>-2000</formula>
      <formula>2000</formula>
    </cfRule>
  </conditionalFormatting>
  <conditionalFormatting sqref="V3">
    <cfRule type="cellIs" dxfId="41" priority="4" stopIfTrue="1" operator="greaterThan">
      <formula>10</formula>
    </cfRule>
    <cfRule type="cellIs" dxfId="40" priority="5" stopIfTrue="1" operator="lessThan">
      <formula>10</formula>
    </cfRule>
  </conditionalFormatting>
  <conditionalFormatting sqref="W90:Y105">
    <cfRule type="cellIs" dxfId="39" priority="3" stopIfTrue="1" operator="notBetween">
      <formula>-2000</formula>
      <formula>2000</formula>
    </cfRule>
  </conditionalFormatting>
  <conditionalFormatting sqref="W18:Y18">
    <cfRule type="cellIs" dxfId="38" priority="2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7" fitToHeight="4" orientation="landscape" r:id="rId1"/>
  <headerFooter alignWithMargins="0">
    <oddFooter xml:space="preserve">&amp;L&amp;8&amp;Z&amp;F&amp;A&amp;10
</oddFooter>
  </headerFooter>
  <ignoredErrors>
    <ignoredError sqref="L55 L106 L23 V55 V23 V72 V89 Z23:AA23 Z37 Z55:AA55 Z72:AA72 Z89:AA89 V3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pageSetUpPr fitToPage="1"/>
  </sheetPr>
  <dimension ref="A1:AM129"/>
  <sheetViews>
    <sheetView showZeros="0" zoomScale="83" zoomScaleNormal="83" zoomScaleSheetLayoutView="50" workbookViewId="0">
      <pane xSplit="2" ySplit="5" topLeftCell="U96" activePane="bottomRight" state="frozen"/>
      <selection activeCell="R34" sqref="R34"/>
      <selection pane="topRight" activeCell="R34" sqref="R34"/>
      <selection pane="bottomLeft" activeCell="R34" sqref="R34"/>
      <selection pane="bottomRight" activeCell="Z12" sqref="Z12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customWidth="1"/>
    <col min="27" max="27" width="13.109375" bestFit="1" customWidth="1"/>
    <col min="28" max="28" width="6" customWidth="1"/>
  </cols>
  <sheetData>
    <row r="1" spans="1:39" s="111" customFormat="1" ht="22.8" x14ac:dyDescent="0.35">
      <c r="B1" s="544"/>
      <c r="C1" s="546" t="s">
        <v>263</v>
      </c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6"/>
      <c r="S1" s="546"/>
      <c r="T1" s="546"/>
      <c r="U1" s="546"/>
      <c r="V1" s="546"/>
      <c r="W1" s="546"/>
      <c r="X1" s="546"/>
      <c r="Y1" s="546"/>
      <c r="Z1" s="546"/>
      <c r="AC1"/>
      <c r="AD1"/>
      <c r="AE1"/>
      <c r="AF1"/>
      <c r="AG1"/>
      <c r="AH1"/>
      <c r="AI1"/>
      <c r="AJ1"/>
      <c r="AK1"/>
      <c r="AL1"/>
      <c r="AM1"/>
    </row>
    <row r="2" spans="1:39" s="111" customFormat="1" ht="22.8" x14ac:dyDescent="0.35">
      <c r="B2" s="544"/>
      <c r="C2" s="550"/>
      <c r="D2" s="550"/>
      <c r="E2" s="550"/>
      <c r="F2" s="550"/>
      <c r="G2" s="550"/>
      <c r="H2" s="550"/>
      <c r="I2" s="550"/>
      <c r="J2" s="550"/>
      <c r="K2" s="550"/>
      <c r="L2" s="550"/>
      <c r="M2" s="550"/>
      <c r="N2" s="550"/>
      <c r="O2" s="550"/>
      <c r="P2" s="550"/>
      <c r="Q2" s="550"/>
      <c r="R2" s="550"/>
      <c r="S2" s="550"/>
      <c r="T2" s="550"/>
      <c r="U2" s="550"/>
      <c r="V2" s="550"/>
      <c r="W2" s="550"/>
      <c r="X2" s="550"/>
      <c r="Y2" s="550"/>
      <c r="Z2" s="550"/>
      <c r="AC2"/>
      <c r="AD2"/>
      <c r="AE2"/>
      <c r="AF2"/>
      <c r="AG2"/>
      <c r="AH2"/>
      <c r="AI2"/>
      <c r="AJ2"/>
      <c r="AK2"/>
      <c r="AL2"/>
      <c r="AM2"/>
    </row>
    <row r="3" spans="1:39" s="111" customFormat="1" ht="21" thickBot="1" x14ac:dyDescent="0.4">
      <c r="B3" s="545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C3"/>
      <c r="AD3"/>
      <c r="AE3"/>
      <c r="AF3"/>
      <c r="AG3"/>
      <c r="AH3"/>
      <c r="AI3"/>
      <c r="AJ3"/>
      <c r="AK3"/>
      <c r="AL3"/>
      <c r="AM3"/>
    </row>
    <row r="4" spans="1:39" ht="21" customHeight="1" thickTop="1" thickBot="1" x14ac:dyDescent="0.3">
      <c r="A4" s="145"/>
      <c r="B4" s="167"/>
      <c r="C4" s="547" t="s">
        <v>253</v>
      </c>
      <c r="D4" s="548"/>
      <c r="E4" s="548"/>
      <c r="F4" s="548"/>
      <c r="G4" s="548"/>
      <c r="H4" s="548"/>
      <c r="I4" s="548"/>
      <c r="J4" s="548"/>
      <c r="K4" s="548"/>
      <c r="L4" s="549"/>
      <c r="M4" s="547" t="s">
        <v>262</v>
      </c>
      <c r="N4" s="548"/>
      <c r="O4" s="548"/>
      <c r="P4" s="548"/>
      <c r="Q4" s="548"/>
      <c r="R4" s="548"/>
      <c r="S4" s="548"/>
      <c r="T4" s="548"/>
      <c r="U4" s="548"/>
      <c r="V4" s="549"/>
      <c r="W4" s="202"/>
      <c r="X4" s="202"/>
      <c r="Y4" s="272" t="s">
        <v>472</v>
      </c>
      <c r="Z4" s="202"/>
      <c r="AA4" s="202"/>
    </row>
    <row r="5" spans="1:39" ht="45" customHeight="1" thickBot="1" x14ac:dyDescent="0.3">
      <c r="A5" s="146" t="s">
        <v>360</v>
      </c>
      <c r="B5" s="168" t="s">
        <v>456</v>
      </c>
      <c r="C5" s="315" t="s">
        <v>254</v>
      </c>
      <c r="D5" s="316" t="s">
        <v>219</v>
      </c>
      <c r="E5" s="317" t="s">
        <v>255</v>
      </c>
      <c r="F5" s="318" t="s">
        <v>256</v>
      </c>
      <c r="G5" s="318" t="s">
        <v>257</v>
      </c>
      <c r="H5" s="318" t="s">
        <v>258</v>
      </c>
      <c r="I5" s="318" t="s">
        <v>259</v>
      </c>
      <c r="J5" s="319" t="s">
        <v>260</v>
      </c>
      <c r="K5" s="519" t="s">
        <v>261</v>
      </c>
      <c r="L5" s="171" t="s">
        <v>208</v>
      </c>
      <c r="M5" s="324" t="s">
        <v>254</v>
      </c>
      <c r="N5" s="316" t="s">
        <v>219</v>
      </c>
      <c r="O5" s="317" t="s">
        <v>255</v>
      </c>
      <c r="P5" s="318" t="s">
        <v>256</v>
      </c>
      <c r="Q5" s="318" t="s">
        <v>257</v>
      </c>
      <c r="R5" s="318" t="s">
        <v>258</v>
      </c>
      <c r="S5" s="318" t="s">
        <v>259</v>
      </c>
      <c r="T5" s="318" t="s">
        <v>260</v>
      </c>
      <c r="U5" s="152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</row>
    <row r="6" spans="1:39" ht="12.75" customHeight="1" x14ac:dyDescent="0.25">
      <c r="A6" s="136" t="s">
        <v>68</v>
      </c>
      <c r="B6" s="139" t="s">
        <v>268</v>
      </c>
      <c r="C6" s="230">
        <v>2997</v>
      </c>
      <c r="D6" s="230">
        <v>1223</v>
      </c>
      <c r="E6" s="230">
        <v>1306</v>
      </c>
      <c r="F6" s="230">
        <v>52</v>
      </c>
      <c r="G6" s="230">
        <v>43</v>
      </c>
      <c r="H6" s="230">
        <v>0</v>
      </c>
      <c r="I6" s="230">
        <v>61</v>
      </c>
      <c r="J6" s="230">
        <v>230</v>
      </c>
      <c r="K6" s="230">
        <v>0</v>
      </c>
      <c r="L6" s="356">
        <f>SUM(C6:K6)</f>
        <v>5912</v>
      </c>
      <c r="M6" s="230">
        <v>0</v>
      </c>
      <c r="N6" s="230">
        <v>0</v>
      </c>
      <c r="O6" s="230">
        <v>0</v>
      </c>
      <c r="P6" s="230">
        <v>0</v>
      </c>
      <c r="Q6" s="230">
        <v>0</v>
      </c>
      <c r="R6" s="230">
        <v>0</v>
      </c>
      <c r="S6" s="230">
        <v>0</v>
      </c>
      <c r="T6" s="230">
        <v>0</v>
      </c>
      <c r="U6" s="188"/>
      <c r="V6" s="176">
        <f>SUM(M6:U6)</f>
        <v>0</v>
      </c>
      <c r="W6" s="204">
        <v>1095</v>
      </c>
      <c r="X6" s="204"/>
      <c r="Y6" s="204"/>
      <c r="Z6" s="214">
        <f>L6+V6+W6+X6</f>
        <v>7007</v>
      </c>
      <c r="AA6" s="215">
        <f>C6+D6+F6+K6+M6+N6+P6+U6</f>
        <v>4272</v>
      </c>
    </row>
    <row r="7" spans="1:39" x14ac:dyDescent="0.25">
      <c r="A7" s="136" t="s">
        <v>69</v>
      </c>
      <c r="B7" s="137" t="s">
        <v>269</v>
      </c>
      <c r="C7" s="230">
        <v>1327</v>
      </c>
      <c r="D7" s="230">
        <v>699</v>
      </c>
      <c r="E7" s="230">
        <v>287</v>
      </c>
      <c r="F7" s="230">
        <v>30</v>
      </c>
      <c r="G7" s="230">
        <v>16</v>
      </c>
      <c r="H7" s="230">
        <v>0</v>
      </c>
      <c r="I7" s="230">
        <v>325</v>
      </c>
      <c r="J7" s="230">
        <v>552</v>
      </c>
      <c r="K7" s="230">
        <v>0</v>
      </c>
      <c r="L7" s="234">
        <f t="shared" ref="L7:L22" si="0">SUM(C7:K7)</f>
        <v>3236</v>
      </c>
      <c r="M7" s="230">
        <v>789</v>
      </c>
      <c r="N7" s="230">
        <v>516</v>
      </c>
      <c r="O7" s="230">
        <v>297</v>
      </c>
      <c r="P7" s="230">
        <v>4</v>
      </c>
      <c r="Q7" s="230">
        <v>10</v>
      </c>
      <c r="R7" s="230">
        <v>0</v>
      </c>
      <c r="S7" s="230">
        <v>50</v>
      </c>
      <c r="T7" s="230">
        <v>48</v>
      </c>
      <c r="U7" s="189"/>
      <c r="V7" s="176">
        <f>SUM(M7:U7)</f>
        <v>1714</v>
      </c>
      <c r="W7" s="205"/>
      <c r="X7" s="204"/>
      <c r="Y7" s="204"/>
      <c r="Z7" s="214">
        <f t="shared" ref="Z7:Z22" si="1">L7+V7+W7+X7</f>
        <v>4950</v>
      </c>
      <c r="AA7" s="215">
        <f>C7+D7+F7+K7+M7+N7+P7+U7</f>
        <v>3365</v>
      </c>
    </row>
    <row r="8" spans="1:39" x14ac:dyDescent="0.25">
      <c r="A8" s="136" t="s">
        <v>73</v>
      </c>
      <c r="B8" s="137" t="s">
        <v>270</v>
      </c>
      <c r="C8" s="230">
        <v>33</v>
      </c>
      <c r="D8" s="230">
        <v>37</v>
      </c>
      <c r="E8" s="230">
        <v>12</v>
      </c>
      <c r="F8" s="230">
        <v>1</v>
      </c>
      <c r="G8" s="230">
        <v>0</v>
      </c>
      <c r="H8" s="230">
        <v>0</v>
      </c>
      <c r="I8" s="230">
        <v>0</v>
      </c>
      <c r="J8" s="230">
        <v>20</v>
      </c>
      <c r="K8" s="230">
        <v>0</v>
      </c>
      <c r="L8" s="232">
        <f t="shared" si="0"/>
        <v>103</v>
      </c>
      <c r="M8" s="230">
        <v>832</v>
      </c>
      <c r="N8" s="230">
        <v>873</v>
      </c>
      <c r="O8" s="230">
        <v>162</v>
      </c>
      <c r="P8" s="230">
        <v>43</v>
      </c>
      <c r="Q8" s="230">
        <v>42</v>
      </c>
      <c r="R8" s="230">
        <v>0</v>
      </c>
      <c r="S8" s="230">
        <v>41</v>
      </c>
      <c r="T8" s="230">
        <v>133</v>
      </c>
      <c r="U8" s="189"/>
      <c r="V8" s="176">
        <f>SUM(M8:U8)</f>
        <v>2126</v>
      </c>
      <c r="W8" s="205"/>
      <c r="X8" s="204"/>
      <c r="Y8" s="204"/>
      <c r="Z8" s="214">
        <f t="shared" si="1"/>
        <v>2229</v>
      </c>
      <c r="AA8" s="215">
        <f>C8+D8+F8+K8+M8+N8+P8+U8</f>
        <v>1819</v>
      </c>
    </row>
    <row r="9" spans="1:39" x14ac:dyDescent="0.25">
      <c r="A9" s="136" t="s">
        <v>74</v>
      </c>
      <c r="B9" s="137" t="s">
        <v>358</v>
      </c>
      <c r="C9" s="128"/>
      <c r="D9" s="128"/>
      <c r="E9" s="128"/>
      <c r="F9" s="128"/>
      <c r="G9" s="128"/>
      <c r="H9" s="128"/>
      <c r="I9" s="128"/>
      <c r="J9" s="128"/>
      <c r="K9" s="128"/>
      <c r="L9" s="232">
        <f t="shared" si="0"/>
        <v>0</v>
      </c>
      <c r="M9" s="147"/>
      <c r="N9" s="147"/>
      <c r="O9" s="147"/>
      <c r="P9" s="147"/>
      <c r="Q9" s="147"/>
      <c r="R9" s="147"/>
      <c r="S9" s="147"/>
      <c r="T9" s="147"/>
      <c r="U9" s="381"/>
      <c r="V9" s="176">
        <f>SUM(M9:U9)</f>
        <v>0</v>
      </c>
      <c r="W9" s="204">
        <v>13196</v>
      </c>
      <c r="X9" s="204"/>
      <c r="Y9" s="204"/>
      <c r="Z9" s="214">
        <f t="shared" si="1"/>
        <v>13196</v>
      </c>
      <c r="AA9" s="215">
        <f>C9+D9+F9+K9+M9+N9+P9+U9</f>
        <v>0</v>
      </c>
    </row>
    <row r="10" spans="1:39" x14ac:dyDescent="0.25">
      <c r="A10" s="136" t="s">
        <v>94</v>
      </c>
      <c r="B10" s="137" t="s">
        <v>271</v>
      </c>
      <c r="C10" s="230">
        <v>1526</v>
      </c>
      <c r="D10" s="230">
        <v>1119</v>
      </c>
      <c r="E10" s="230">
        <v>605</v>
      </c>
      <c r="F10" s="230">
        <v>96</v>
      </c>
      <c r="G10" s="230">
        <v>50</v>
      </c>
      <c r="H10" s="230">
        <v>0</v>
      </c>
      <c r="I10" s="230">
        <v>0</v>
      </c>
      <c r="J10" s="230">
        <v>162</v>
      </c>
      <c r="K10" s="230">
        <v>0</v>
      </c>
      <c r="L10" s="232">
        <f t="shared" si="0"/>
        <v>3558</v>
      </c>
      <c r="M10" s="230">
        <v>1770</v>
      </c>
      <c r="N10" s="230">
        <v>3213</v>
      </c>
      <c r="O10" s="230">
        <v>1055</v>
      </c>
      <c r="P10" s="230">
        <v>126</v>
      </c>
      <c r="Q10" s="230">
        <v>109</v>
      </c>
      <c r="R10" s="230">
        <v>338</v>
      </c>
      <c r="S10" s="230">
        <v>69</v>
      </c>
      <c r="T10" s="230">
        <v>55</v>
      </c>
      <c r="U10" s="230"/>
      <c r="V10" s="229">
        <f t="shared" ref="V10:V22" si="2">SUM(M10:U10)</f>
        <v>6735</v>
      </c>
      <c r="W10" s="204">
        <v>2538</v>
      </c>
      <c r="X10" s="204"/>
      <c r="Y10" s="204"/>
      <c r="Z10" s="214">
        <f t="shared" si="1"/>
        <v>12831</v>
      </c>
      <c r="AA10" s="215">
        <f t="shared" ref="AA10:AA33" si="3">C10+D10+F10+K10+M10+N10+P10+U10</f>
        <v>7850</v>
      </c>
    </row>
    <row r="11" spans="1:39" x14ac:dyDescent="0.25">
      <c r="A11" s="136" t="s">
        <v>95</v>
      </c>
      <c r="B11" s="137" t="s">
        <v>272</v>
      </c>
      <c r="C11" s="230">
        <v>0</v>
      </c>
      <c r="D11" s="230">
        <v>0</v>
      </c>
      <c r="E11" s="230">
        <v>68</v>
      </c>
      <c r="F11" s="230">
        <v>0</v>
      </c>
      <c r="G11" s="230">
        <v>0</v>
      </c>
      <c r="H11" s="230">
        <v>0</v>
      </c>
      <c r="I11" s="230">
        <v>0</v>
      </c>
      <c r="J11" s="230">
        <v>381</v>
      </c>
      <c r="K11" s="230">
        <v>0</v>
      </c>
      <c r="L11" s="232">
        <f t="shared" si="0"/>
        <v>449</v>
      </c>
      <c r="M11">
        <v>0</v>
      </c>
      <c r="N11">
        <v>0</v>
      </c>
      <c r="O11">
        <v>32</v>
      </c>
      <c r="P11">
        <v>0</v>
      </c>
      <c r="Q11">
        <v>0</v>
      </c>
      <c r="R11">
        <v>0</v>
      </c>
      <c r="S11">
        <v>0</v>
      </c>
      <c r="T11">
        <v>552</v>
      </c>
      <c r="V11" s="176">
        <f t="shared" si="2"/>
        <v>584</v>
      </c>
      <c r="W11" s="205"/>
      <c r="X11" s="204"/>
      <c r="Y11" s="204"/>
      <c r="Z11" s="214">
        <f t="shared" si="1"/>
        <v>1033</v>
      </c>
      <c r="AA11" s="215">
        <f t="shared" si="3"/>
        <v>0</v>
      </c>
    </row>
    <row r="12" spans="1:39" x14ac:dyDescent="0.25">
      <c r="A12" s="136" t="s">
        <v>361</v>
      </c>
      <c r="B12" s="137" t="s">
        <v>355</v>
      </c>
      <c r="C12" s="128"/>
      <c r="D12" s="128"/>
      <c r="E12" s="128"/>
      <c r="F12" s="128"/>
      <c r="G12" s="128"/>
      <c r="H12" s="128"/>
      <c r="I12" s="128"/>
      <c r="J12" s="128"/>
      <c r="K12" s="128"/>
      <c r="L12" s="232">
        <f t="shared" si="0"/>
        <v>0</v>
      </c>
      <c r="M12" s="147"/>
      <c r="N12" s="147"/>
      <c r="O12" s="147"/>
      <c r="P12" s="147"/>
      <c r="Q12" s="147"/>
      <c r="R12" s="147"/>
      <c r="S12" s="147"/>
      <c r="T12" s="147"/>
      <c r="U12" s="381"/>
      <c r="V12" s="176">
        <f t="shared" si="2"/>
        <v>0</v>
      </c>
      <c r="W12" s="205"/>
      <c r="X12" s="204">
        <v>120</v>
      </c>
      <c r="Y12" s="204">
        <v>96</v>
      </c>
      <c r="Z12" s="214">
        <f>L12+V12+W12+X12+Y12</f>
        <v>216</v>
      </c>
      <c r="AA12" s="215">
        <f t="shared" si="3"/>
        <v>0</v>
      </c>
    </row>
    <row r="13" spans="1:39" x14ac:dyDescent="0.25">
      <c r="A13" s="136" t="s">
        <v>106</v>
      </c>
      <c r="B13" s="137" t="s">
        <v>273</v>
      </c>
      <c r="C13" s="230">
        <v>584</v>
      </c>
      <c r="D13" s="230">
        <v>180</v>
      </c>
      <c r="E13" s="230">
        <v>121</v>
      </c>
      <c r="F13" s="230">
        <v>11</v>
      </c>
      <c r="G13" s="230">
        <v>6</v>
      </c>
      <c r="H13" s="230">
        <v>0</v>
      </c>
      <c r="I13" s="230">
        <v>25</v>
      </c>
      <c r="J13" s="230">
        <v>168</v>
      </c>
      <c r="K13" s="230">
        <v>0</v>
      </c>
      <c r="L13" s="232">
        <f t="shared" si="0"/>
        <v>1095</v>
      </c>
      <c r="M13" s="230">
        <v>0</v>
      </c>
      <c r="N13" s="230">
        <v>0</v>
      </c>
      <c r="O13" s="230">
        <v>0</v>
      </c>
      <c r="P13" s="230">
        <v>0</v>
      </c>
      <c r="Q13" s="230">
        <v>0</v>
      </c>
      <c r="R13" s="230">
        <v>0</v>
      </c>
      <c r="S13" s="230">
        <v>0</v>
      </c>
      <c r="T13" s="230">
        <v>0</v>
      </c>
      <c r="U13" s="230">
        <v>0</v>
      </c>
      <c r="V13" s="229">
        <f t="shared" si="2"/>
        <v>0</v>
      </c>
      <c r="W13" s="205"/>
      <c r="X13" s="204"/>
      <c r="Y13" s="204"/>
      <c r="Z13" s="214">
        <f t="shared" si="1"/>
        <v>1095</v>
      </c>
      <c r="AA13" s="215">
        <f t="shared" si="3"/>
        <v>775</v>
      </c>
    </row>
    <row r="14" spans="1:39" x14ac:dyDescent="0.25">
      <c r="A14" s="136" t="s">
        <v>110</v>
      </c>
      <c r="B14" s="137" t="s">
        <v>274</v>
      </c>
      <c r="C14" s="230">
        <v>5084</v>
      </c>
      <c r="D14" s="230">
        <v>1291</v>
      </c>
      <c r="E14" s="230">
        <v>1346</v>
      </c>
      <c r="F14" s="230">
        <v>33</v>
      </c>
      <c r="G14" s="230">
        <v>95</v>
      </c>
      <c r="H14" s="230">
        <v>0</v>
      </c>
      <c r="I14" s="230">
        <v>187</v>
      </c>
      <c r="J14" s="230">
        <v>66</v>
      </c>
      <c r="K14" s="230">
        <v>2</v>
      </c>
      <c r="L14" s="232">
        <f t="shared" si="0"/>
        <v>8104</v>
      </c>
      <c r="M14" s="230">
        <v>169</v>
      </c>
      <c r="N14" s="230">
        <v>77</v>
      </c>
      <c r="O14" s="230">
        <v>68</v>
      </c>
      <c r="P14" s="230">
        <v>1</v>
      </c>
      <c r="Q14" s="230">
        <v>20</v>
      </c>
      <c r="R14" s="230">
        <v>0</v>
      </c>
      <c r="S14" s="230">
        <v>0</v>
      </c>
      <c r="T14" s="230">
        <v>10</v>
      </c>
      <c r="U14" s="230">
        <v>0</v>
      </c>
      <c r="V14" s="229">
        <f t="shared" si="2"/>
        <v>345</v>
      </c>
      <c r="W14" s="358"/>
      <c r="X14" s="204"/>
      <c r="Y14" s="204"/>
      <c r="Z14" s="214">
        <f t="shared" si="1"/>
        <v>8449</v>
      </c>
      <c r="AA14" s="215">
        <f t="shared" si="3"/>
        <v>6657</v>
      </c>
    </row>
    <row r="15" spans="1:39" x14ac:dyDescent="0.25">
      <c r="A15" s="136" t="s">
        <v>119</v>
      </c>
      <c r="B15" s="137" t="s">
        <v>275</v>
      </c>
      <c r="C15" s="230">
        <v>1538</v>
      </c>
      <c r="D15" s="230">
        <v>930</v>
      </c>
      <c r="E15" s="230">
        <v>436</v>
      </c>
      <c r="F15" s="230">
        <v>19</v>
      </c>
      <c r="G15" s="230">
        <v>12</v>
      </c>
      <c r="H15" s="230">
        <v>0</v>
      </c>
      <c r="I15" s="230">
        <v>28</v>
      </c>
      <c r="J15" s="230">
        <v>111</v>
      </c>
      <c r="K15" s="230">
        <v>0</v>
      </c>
      <c r="L15" s="232">
        <f t="shared" si="0"/>
        <v>3074</v>
      </c>
      <c r="M15" s="230">
        <v>406</v>
      </c>
      <c r="N15" s="230">
        <v>425</v>
      </c>
      <c r="O15" s="230">
        <v>88</v>
      </c>
      <c r="P15" s="230">
        <v>19</v>
      </c>
      <c r="Q15" s="230">
        <v>1</v>
      </c>
      <c r="R15" s="230">
        <v>0</v>
      </c>
      <c r="S15" s="230">
        <v>20</v>
      </c>
      <c r="T15" s="230">
        <v>13</v>
      </c>
      <c r="U15" s="230">
        <v>3</v>
      </c>
      <c r="V15" s="229">
        <f t="shared" si="2"/>
        <v>975</v>
      </c>
      <c r="W15" s="358"/>
      <c r="X15" s="204">
        <v>803</v>
      </c>
      <c r="Y15" s="204"/>
      <c r="Z15" s="214">
        <f t="shared" si="1"/>
        <v>4852</v>
      </c>
      <c r="AA15" s="215">
        <f t="shared" si="3"/>
        <v>3340</v>
      </c>
    </row>
    <row r="16" spans="1:39" x14ac:dyDescent="0.25">
      <c r="A16" s="136" t="s">
        <v>121</v>
      </c>
      <c r="B16" s="137" t="s">
        <v>276</v>
      </c>
      <c r="C16" s="230">
        <v>0</v>
      </c>
      <c r="D16" s="230">
        <v>0</v>
      </c>
      <c r="E16" s="230">
        <v>0</v>
      </c>
      <c r="F16" s="230">
        <v>0</v>
      </c>
      <c r="G16" s="230">
        <v>0</v>
      </c>
      <c r="H16" s="230">
        <v>0</v>
      </c>
      <c r="I16" s="230">
        <v>0</v>
      </c>
      <c r="J16" s="230">
        <v>1523</v>
      </c>
      <c r="K16" s="230">
        <v>0</v>
      </c>
      <c r="L16" s="232">
        <f t="shared" si="0"/>
        <v>1523</v>
      </c>
      <c r="M16" s="230">
        <v>0</v>
      </c>
      <c r="N16" s="230">
        <v>0</v>
      </c>
      <c r="O16" s="230">
        <v>0</v>
      </c>
      <c r="P16" s="230">
        <v>0</v>
      </c>
      <c r="Q16" s="230">
        <v>0</v>
      </c>
      <c r="R16" s="230">
        <v>0</v>
      </c>
      <c r="S16" s="230">
        <v>0</v>
      </c>
      <c r="T16" s="230">
        <v>0</v>
      </c>
      <c r="U16" s="230">
        <v>0</v>
      </c>
      <c r="V16" s="229">
        <f t="shared" si="2"/>
        <v>0</v>
      </c>
      <c r="W16" s="358"/>
      <c r="X16" s="204"/>
      <c r="Y16" s="204"/>
      <c r="Z16" s="214">
        <f t="shared" si="1"/>
        <v>1523</v>
      </c>
      <c r="AA16" s="215">
        <f t="shared" si="3"/>
        <v>0</v>
      </c>
    </row>
    <row r="17" spans="1:39" x14ac:dyDescent="0.25">
      <c r="A17" s="136" t="s">
        <v>123</v>
      </c>
      <c r="B17" s="137" t="s">
        <v>277</v>
      </c>
      <c r="C17" s="230">
        <v>181</v>
      </c>
      <c r="D17" s="230">
        <v>104</v>
      </c>
      <c r="E17" s="230">
        <v>26</v>
      </c>
      <c r="F17" s="230">
        <v>9</v>
      </c>
      <c r="G17" s="230">
        <v>11</v>
      </c>
      <c r="H17" s="230">
        <v>0</v>
      </c>
      <c r="I17" s="230">
        <v>0</v>
      </c>
      <c r="J17" s="230">
        <v>6</v>
      </c>
      <c r="K17" s="230">
        <v>0</v>
      </c>
      <c r="L17" s="232">
        <f t="shared" si="0"/>
        <v>337</v>
      </c>
      <c r="M17" s="230">
        <v>154</v>
      </c>
      <c r="N17" s="230">
        <v>332</v>
      </c>
      <c r="O17" s="230">
        <v>113</v>
      </c>
      <c r="P17" s="230">
        <v>3</v>
      </c>
      <c r="Q17" s="230">
        <v>7</v>
      </c>
      <c r="R17" s="230">
        <v>72</v>
      </c>
      <c r="S17" s="230">
        <v>0</v>
      </c>
      <c r="T17" s="230">
        <v>0</v>
      </c>
      <c r="U17" s="230">
        <v>0</v>
      </c>
      <c r="V17" s="229">
        <f t="shared" si="2"/>
        <v>681</v>
      </c>
      <c r="W17" s="233">
        <v>143</v>
      </c>
      <c r="X17" s="204"/>
      <c r="Y17" s="204"/>
      <c r="Z17" s="214">
        <f t="shared" si="1"/>
        <v>1161</v>
      </c>
      <c r="AA17" s="215">
        <f t="shared" si="3"/>
        <v>783</v>
      </c>
    </row>
    <row r="18" spans="1:39" x14ac:dyDescent="0.25">
      <c r="A18" s="136" t="s">
        <v>128</v>
      </c>
      <c r="B18" s="137" t="s">
        <v>332</v>
      </c>
      <c r="C18" s="230">
        <v>240</v>
      </c>
      <c r="D18" s="230">
        <v>101</v>
      </c>
      <c r="E18" s="230">
        <v>101</v>
      </c>
      <c r="F18" s="230">
        <v>7</v>
      </c>
      <c r="G18" s="230">
        <v>0</v>
      </c>
      <c r="H18" s="230">
        <v>0</v>
      </c>
      <c r="I18" s="230">
        <v>242</v>
      </c>
      <c r="J18" s="230">
        <v>127</v>
      </c>
      <c r="K18" s="230">
        <v>0</v>
      </c>
      <c r="L18" s="232">
        <f t="shared" si="0"/>
        <v>818</v>
      </c>
      <c r="M18" s="230">
        <v>803</v>
      </c>
      <c r="N18" s="230">
        <v>877</v>
      </c>
      <c r="O18" s="230">
        <v>528</v>
      </c>
      <c r="P18" s="230">
        <v>17</v>
      </c>
      <c r="Q18" s="230">
        <v>24</v>
      </c>
      <c r="R18" s="230">
        <v>0</v>
      </c>
      <c r="S18" s="230">
        <v>0</v>
      </c>
      <c r="T18" s="230">
        <v>2</v>
      </c>
      <c r="U18" s="230">
        <v>0</v>
      </c>
      <c r="V18" s="229">
        <f t="shared" si="2"/>
        <v>2251</v>
      </c>
      <c r="W18" s="358"/>
      <c r="X18" s="204"/>
      <c r="Y18" s="204"/>
      <c r="Z18" s="214">
        <f t="shared" si="1"/>
        <v>3069</v>
      </c>
      <c r="AA18" s="215">
        <f>C18+D18+F18+K18+M18+N18+P18+U18</f>
        <v>2045</v>
      </c>
    </row>
    <row r="19" spans="1:39" x14ac:dyDescent="0.25">
      <c r="A19" s="136" t="s">
        <v>150</v>
      </c>
      <c r="B19" s="137" t="s">
        <v>278</v>
      </c>
      <c r="C19" s="230">
        <v>3500</v>
      </c>
      <c r="D19" s="230">
        <v>487</v>
      </c>
      <c r="E19" s="230">
        <v>2207</v>
      </c>
      <c r="F19" s="230">
        <v>61</v>
      </c>
      <c r="G19" s="230">
        <v>31</v>
      </c>
      <c r="H19" s="230">
        <v>0</v>
      </c>
      <c r="I19" s="230">
        <v>5</v>
      </c>
      <c r="J19" s="230">
        <v>328</v>
      </c>
      <c r="K19" s="230">
        <v>3</v>
      </c>
      <c r="L19" s="232">
        <f t="shared" si="0"/>
        <v>6622</v>
      </c>
      <c r="M19" s="230">
        <v>685</v>
      </c>
      <c r="N19" s="230">
        <v>622</v>
      </c>
      <c r="O19" s="230">
        <v>366</v>
      </c>
      <c r="P19" s="230">
        <v>21</v>
      </c>
      <c r="Q19" s="230">
        <v>20</v>
      </c>
      <c r="R19" s="230">
        <v>0</v>
      </c>
      <c r="S19" s="230">
        <v>0</v>
      </c>
      <c r="T19" s="230">
        <v>31</v>
      </c>
      <c r="U19" s="230">
        <v>0</v>
      </c>
      <c r="V19" s="229">
        <f t="shared" si="2"/>
        <v>1745</v>
      </c>
      <c r="W19" s="233">
        <v>818</v>
      </c>
      <c r="X19" s="204"/>
      <c r="Y19" s="204"/>
      <c r="Z19" s="214">
        <f t="shared" si="1"/>
        <v>9185</v>
      </c>
      <c r="AA19" s="215">
        <f t="shared" si="3"/>
        <v>5379</v>
      </c>
    </row>
    <row r="20" spans="1:39" x14ac:dyDescent="0.25">
      <c r="A20" s="136" t="s">
        <v>181</v>
      </c>
      <c r="B20" s="137" t="s">
        <v>335</v>
      </c>
      <c r="C20" s="230">
        <v>2331</v>
      </c>
      <c r="D20" s="230">
        <v>1870</v>
      </c>
      <c r="E20" s="230">
        <v>764</v>
      </c>
      <c r="F20" s="230">
        <v>65</v>
      </c>
      <c r="G20" s="230">
        <v>78</v>
      </c>
      <c r="H20" s="230">
        <v>0</v>
      </c>
      <c r="I20" s="230">
        <v>58</v>
      </c>
      <c r="J20" s="230">
        <v>236</v>
      </c>
      <c r="K20" s="230">
        <v>0</v>
      </c>
      <c r="L20" s="232">
        <f t="shared" si="0"/>
        <v>5402</v>
      </c>
      <c r="M20" s="230">
        <v>1072</v>
      </c>
      <c r="N20" s="230">
        <v>2184</v>
      </c>
      <c r="O20" s="230">
        <v>774</v>
      </c>
      <c r="P20" s="230">
        <v>74</v>
      </c>
      <c r="Q20" s="230">
        <v>43</v>
      </c>
      <c r="R20" s="230">
        <v>72</v>
      </c>
      <c r="S20" s="230">
        <v>0</v>
      </c>
      <c r="T20" s="230">
        <v>6</v>
      </c>
      <c r="U20" s="230">
        <v>0</v>
      </c>
      <c r="V20" s="229">
        <f t="shared" si="2"/>
        <v>4225</v>
      </c>
      <c r="W20" s="360"/>
      <c r="X20" s="209"/>
      <c r="Y20" s="209"/>
      <c r="Z20" s="214">
        <f t="shared" si="1"/>
        <v>9627</v>
      </c>
      <c r="AA20" s="215">
        <f>C20+D20+F20+K20+M20+N20+P20+U20</f>
        <v>7596</v>
      </c>
    </row>
    <row r="21" spans="1:39" x14ac:dyDescent="0.25">
      <c r="A21" s="136" t="s">
        <v>184</v>
      </c>
      <c r="B21" s="137" t="s">
        <v>279</v>
      </c>
      <c r="C21" s="230">
        <v>879</v>
      </c>
      <c r="D21" s="230">
        <v>346</v>
      </c>
      <c r="E21" s="230">
        <v>194</v>
      </c>
      <c r="F21" s="230">
        <v>38</v>
      </c>
      <c r="G21" s="230">
        <v>21</v>
      </c>
      <c r="H21" s="230">
        <v>0</v>
      </c>
      <c r="I21" s="230">
        <v>352</v>
      </c>
      <c r="J21" s="230">
        <v>24</v>
      </c>
      <c r="K21" s="230">
        <v>0</v>
      </c>
      <c r="L21" s="232">
        <f t="shared" si="0"/>
        <v>1854</v>
      </c>
      <c r="M21" s="230">
        <v>810</v>
      </c>
      <c r="N21" s="230">
        <v>1421</v>
      </c>
      <c r="O21" s="230">
        <v>307</v>
      </c>
      <c r="P21" s="230">
        <v>43</v>
      </c>
      <c r="Q21" s="230">
        <v>35</v>
      </c>
      <c r="R21" s="230">
        <v>0</v>
      </c>
      <c r="S21" s="230">
        <v>0</v>
      </c>
      <c r="T21" s="230">
        <v>47</v>
      </c>
      <c r="U21" s="230">
        <v>0</v>
      </c>
      <c r="V21" s="229">
        <f t="shared" si="2"/>
        <v>2663</v>
      </c>
      <c r="W21" s="233">
        <v>501</v>
      </c>
      <c r="X21" s="204"/>
      <c r="Y21" s="204"/>
      <c r="Z21" s="214">
        <f t="shared" si="1"/>
        <v>5018</v>
      </c>
      <c r="AA21" s="215">
        <f t="shared" si="3"/>
        <v>3537</v>
      </c>
    </row>
    <row r="22" spans="1:39" ht="17.25" customHeight="1" thickBot="1" x14ac:dyDescent="0.3">
      <c r="A22" s="136" t="s">
        <v>194</v>
      </c>
      <c r="B22" s="138" t="s">
        <v>280</v>
      </c>
      <c r="C22" s="265">
        <v>0</v>
      </c>
      <c r="D22" s="265">
        <v>0</v>
      </c>
      <c r="E22" s="265">
        <v>1046</v>
      </c>
      <c r="F22" s="265">
        <v>0</v>
      </c>
      <c r="G22" s="265">
        <v>0</v>
      </c>
      <c r="H22" s="265">
        <v>0</v>
      </c>
      <c r="I22" s="265">
        <v>0</v>
      </c>
      <c r="J22" s="265">
        <v>3382</v>
      </c>
      <c r="K22" s="265">
        <v>0</v>
      </c>
      <c r="L22" s="357">
        <f t="shared" si="0"/>
        <v>4428</v>
      </c>
      <c r="M22" s="265">
        <v>0</v>
      </c>
      <c r="N22" s="265">
        <v>0</v>
      </c>
      <c r="O22" s="265">
        <v>0</v>
      </c>
      <c r="P22" s="265">
        <v>0</v>
      </c>
      <c r="Q22" s="265">
        <v>0</v>
      </c>
      <c r="R22" s="265">
        <v>0</v>
      </c>
      <c r="S22" s="265">
        <v>0</v>
      </c>
      <c r="T22" s="265">
        <v>0</v>
      </c>
      <c r="U22" s="265">
        <v>0</v>
      </c>
      <c r="V22" s="231">
        <f t="shared" si="2"/>
        <v>0</v>
      </c>
      <c r="W22" s="380"/>
      <c r="X22" s="227"/>
      <c r="Y22" s="227"/>
      <c r="Z22" s="376">
        <f t="shared" si="1"/>
        <v>4428</v>
      </c>
      <c r="AA22" s="216">
        <f t="shared" si="3"/>
        <v>0</v>
      </c>
    </row>
    <row r="23" spans="1:39" s="110" customFormat="1" ht="14.4" thickBot="1" x14ac:dyDescent="0.3">
      <c r="A23" s="134"/>
      <c r="B23" s="159" t="s">
        <v>457</v>
      </c>
      <c r="C23" s="258">
        <f t="shared" ref="C23:AA23" si="4">SUM(C6:C22)</f>
        <v>20220</v>
      </c>
      <c r="D23" s="157">
        <f t="shared" si="4"/>
        <v>8387</v>
      </c>
      <c r="E23" s="157">
        <f t="shared" si="4"/>
        <v>8519</v>
      </c>
      <c r="F23" s="259">
        <f t="shared" si="4"/>
        <v>422</v>
      </c>
      <c r="G23" s="362">
        <f t="shared" si="4"/>
        <v>363</v>
      </c>
      <c r="H23" s="157">
        <f t="shared" si="4"/>
        <v>0</v>
      </c>
      <c r="I23" s="157">
        <f t="shared" si="4"/>
        <v>1283</v>
      </c>
      <c r="J23" s="259">
        <f t="shared" si="4"/>
        <v>7316</v>
      </c>
      <c r="K23" s="365">
        <f t="shared" si="4"/>
        <v>5</v>
      </c>
      <c r="L23" s="263">
        <f t="shared" si="4"/>
        <v>46515</v>
      </c>
      <c r="M23" s="262">
        <f t="shared" si="4"/>
        <v>7490</v>
      </c>
      <c r="N23" s="158">
        <f t="shared" si="4"/>
        <v>10540</v>
      </c>
      <c r="O23" s="158">
        <f t="shared" si="4"/>
        <v>3790</v>
      </c>
      <c r="P23" s="158">
        <f t="shared" si="4"/>
        <v>351</v>
      </c>
      <c r="Q23" s="158">
        <f t="shared" si="4"/>
        <v>311</v>
      </c>
      <c r="R23" s="158">
        <f t="shared" si="4"/>
        <v>482</v>
      </c>
      <c r="S23" s="158">
        <f t="shared" si="4"/>
        <v>180</v>
      </c>
      <c r="T23" s="158">
        <f t="shared" si="4"/>
        <v>897</v>
      </c>
      <c r="U23" s="264">
        <f t="shared" si="4"/>
        <v>3</v>
      </c>
      <c r="V23" s="263">
        <f t="shared" si="4"/>
        <v>24044</v>
      </c>
      <c r="W23" s="274">
        <f t="shared" si="4"/>
        <v>18291</v>
      </c>
      <c r="X23" s="208">
        <f t="shared" si="4"/>
        <v>923</v>
      </c>
      <c r="Y23" s="208">
        <f t="shared" si="4"/>
        <v>96</v>
      </c>
      <c r="Z23" s="208">
        <f t="shared" si="4"/>
        <v>89869</v>
      </c>
      <c r="AA23" s="208">
        <f t="shared" si="4"/>
        <v>47418</v>
      </c>
      <c r="AC23"/>
      <c r="AD23"/>
      <c r="AE23"/>
      <c r="AF23"/>
      <c r="AG23"/>
      <c r="AH23"/>
      <c r="AI23"/>
      <c r="AJ23"/>
      <c r="AK23"/>
      <c r="AL23"/>
      <c r="AM23"/>
    </row>
    <row r="24" spans="1:39" ht="13.8" thickBot="1" x14ac:dyDescent="0.3">
      <c r="A24" s="136" t="s">
        <v>72</v>
      </c>
      <c r="B24" s="139" t="s">
        <v>356</v>
      </c>
      <c r="C24" s="280">
        <v>1729</v>
      </c>
      <c r="D24" s="280">
        <v>1767</v>
      </c>
      <c r="E24" s="280">
        <v>465</v>
      </c>
      <c r="F24" s="280">
        <v>95</v>
      </c>
      <c r="G24" s="280">
        <v>40</v>
      </c>
      <c r="H24" s="280">
        <v>290</v>
      </c>
      <c r="I24" s="280">
        <v>0</v>
      </c>
      <c r="J24" s="280">
        <v>61</v>
      </c>
      <c r="K24" s="280">
        <v>52</v>
      </c>
      <c r="L24" s="234">
        <f>SUM(C24:K24)</f>
        <v>4499</v>
      </c>
      <c r="M24" s="280">
        <v>15</v>
      </c>
      <c r="N24" s="280">
        <v>42</v>
      </c>
      <c r="O24" s="280">
        <v>0</v>
      </c>
      <c r="P24" s="280">
        <v>0</v>
      </c>
      <c r="Q24" s="280">
        <v>0</v>
      </c>
      <c r="R24" s="280">
        <v>20</v>
      </c>
      <c r="S24" s="280">
        <v>0</v>
      </c>
      <c r="T24" s="280">
        <v>32</v>
      </c>
      <c r="U24" s="280">
        <v>0</v>
      </c>
      <c r="V24" s="256">
        <f>SUM(M24:U24)</f>
        <v>109</v>
      </c>
      <c r="W24" s="205"/>
      <c r="X24" s="204"/>
      <c r="Y24" s="204"/>
      <c r="Z24" s="214">
        <f>L24+V24+W24+X24</f>
        <v>4608</v>
      </c>
      <c r="AA24" s="216">
        <f t="shared" si="3"/>
        <v>3700</v>
      </c>
    </row>
    <row r="25" spans="1:39" ht="13.8" thickBot="1" x14ac:dyDescent="0.3">
      <c r="A25" s="136" t="s">
        <v>85</v>
      </c>
      <c r="B25" s="137" t="s">
        <v>281</v>
      </c>
      <c r="C25" s="230">
        <v>2985</v>
      </c>
      <c r="D25" s="230">
        <v>1745</v>
      </c>
      <c r="E25" s="230">
        <v>754</v>
      </c>
      <c r="F25" s="230">
        <v>173</v>
      </c>
      <c r="G25" s="230">
        <v>137</v>
      </c>
      <c r="H25" s="230">
        <v>0</v>
      </c>
      <c r="I25" s="230">
        <v>0</v>
      </c>
      <c r="J25" s="230">
        <v>72</v>
      </c>
      <c r="K25" s="230">
        <v>0</v>
      </c>
      <c r="L25" s="234">
        <f t="shared" ref="L25:L36" si="5">SUM(C25:K25)</f>
        <v>5866</v>
      </c>
      <c r="M25" s="230">
        <v>1403</v>
      </c>
      <c r="N25" s="230">
        <v>1814</v>
      </c>
      <c r="O25" s="230">
        <v>992</v>
      </c>
      <c r="P25" s="230">
        <v>81</v>
      </c>
      <c r="Q25" s="230">
        <v>83</v>
      </c>
      <c r="R25" s="230">
        <v>12</v>
      </c>
      <c r="S25" s="230">
        <v>0</v>
      </c>
      <c r="T25" s="230">
        <v>21</v>
      </c>
      <c r="U25" s="230">
        <v>0</v>
      </c>
      <c r="V25" s="229">
        <f>SUM(M25:U25)</f>
        <v>4406</v>
      </c>
      <c r="W25" s="204">
        <v>391</v>
      </c>
      <c r="X25" s="204"/>
      <c r="Y25" s="204"/>
      <c r="Z25" s="214">
        <f t="shared" ref="Z25:Z88" si="6">L25+V25+W25+X25</f>
        <v>10663</v>
      </c>
      <c r="AA25" s="216">
        <f t="shared" si="3"/>
        <v>8201</v>
      </c>
    </row>
    <row r="26" spans="1:39" ht="13.8" thickBot="1" x14ac:dyDescent="0.3">
      <c r="A26" s="136" t="s">
        <v>214</v>
      </c>
      <c r="B26" s="137" t="s">
        <v>282</v>
      </c>
      <c r="C26" s="230">
        <v>1880</v>
      </c>
      <c r="D26" s="230">
        <v>1740</v>
      </c>
      <c r="E26" s="230">
        <v>391</v>
      </c>
      <c r="F26" s="230">
        <v>71</v>
      </c>
      <c r="G26" s="230">
        <v>26</v>
      </c>
      <c r="H26" s="230">
        <v>0</v>
      </c>
      <c r="I26" s="230">
        <v>0</v>
      </c>
      <c r="J26" s="230">
        <v>37</v>
      </c>
      <c r="K26" s="230">
        <v>0</v>
      </c>
      <c r="L26" s="234">
        <f t="shared" si="5"/>
        <v>4145</v>
      </c>
      <c r="M26" s="230">
        <v>0</v>
      </c>
      <c r="N26" s="230">
        <v>0</v>
      </c>
      <c r="O26" s="230">
        <v>0</v>
      </c>
      <c r="P26" s="230">
        <v>0</v>
      </c>
      <c r="Q26" s="230">
        <v>0</v>
      </c>
      <c r="R26" s="230">
        <v>0</v>
      </c>
      <c r="S26" s="230">
        <v>0</v>
      </c>
      <c r="T26" s="230">
        <v>0</v>
      </c>
      <c r="U26" s="230">
        <v>0</v>
      </c>
      <c r="V26" s="229">
        <f t="shared" ref="V26:V31" si="7">SUM(M26:U26)</f>
        <v>0</v>
      </c>
      <c r="W26" s="205"/>
      <c r="X26" s="204"/>
      <c r="Y26" s="204"/>
      <c r="Z26" s="214">
        <f t="shared" si="6"/>
        <v>4145</v>
      </c>
      <c r="AA26" s="216">
        <f t="shared" si="3"/>
        <v>3691</v>
      </c>
    </row>
    <row r="27" spans="1:39" ht="13.8" thickBot="1" x14ac:dyDescent="0.3">
      <c r="A27" s="136" t="s">
        <v>101</v>
      </c>
      <c r="B27" s="137" t="s">
        <v>283</v>
      </c>
      <c r="C27" s="230">
        <v>7200</v>
      </c>
      <c r="D27" s="230">
        <v>1186</v>
      </c>
      <c r="E27" s="230">
        <v>2179</v>
      </c>
      <c r="F27" s="230">
        <v>112</v>
      </c>
      <c r="G27" s="230">
        <v>126</v>
      </c>
      <c r="H27" s="230">
        <v>0</v>
      </c>
      <c r="I27" s="230">
        <v>24</v>
      </c>
      <c r="J27" s="230">
        <v>60</v>
      </c>
      <c r="K27" s="230">
        <v>0</v>
      </c>
      <c r="L27" s="234">
        <f t="shared" si="5"/>
        <v>10887</v>
      </c>
      <c r="M27" s="230">
        <v>962</v>
      </c>
      <c r="N27" s="230">
        <v>2045</v>
      </c>
      <c r="O27" s="230">
        <v>536</v>
      </c>
      <c r="P27" s="230">
        <v>18</v>
      </c>
      <c r="Q27" s="230">
        <v>173</v>
      </c>
      <c r="R27" s="230">
        <v>0</v>
      </c>
      <c r="S27" s="230">
        <v>0</v>
      </c>
      <c r="T27" s="230">
        <v>5</v>
      </c>
      <c r="U27" s="230">
        <v>0</v>
      </c>
      <c r="V27" s="229">
        <f t="shared" si="7"/>
        <v>3739</v>
      </c>
      <c r="W27" s="204">
        <v>732</v>
      </c>
      <c r="X27" s="204"/>
      <c r="Y27" s="204"/>
      <c r="Z27" s="214">
        <f t="shared" si="6"/>
        <v>15358</v>
      </c>
      <c r="AA27" s="216">
        <f t="shared" si="3"/>
        <v>11523</v>
      </c>
    </row>
    <row r="28" spans="1:39" ht="13.8" thickBot="1" x14ac:dyDescent="0.3">
      <c r="A28" s="136" t="s">
        <v>114</v>
      </c>
      <c r="B28" s="137" t="s">
        <v>284</v>
      </c>
      <c r="C28" s="230">
        <v>1774</v>
      </c>
      <c r="D28" s="230">
        <v>561</v>
      </c>
      <c r="E28" s="230">
        <v>642</v>
      </c>
      <c r="F28" s="230">
        <v>132</v>
      </c>
      <c r="G28" s="230">
        <v>48</v>
      </c>
      <c r="H28" s="230">
        <v>0</v>
      </c>
      <c r="I28" s="230">
        <v>1224</v>
      </c>
      <c r="J28" s="230">
        <v>123</v>
      </c>
      <c r="K28" s="230">
        <v>0</v>
      </c>
      <c r="L28" s="234">
        <f t="shared" si="5"/>
        <v>4504</v>
      </c>
      <c r="M28" s="230">
        <v>794</v>
      </c>
      <c r="N28" s="230">
        <v>1242</v>
      </c>
      <c r="O28" s="230">
        <v>1032</v>
      </c>
      <c r="P28" s="230">
        <v>33</v>
      </c>
      <c r="Q28" s="230">
        <v>58</v>
      </c>
      <c r="R28" s="230">
        <v>144</v>
      </c>
      <c r="S28" s="230">
        <v>0</v>
      </c>
      <c r="T28" s="230">
        <v>132</v>
      </c>
      <c r="U28" s="230">
        <v>0</v>
      </c>
      <c r="V28" s="229">
        <f t="shared" si="7"/>
        <v>3435</v>
      </c>
      <c r="W28" s="204">
        <v>1266</v>
      </c>
      <c r="X28" s="204"/>
      <c r="Y28" s="204"/>
      <c r="Z28" s="214">
        <f t="shared" si="6"/>
        <v>9205</v>
      </c>
      <c r="AA28" s="216">
        <f t="shared" si="3"/>
        <v>4536</v>
      </c>
    </row>
    <row r="29" spans="1:39" ht="13.8" thickBot="1" x14ac:dyDescent="0.3">
      <c r="A29" s="136" t="s">
        <v>115</v>
      </c>
      <c r="B29" s="137" t="s">
        <v>285</v>
      </c>
      <c r="C29" s="230">
        <v>1824</v>
      </c>
      <c r="D29" s="230">
        <v>2968</v>
      </c>
      <c r="E29" s="230">
        <v>366</v>
      </c>
      <c r="F29" s="230">
        <v>51</v>
      </c>
      <c r="G29" s="230">
        <v>129</v>
      </c>
      <c r="H29" s="230">
        <v>0</v>
      </c>
      <c r="I29" s="230">
        <v>35</v>
      </c>
      <c r="J29" s="230">
        <v>525</v>
      </c>
      <c r="K29" s="230">
        <v>0</v>
      </c>
      <c r="L29" s="234">
        <f t="shared" si="5"/>
        <v>5898</v>
      </c>
      <c r="M29" s="230">
        <v>1149</v>
      </c>
      <c r="N29" s="230">
        <v>2005</v>
      </c>
      <c r="O29" s="230">
        <v>659</v>
      </c>
      <c r="P29" s="230">
        <v>24</v>
      </c>
      <c r="Q29" s="230">
        <v>92</v>
      </c>
      <c r="R29" s="230">
        <v>0</v>
      </c>
      <c r="S29" s="230">
        <v>32</v>
      </c>
      <c r="T29" s="230">
        <v>0</v>
      </c>
      <c r="U29" s="230">
        <v>0</v>
      </c>
      <c r="V29" s="229">
        <f t="shared" si="7"/>
        <v>3961</v>
      </c>
      <c r="W29" s="204">
        <v>2133</v>
      </c>
      <c r="X29" s="204"/>
      <c r="Y29" s="204"/>
      <c r="Z29" s="214">
        <f t="shared" si="6"/>
        <v>11992</v>
      </c>
      <c r="AA29" s="216">
        <f t="shared" si="3"/>
        <v>8021</v>
      </c>
    </row>
    <row r="30" spans="1:39" ht="13.8" thickBot="1" x14ac:dyDescent="0.3">
      <c r="A30" s="136" t="s">
        <v>127</v>
      </c>
      <c r="B30" s="137" t="s">
        <v>286</v>
      </c>
      <c r="C30" s="230">
        <v>18653</v>
      </c>
      <c r="D30" s="230">
        <v>4143</v>
      </c>
      <c r="E30" s="230">
        <v>10060</v>
      </c>
      <c r="F30" s="230">
        <v>115</v>
      </c>
      <c r="G30" s="230">
        <v>252</v>
      </c>
      <c r="H30" s="230">
        <v>40</v>
      </c>
      <c r="I30" s="230">
        <v>0</v>
      </c>
      <c r="J30" s="230">
        <v>642</v>
      </c>
      <c r="K30" s="230">
        <v>0</v>
      </c>
      <c r="L30" s="234">
        <f t="shared" si="5"/>
        <v>33905</v>
      </c>
      <c r="M30" s="230">
        <v>669</v>
      </c>
      <c r="N30" s="230">
        <v>1598</v>
      </c>
      <c r="O30" s="230">
        <v>544</v>
      </c>
      <c r="P30" s="230">
        <v>26</v>
      </c>
      <c r="Q30" s="230">
        <v>100</v>
      </c>
      <c r="R30" s="230">
        <v>16</v>
      </c>
      <c r="S30" s="230">
        <v>0</v>
      </c>
      <c r="T30" s="230">
        <v>131</v>
      </c>
      <c r="U30" s="230">
        <v>0</v>
      </c>
      <c r="V30" s="229">
        <f t="shared" si="7"/>
        <v>3084</v>
      </c>
      <c r="W30" s="204">
        <v>145</v>
      </c>
      <c r="X30" s="204"/>
      <c r="Y30" s="204"/>
      <c r="Z30" s="214">
        <f t="shared" si="6"/>
        <v>37134</v>
      </c>
      <c r="AA30" s="216">
        <f t="shared" si="3"/>
        <v>25204</v>
      </c>
    </row>
    <row r="31" spans="1:39" ht="13.8" thickBot="1" x14ac:dyDescent="0.3">
      <c r="A31" s="136" t="s">
        <v>129</v>
      </c>
      <c r="B31" s="137" t="s">
        <v>287</v>
      </c>
      <c r="C31" s="230">
        <v>6749</v>
      </c>
      <c r="D31" s="230">
        <v>2844</v>
      </c>
      <c r="E31" s="230">
        <v>3565</v>
      </c>
      <c r="F31" s="230">
        <v>148</v>
      </c>
      <c r="G31" s="230">
        <v>191</v>
      </c>
      <c r="H31" s="230">
        <v>7</v>
      </c>
      <c r="I31" s="230">
        <v>33</v>
      </c>
      <c r="J31" s="230">
        <v>197</v>
      </c>
      <c r="K31" s="230">
        <v>0</v>
      </c>
      <c r="L31" s="234">
        <f t="shared" si="5"/>
        <v>13734</v>
      </c>
      <c r="M31" s="230">
        <v>2102</v>
      </c>
      <c r="N31" s="230">
        <v>3361</v>
      </c>
      <c r="O31" s="230">
        <v>1898</v>
      </c>
      <c r="P31" s="230">
        <v>99</v>
      </c>
      <c r="Q31" s="230">
        <v>166</v>
      </c>
      <c r="R31" s="230">
        <v>24</v>
      </c>
      <c r="S31" s="230">
        <v>0</v>
      </c>
      <c r="T31" s="230">
        <v>91</v>
      </c>
      <c r="U31" s="230">
        <v>0</v>
      </c>
      <c r="V31" s="229">
        <f t="shared" si="7"/>
        <v>7741</v>
      </c>
      <c r="W31" s="204">
        <v>351</v>
      </c>
      <c r="X31" s="204"/>
      <c r="Y31" s="204"/>
      <c r="Z31" s="214">
        <f t="shared" si="6"/>
        <v>21826</v>
      </c>
      <c r="AA31" s="216">
        <f t="shared" si="3"/>
        <v>15303</v>
      </c>
    </row>
    <row r="32" spans="1:39" ht="13.8" thickBot="1" x14ac:dyDescent="0.3">
      <c r="A32" s="136" t="s">
        <v>139</v>
      </c>
      <c r="B32" s="137" t="s">
        <v>321</v>
      </c>
      <c r="C32" s="230">
        <v>1384</v>
      </c>
      <c r="D32" s="230">
        <v>1426</v>
      </c>
      <c r="E32" s="230">
        <v>886</v>
      </c>
      <c r="F32" s="230">
        <v>37</v>
      </c>
      <c r="G32" s="230">
        <v>59</v>
      </c>
      <c r="H32" s="230">
        <v>0</v>
      </c>
      <c r="I32" s="230">
        <v>173</v>
      </c>
      <c r="J32" s="230">
        <v>188</v>
      </c>
      <c r="K32" s="230">
        <v>298</v>
      </c>
      <c r="L32" s="234">
        <f t="shared" si="5"/>
        <v>4451</v>
      </c>
      <c r="M32" s="230">
        <v>258</v>
      </c>
      <c r="N32" s="230">
        <v>568</v>
      </c>
      <c r="O32" s="230">
        <v>157</v>
      </c>
      <c r="P32" s="230">
        <v>13</v>
      </c>
      <c r="Q32" s="230">
        <v>10</v>
      </c>
      <c r="R32" s="230">
        <v>0</v>
      </c>
      <c r="S32" s="230">
        <v>0</v>
      </c>
      <c r="T32" s="230">
        <v>0</v>
      </c>
      <c r="U32" s="230">
        <v>8</v>
      </c>
      <c r="V32" s="229">
        <f>SUM(M32:U32)</f>
        <v>1014</v>
      </c>
      <c r="W32" s="204">
        <v>421</v>
      </c>
      <c r="X32" s="204"/>
      <c r="Y32" s="204"/>
      <c r="Z32" s="214">
        <f t="shared" si="6"/>
        <v>5886</v>
      </c>
      <c r="AA32" s="216">
        <f t="shared" si="3"/>
        <v>3992</v>
      </c>
    </row>
    <row r="33" spans="1:39" ht="13.8" thickBot="1" x14ac:dyDescent="0.3">
      <c r="A33" s="140" t="s">
        <v>151</v>
      </c>
      <c r="B33" s="161" t="s">
        <v>323</v>
      </c>
      <c r="C33" s="230">
        <v>0</v>
      </c>
      <c r="D33" s="230">
        <v>0</v>
      </c>
      <c r="E33" s="230">
        <v>487</v>
      </c>
      <c r="F33" s="230">
        <v>0</v>
      </c>
      <c r="G33" s="230">
        <v>0</v>
      </c>
      <c r="H33" s="230">
        <v>0</v>
      </c>
      <c r="I33" s="230">
        <v>0</v>
      </c>
      <c r="J33" s="230">
        <v>2072</v>
      </c>
      <c r="K33" s="230">
        <v>0</v>
      </c>
      <c r="L33" s="232">
        <f t="shared" si="5"/>
        <v>2559</v>
      </c>
      <c r="M33" s="147"/>
      <c r="N33" s="147"/>
      <c r="O33" s="147"/>
      <c r="P33" s="147"/>
      <c r="Q33" s="147"/>
      <c r="R33" s="147"/>
      <c r="S33" s="147"/>
      <c r="T33" s="147"/>
      <c r="U33" s="147"/>
      <c r="V33" s="229">
        <f t="shared" ref="V33:V36" si="8">SUM(M33:U33)</f>
        <v>0</v>
      </c>
      <c r="W33" s="206"/>
      <c r="X33" s="209"/>
      <c r="Y33" s="209"/>
      <c r="Z33" s="214">
        <f t="shared" si="6"/>
        <v>2559</v>
      </c>
      <c r="AA33" s="216">
        <f t="shared" si="3"/>
        <v>0</v>
      </c>
    </row>
    <row r="34" spans="1:39" x14ac:dyDescent="0.25">
      <c r="A34" s="136" t="s">
        <v>170</v>
      </c>
      <c r="B34" s="137" t="s">
        <v>288</v>
      </c>
      <c r="C34" s="230">
        <v>4376</v>
      </c>
      <c r="D34" s="230">
        <v>1671</v>
      </c>
      <c r="E34" s="230">
        <v>1919</v>
      </c>
      <c r="F34" s="230">
        <v>18</v>
      </c>
      <c r="G34" s="230">
        <v>138</v>
      </c>
      <c r="H34" s="230">
        <v>0</v>
      </c>
      <c r="I34" s="230">
        <v>0</v>
      </c>
      <c r="J34" s="230">
        <v>135</v>
      </c>
      <c r="K34" s="230">
        <v>0</v>
      </c>
      <c r="L34" s="234">
        <f t="shared" si="5"/>
        <v>8257</v>
      </c>
      <c r="M34" s="230"/>
      <c r="N34" s="230"/>
      <c r="O34" s="230"/>
      <c r="P34" s="230"/>
      <c r="Q34" s="230"/>
      <c r="R34" s="230"/>
      <c r="S34" s="230"/>
      <c r="T34" s="230"/>
      <c r="U34" s="230"/>
      <c r="V34" s="229">
        <f t="shared" si="8"/>
        <v>0</v>
      </c>
      <c r="W34" s="235">
        <v>150</v>
      </c>
      <c r="X34" s="209"/>
      <c r="Y34" s="209"/>
      <c r="Z34" s="214">
        <f t="shared" si="6"/>
        <v>8407</v>
      </c>
      <c r="AA34" s="217">
        <f t="shared" ref="AA34:AA36" si="9">C34+D34+F34+K34+M34+N34+P34+U34</f>
        <v>6065</v>
      </c>
    </row>
    <row r="35" spans="1:39" x14ac:dyDescent="0.25">
      <c r="A35" s="136" t="s">
        <v>171</v>
      </c>
      <c r="B35" s="137" t="s">
        <v>324</v>
      </c>
      <c r="C35" s="230">
        <v>2021</v>
      </c>
      <c r="D35" s="230">
        <v>1229</v>
      </c>
      <c r="E35" s="230">
        <v>1323</v>
      </c>
      <c r="F35" s="230">
        <v>98</v>
      </c>
      <c r="G35" s="230">
        <v>60</v>
      </c>
      <c r="H35" s="230">
        <v>0</v>
      </c>
      <c r="I35" s="230">
        <v>131</v>
      </c>
      <c r="J35" s="230">
        <v>279</v>
      </c>
      <c r="K35" s="230">
        <v>0</v>
      </c>
      <c r="L35" s="234">
        <f t="shared" si="5"/>
        <v>5141</v>
      </c>
      <c r="M35" s="230">
        <v>740</v>
      </c>
      <c r="N35" s="230">
        <v>903</v>
      </c>
      <c r="O35" s="230">
        <v>668</v>
      </c>
      <c r="P35" s="230">
        <v>26</v>
      </c>
      <c r="Q35" s="230">
        <v>33</v>
      </c>
      <c r="R35" s="230">
        <v>8</v>
      </c>
      <c r="S35" s="230">
        <v>0</v>
      </c>
      <c r="T35" s="230">
        <v>3</v>
      </c>
      <c r="U35" s="230">
        <v>0</v>
      </c>
      <c r="V35" s="229">
        <f t="shared" si="8"/>
        <v>2381</v>
      </c>
      <c r="W35" s="233">
        <f>1056+2378</f>
        <v>3434</v>
      </c>
      <c r="X35" s="204"/>
      <c r="Y35" s="204"/>
      <c r="Z35" s="214">
        <f t="shared" si="6"/>
        <v>10956</v>
      </c>
      <c r="AA35" s="215">
        <f>C35+D35+F35+K35+M35+N35+P35+U35</f>
        <v>5017</v>
      </c>
    </row>
    <row r="36" spans="1:39" ht="13.8" thickBot="1" x14ac:dyDescent="0.3">
      <c r="A36" s="136" t="s">
        <v>362</v>
      </c>
      <c r="B36" s="138" t="s">
        <v>289</v>
      </c>
      <c r="C36" s="265">
        <v>577</v>
      </c>
      <c r="D36" s="265">
        <v>375</v>
      </c>
      <c r="E36" s="265">
        <v>242</v>
      </c>
      <c r="F36" s="265">
        <v>35</v>
      </c>
      <c r="G36" s="265">
        <v>20</v>
      </c>
      <c r="H36" s="265">
        <v>0</v>
      </c>
      <c r="I36" s="265">
        <v>0</v>
      </c>
      <c r="J36" s="265">
        <v>46</v>
      </c>
      <c r="K36" s="265">
        <v>0</v>
      </c>
      <c r="L36" s="234">
        <f t="shared" si="5"/>
        <v>1295</v>
      </c>
      <c r="M36" s="265"/>
      <c r="N36" s="265"/>
      <c r="O36" s="265"/>
      <c r="P36" s="265"/>
      <c r="Q36" s="265"/>
      <c r="R36" s="265"/>
      <c r="S36" s="265"/>
      <c r="T36" s="265"/>
      <c r="U36" s="265"/>
      <c r="V36" s="231">
        <f t="shared" si="8"/>
        <v>0</v>
      </c>
      <c r="W36" s="360"/>
      <c r="X36" s="209"/>
      <c r="Y36" s="209"/>
      <c r="Z36" s="214">
        <f t="shared" si="6"/>
        <v>1295</v>
      </c>
      <c r="AA36" s="217">
        <f t="shared" si="9"/>
        <v>987</v>
      </c>
    </row>
    <row r="37" spans="1:39" s="109" customFormat="1" ht="14.4" thickBot="1" x14ac:dyDescent="0.3">
      <c r="A37" s="134"/>
      <c r="B37" s="159" t="s">
        <v>458</v>
      </c>
      <c r="C37" s="258">
        <f t="shared" ref="C37:K37" si="10">SUM(C24:C36)</f>
        <v>51152</v>
      </c>
      <c r="D37" s="157">
        <f t="shared" si="10"/>
        <v>21655</v>
      </c>
      <c r="E37" s="157">
        <f t="shared" si="10"/>
        <v>23279</v>
      </c>
      <c r="F37" s="259">
        <f t="shared" si="10"/>
        <v>1085</v>
      </c>
      <c r="G37" s="362">
        <f t="shared" si="10"/>
        <v>1226</v>
      </c>
      <c r="H37" s="157">
        <f t="shared" si="10"/>
        <v>337</v>
      </c>
      <c r="I37" s="157">
        <f t="shared" si="10"/>
        <v>1620</v>
      </c>
      <c r="J37" s="259">
        <f t="shared" si="10"/>
        <v>4437</v>
      </c>
      <c r="K37" s="365">
        <f t="shared" si="10"/>
        <v>350</v>
      </c>
      <c r="L37" s="260">
        <f t="shared" ref="L37:AA37" si="11">SUM(L24:L36)</f>
        <v>105141</v>
      </c>
      <c r="M37" s="262">
        <f t="shared" si="11"/>
        <v>8092</v>
      </c>
      <c r="N37" s="158">
        <f t="shared" si="11"/>
        <v>13578</v>
      </c>
      <c r="O37" s="158">
        <f t="shared" si="11"/>
        <v>6486</v>
      </c>
      <c r="P37" s="158">
        <f t="shared" si="11"/>
        <v>320</v>
      </c>
      <c r="Q37" s="158">
        <f t="shared" si="11"/>
        <v>715</v>
      </c>
      <c r="R37" s="158">
        <f t="shared" si="11"/>
        <v>224</v>
      </c>
      <c r="S37" s="158">
        <f t="shared" si="11"/>
        <v>32</v>
      </c>
      <c r="T37" s="158">
        <f t="shared" si="11"/>
        <v>415</v>
      </c>
      <c r="U37" s="264">
        <f t="shared" si="11"/>
        <v>8</v>
      </c>
      <c r="V37" s="263">
        <f t="shared" si="11"/>
        <v>29870</v>
      </c>
      <c r="W37" s="261">
        <f t="shared" si="11"/>
        <v>9023</v>
      </c>
      <c r="X37" s="210">
        <f t="shared" si="11"/>
        <v>0</v>
      </c>
      <c r="Y37" s="210">
        <f t="shared" si="11"/>
        <v>0</v>
      </c>
      <c r="Z37" s="210">
        <f t="shared" si="11"/>
        <v>144034</v>
      </c>
      <c r="AA37" s="210">
        <f t="shared" si="11"/>
        <v>96240</v>
      </c>
      <c r="AC37"/>
      <c r="AD37"/>
      <c r="AE37"/>
      <c r="AF37"/>
      <c r="AG37"/>
      <c r="AH37"/>
      <c r="AI37"/>
      <c r="AJ37"/>
      <c r="AK37"/>
      <c r="AL37"/>
      <c r="AM37"/>
    </row>
    <row r="38" spans="1:39" x14ac:dyDescent="0.25">
      <c r="A38" s="136" t="s">
        <v>70</v>
      </c>
      <c r="B38" s="137" t="s">
        <v>313</v>
      </c>
      <c r="C38" s="280">
        <v>1722</v>
      </c>
      <c r="D38" s="280">
        <v>1977</v>
      </c>
      <c r="E38" s="280">
        <v>804</v>
      </c>
      <c r="F38" s="280">
        <v>84</v>
      </c>
      <c r="G38" s="280">
        <v>54</v>
      </c>
      <c r="H38" s="280">
        <v>0</v>
      </c>
      <c r="I38" s="280">
        <v>66</v>
      </c>
      <c r="J38" s="280">
        <v>148</v>
      </c>
      <c r="K38" s="280">
        <v>90</v>
      </c>
      <c r="L38" s="234">
        <f t="shared" ref="L38:L54" si="12">SUM(C38:K38)</f>
        <v>4945</v>
      </c>
      <c r="M38" s="280">
        <v>1617</v>
      </c>
      <c r="N38" s="280">
        <v>1662</v>
      </c>
      <c r="O38" s="280">
        <v>1206</v>
      </c>
      <c r="P38" s="280">
        <v>52</v>
      </c>
      <c r="Q38" s="280">
        <v>90</v>
      </c>
      <c r="R38" s="280">
        <v>46</v>
      </c>
      <c r="S38" s="280">
        <v>0</v>
      </c>
      <c r="T38" s="280">
        <v>17</v>
      </c>
      <c r="U38" s="280">
        <v>29</v>
      </c>
      <c r="V38" s="280">
        <f>SUM(M38:U38)</f>
        <v>4719</v>
      </c>
      <c r="W38" s="237">
        <v>1026</v>
      </c>
      <c r="X38" s="211">
        <v>0</v>
      </c>
      <c r="Y38" s="211">
        <v>0</v>
      </c>
      <c r="Z38" s="214">
        <f t="shared" si="6"/>
        <v>10690</v>
      </c>
      <c r="AA38" s="215">
        <f t="shared" ref="AA38:AA54" si="13">C38+D38+F38+K38+M38+N38+P38+U38</f>
        <v>7233</v>
      </c>
    </row>
    <row r="39" spans="1:39" x14ac:dyDescent="0.25">
      <c r="A39" s="136" t="s">
        <v>75</v>
      </c>
      <c r="B39" s="137" t="s">
        <v>336</v>
      </c>
      <c r="C39" s="230">
        <v>2857</v>
      </c>
      <c r="D39" s="230">
        <v>2194</v>
      </c>
      <c r="E39" s="230">
        <v>1726</v>
      </c>
      <c r="F39" s="230">
        <v>100</v>
      </c>
      <c r="G39" s="230">
        <v>131</v>
      </c>
      <c r="H39" s="230">
        <v>3</v>
      </c>
      <c r="I39" s="230">
        <v>14</v>
      </c>
      <c r="J39" s="230">
        <v>258</v>
      </c>
      <c r="K39" s="230">
        <v>0</v>
      </c>
      <c r="L39" s="232">
        <f t="shared" si="12"/>
        <v>7283</v>
      </c>
      <c r="M39" s="230">
        <v>559</v>
      </c>
      <c r="N39" s="230">
        <v>1410</v>
      </c>
      <c r="O39" s="230">
        <v>472</v>
      </c>
      <c r="P39" s="230">
        <v>36</v>
      </c>
      <c r="Q39" s="230">
        <v>35</v>
      </c>
      <c r="R39" s="230">
        <v>0</v>
      </c>
      <c r="S39" s="230">
        <v>0</v>
      </c>
      <c r="T39" s="230">
        <v>126</v>
      </c>
      <c r="U39" s="230">
        <v>0</v>
      </c>
      <c r="V39" s="230">
        <f t="shared" ref="V39:V54" si="14">SUM(M39:U39)</f>
        <v>2638</v>
      </c>
      <c r="W39" s="233">
        <v>62</v>
      </c>
      <c r="X39" s="204"/>
      <c r="Y39" s="204"/>
      <c r="Z39" s="214">
        <f t="shared" si="6"/>
        <v>9983</v>
      </c>
      <c r="AA39" s="215">
        <f t="shared" si="13"/>
        <v>7156</v>
      </c>
    </row>
    <row r="40" spans="1:39" x14ac:dyDescent="0.25">
      <c r="A40" s="136" t="s">
        <v>78</v>
      </c>
      <c r="B40" s="137" t="s">
        <v>314</v>
      </c>
      <c r="C40" s="230">
        <v>764</v>
      </c>
      <c r="D40" s="230">
        <v>887</v>
      </c>
      <c r="E40" s="230">
        <v>475</v>
      </c>
      <c r="F40" s="230">
        <v>31</v>
      </c>
      <c r="G40" s="230">
        <v>47</v>
      </c>
      <c r="H40" s="230">
        <v>0</v>
      </c>
      <c r="I40" s="230">
        <v>0</v>
      </c>
      <c r="J40" s="230">
        <v>322</v>
      </c>
      <c r="K40" s="230">
        <v>157</v>
      </c>
      <c r="L40" s="232">
        <f t="shared" si="12"/>
        <v>2683</v>
      </c>
      <c r="M40" s="230">
        <v>906</v>
      </c>
      <c r="N40" s="230">
        <v>1070</v>
      </c>
      <c r="O40" s="230">
        <v>906</v>
      </c>
      <c r="P40" s="230">
        <v>21</v>
      </c>
      <c r="Q40" s="230">
        <v>34</v>
      </c>
      <c r="R40" s="230">
        <v>140</v>
      </c>
      <c r="S40" s="230">
        <v>0</v>
      </c>
      <c r="T40" s="230">
        <v>10</v>
      </c>
      <c r="U40" s="230">
        <v>161</v>
      </c>
      <c r="V40" s="230">
        <f t="shared" si="14"/>
        <v>3248</v>
      </c>
      <c r="W40" s="233">
        <v>513</v>
      </c>
      <c r="X40" s="204"/>
      <c r="Y40" s="204"/>
      <c r="Z40" s="214">
        <f t="shared" si="6"/>
        <v>6444</v>
      </c>
      <c r="AA40" s="215">
        <f t="shared" si="13"/>
        <v>3997</v>
      </c>
    </row>
    <row r="41" spans="1:39" x14ac:dyDescent="0.25">
      <c r="A41" s="136" t="s">
        <v>88</v>
      </c>
      <c r="B41" s="137" t="s">
        <v>337</v>
      </c>
      <c r="C41" s="230">
        <v>5218</v>
      </c>
      <c r="D41" s="230">
        <v>1609</v>
      </c>
      <c r="E41" s="230">
        <v>1624</v>
      </c>
      <c r="F41" s="230">
        <v>106</v>
      </c>
      <c r="G41" s="230">
        <v>131</v>
      </c>
      <c r="H41" s="230">
        <v>61</v>
      </c>
      <c r="I41" s="230">
        <v>174</v>
      </c>
      <c r="J41" s="230">
        <v>132</v>
      </c>
      <c r="K41" s="230">
        <v>0</v>
      </c>
      <c r="L41" s="232">
        <f t="shared" si="12"/>
        <v>9055</v>
      </c>
      <c r="M41" s="230">
        <v>1692</v>
      </c>
      <c r="N41" s="230">
        <v>807</v>
      </c>
      <c r="O41" s="230">
        <v>786</v>
      </c>
      <c r="P41" s="230">
        <v>33</v>
      </c>
      <c r="Q41" s="230">
        <v>40</v>
      </c>
      <c r="R41" s="230">
        <v>80</v>
      </c>
      <c r="S41" s="230">
        <v>0</v>
      </c>
      <c r="T41" s="230">
        <v>7</v>
      </c>
      <c r="U41" s="230">
        <v>0</v>
      </c>
      <c r="V41" s="230">
        <f t="shared" si="14"/>
        <v>3445</v>
      </c>
      <c r="W41" s="233">
        <v>748</v>
      </c>
      <c r="X41" s="204"/>
      <c r="Y41" s="204"/>
      <c r="Z41" s="214">
        <f t="shared" si="6"/>
        <v>13248</v>
      </c>
      <c r="AA41" s="215">
        <f t="shared" si="13"/>
        <v>9465</v>
      </c>
    </row>
    <row r="42" spans="1:39" x14ac:dyDescent="0.25">
      <c r="A42" s="136" t="s">
        <v>99</v>
      </c>
      <c r="B42" s="137" t="s">
        <v>338</v>
      </c>
      <c r="C42" s="230">
        <v>20316</v>
      </c>
      <c r="D42" s="230">
        <v>3867</v>
      </c>
      <c r="E42" s="230">
        <v>5553</v>
      </c>
      <c r="F42" s="230">
        <v>311</v>
      </c>
      <c r="G42" s="230">
        <v>265</v>
      </c>
      <c r="H42" s="230">
        <v>253</v>
      </c>
      <c r="I42" s="230">
        <v>478</v>
      </c>
      <c r="J42" s="230">
        <v>300</v>
      </c>
      <c r="K42" s="230">
        <v>0</v>
      </c>
      <c r="L42" s="232">
        <f t="shared" si="12"/>
        <v>31343</v>
      </c>
      <c r="M42" s="230">
        <v>1409</v>
      </c>
      <c r="N42" s="230">
        <v>793</v>
      </c>
      <c r="O42" s="230">
        <v>1005</v>
      </c>
      <c r="P42" s="230">
        <v>15</v>
      </c>
      <c r="Q42" s="230">
        <v>20</v>
      </c>
      <c r="R42" s="230">
        <v>264</v>
      </c>
      <c r="S42" s="230">
        <v>1</v>
      </c>
      <c r="T42" s="230">
        <v>20</v>
      </c>
      <c r="U42" s="230">
        <v>0</v>
      </c>
      <c r="V42" s="230">
        <f t="shared" si="14"/>
        <v>3527</v>
      </c>
      <c r="W42" s="233">
        <v>3275</v>
      </c>
      <c r="X42" s="204"/>
      <c r="Y42" s="204"/>
      <c r="Z42" s="214">
        <f t="shared" si="6"/>
        <v>38145</v>
      </c>
      <c r="AA42" s="215">
        <f t="shared" si="13"/>
        <v>26711</v>
      </c>
    </row>
    <row r="43" spans="1:39" x14ac:dyDescent="0.25">
      <c r="A43" s="136" t="s">
        <v>113</v>
      </c>
      <c r="B43" s="137" t="s">
        <v>339</v>
      </c>
      <c r="C43" s="230">
        <v>5624</v>
      </c>
      <c r="D43" s="230">
        <v>2722</v>
      </c>
      <c r="E43" s="230">
        <v>2496</v>
      </c>
      <c r="F43" s="230">
        <v>83</v>
      </c>
      <c r="G43" s="230">
        <v>97</v>
      </c>
      <c r="H43" s="230">
        <v>0</v>
      </c>
      <c r="I43" s="230">
        <v>0</v>
      </c>
      <c r="J43" s="230">
        <v>193</v>
      </c>
      <c r="K43" s="230">
        <v>0</v>
      </c>
      <c r="L43" s="232">
        <f t="shared" si="12"/>
        <v>11215</v>
      </c>
      <c r="M43" s="230">
        <v>6555</v>
      </c>
      <c r="N43" s="230">
        <v>10974</v>
      </c>
      <c r="O43" s="230">
        <v>6746</v>
      </c>
      <c r="P43" s="230">
        <v>205</v>
      </c>
      <c r="Q43" s="230">
        <v>165</v>
      </c>
      <c r="R43" s="230">
        <v>123</v>
      </c>
      <c r="S43" s="230">
        <v>149</v>
      </c>
      <c r="T43" s="230">
        <v>23</v>
      </c>
      <c r="U43" s="230">
        <v>0</v>
      </c>
      <c r="V43" s="230">
        <f t="shared" si="14"/>
        <v>24940</v>
      </c>
      <c r="W43" s="233">
        <v>1309</v>
      </c>
      <c r="X43" s="204"/>
      <c r="Y43" s="204"/>
      <c r="Z43" s="214">
        <f t="shared" si="6"/>
        <v>37464</v>
      </c>
      <c r="AA43" s="215">
        <f t="shared" si="13"/>
        <v>26163</v>
      </c>
    </row>
    <row r="44" spans="1:39" x14ac:dyDescent="0.25">
      <c r="A44" s="136" t="s">
        <v>116</v>
      </c>
      <c r="B44" s="137" t="s">
        <v>316</v>
      </c>
      <c r="C44" s="230">
        <v>4187</v>
      </c>
      <c r="D44" s="230">
        <v>2649</v>
      </c>
      <c r="E44" s="230">
        <v>1898</v>
      </c>
      <c r="F44" s="230">
        <v>73</v>
      </c>
      <c r="G44" s="230">
        <v>372</v>
      </c>
      <c r="H44" s="230">
        <v>0</v>
      </c>
      <c r="I44" s="230">
        <v>0</v>
      </c>
      <c r="J44" s="230">
        <v>179</v>
      </c>
      <c r="K44" s="230">
        <v>78</v>
      </c>
      <c r="L44" s="232">
        <f t="shared" si="12"/>
        <v>9436</v>
      </c>
      <c r="M44" s="230">
        <v>414</v>
      </c>
      <c r="N44" s="230">
        <v>306</v>
      </c>
      <c r="O44" s="230">
        <v>432</v>
      </c>
      <c r="P44" s="230">
        <v>2</v>
      </c>
      <c r="Q44" s="230">
        <v>27</v>
      </c>
      <c r="R44" s="230">
        <v>132</v>
      </c>
      <c r="S44" s="230">
        <v>0</v>
      </c>
      <c r="T44" s="230">
        <v>0</v>
      </c>
      <c r="U44" s="230">
        <v>1</v>
      </c>
      <c r="V44" s="230">
        <f t="shared" si="14"/>
        <v>1314</v>
      </c>
      <c r="W44" s="233">
        <v>1097</v>
      </c>
      <c r="X44" s="204"/>
      <c r="Y44" s="204"/>
      <c r="Z44" s="214">
        <f t="shared" si="6"/>
        <v>11847</v>
      </c>
      <c r="AA44" s="215">
        <f t="shared" si="13"/>
        <v>7710</v>
      </c>
    </row>
    <row r="45" spans="1:39" x14ac:dyDescent="0.25">
      <c r="A45" s="136" t="s">
        <v>117</v>
      </c>
      <c r="B45" s="137" t="s">
        <v>317</v>
      </c>
      <c r="C45" s="230">
        <v>5890</v>
      </c>
      <c r="D45" s="230">
        <v>3796</v>
      </c>
      <c r="E45" s="230">
        <v>3597</v>
      </c>
      <c r="F45" s="230">
        <v>155</v>
      </c>
      <c r="G45" s="230">
        <v>250</v>
      </c>
      <c r="H45" s="230">
        <v>26</v>
      </c>
      <c r="I45" s="230">
        <v>520</v>
      </c>
      <c r="J45" s="230">
        <v>551</v>
      </c>
      <c r="K45" s="230">
        <v>0</v>
      </c>
      <c r="L45" s="232">
        <f t="shared" si="12"/>
        <v>14785</v>
      </c>
      <c r="M45" s="230">
        <v>813</v>
      </c>
      <c r="N45" s="230">
        <v>1891</v>
      </c>
      <c r="O45" s="230">
        <v>961</v>
      </c>
      <c r="P45" s="230">
        <v>36</v>
      </c>
      <c r="Q45" s="230">
        <v>60</v>
      </c>
      <c r="R45" s="230">
        <v>102</v>
      </c>
      <c r="S45" s="230">
        <v>0</v>
      </c>
      <c r="T45" s="230">
        <v>12</v>
      </c>
      <c r="U45" s="230">
        <v>0</v>
      </c>
      <c r="V45" s="230">
        <f t="shared" si="14"/>
        <v>3875</v>
      </c>
      <c r="W45" s="233">
        <v>1371</v>
      </c>
      <c r="X45" s="204"/>
      <c r="Y45" s="204"/>
      <c r="Z45" s="214">
        <f t="shared" si="6"/>
        <v>20031</v>
      </c>
      <c r="AA45" s="215">
        <f t="shared" si="13"/>
        <v>12581</v>
      </c>
    </row>
    <row r="46" spans="1:39" x14ac:dyDescent="0.25">
      <c r="A46" s="136" t="s">
        <v>118</v>
      </c>
      <c r="B46" s="137" t="s">
        <v>340</v>
      </c>
      <c r="C46" s="230">
        <v>650</v>
      </c>
      <c r="D46" s="230">
        <v>955</v>
      </c>
      <c r="E46" s="230">
        <v>189</v>
      </c>
      <c r="F46" s="230">
        <v>46</v>
      </c>
      <c r="G46" s="230">
        <v>49</v>
      </c>
      <c r="H46" s="230">
        <v>0</v>
      </c>
      <c r="I46" s="230">
        <v>0</v>
      </c>
      <c r="J46" s="230">
        <v>224</v>
      </c>
      <c r="K46" s="230">
        <v>0</v>
      </c>
      <c r="L46" s="232">
        <f t="shared" si="12"/>
        <v>2113</v>
      </c>
      <c r="M46" s="230">
        <v>359</v>
      </c>
      <c r="N46" s="230">
        <v>320</v>
      </c>
      <c r="O46" s="230">
        <v>106</v>
      </c>
      <c r="P46" s="230">
        <v>3</v>
      </c>
      <c r="Q46" s="230">
        <v>9</v>
      </c>
      <c r="R46" s="230">
        <v>5</v>
      </c>
      <c r="S46" s="230">
        <v>16</v>
      </c>
      <c r="T46" s="230">
        <v>4</v>
      </c>
      <c r="U46" s="230">
        <v>0</v>
      </c>
      <c r="V46" s="230">
        <f t="shared" si="14"/>
        <v>822</v>
      </c>
      <c r="W46" s="233">
        <v>314</v>
      </c>
      <c r="X46" s="204"/>
      <c r="Y46" s="204"/>
      <c r="Z46" s="214">
        <f>L46+V46+W46+X46+Y46</f>
        <v>3249</v>
      </c>
      <c r="AA46" s="215">
        <f t="shared" si="13"/>
        <v>2333</v>
      </c>
    </row>
    <row r="47" spans="1:39" x14ac:dyDescent="0.25">
      <c r="A47" s="136" t="s">
        <v>122</v>
      </c>
      <c r="B47" s="137" t="s">
        <v>341</v>
      </c>
      <c r="C47" s="230">
        <v>6178</v>
      </c>
      <c r="D47" s="230">
        <v>3696</v>
      </c>
      <c r="E47" s="230">
        <v>2774</v>
      </c>
      <c r="F47" s="230">
        <v>176</v>
      </c>
      <c r="G47" s="230">
        <v>197</v>
      </c>
      <c r="H47" s="230">
        <v>19</v>
      </c>
      <c r="I47" s="230">
        <v>162</v>
      </c>
      <c r="J47" s="230">
        <v>802</v>
      </c>
      <c r="K47" s="230">
        <v>0</v>
      </c>
      <c r="L47" s="232">
        <f t="shared" si="12"/>
        <v>14004</v>
      </c>
      <c r="M47" s="230">
        <v>3851</v>
      </c>
      <c r="N47" s="230">
        <v>5508</v>
      </c>
      <c r="O47" s="230">
        <v>3295</v>
      </c>
      <c r="P47" s="230">
        <v>185</v>
      </c>
      <c r="Q47" s="230">
        <v>178</v>
      </c>
      <c r="R47" s="230">
        <v>217</v>
      </c>
      <c r="S47" s="230">
        <v>25</v>
      </c>
      <c r="T47" s="230">
        <v>58</v>
      </c>
      <c r="U47" s="230">
        <v>0</v>
      </c>
      <c r="V47" s="230">
        <f t="shared" si="14"/>
        <v>13317</v>
      </c>
      <c r="W47" s="233">
        <v>392</v>
      </c>
      <c r="X47" s="204"/>
      <c r="Y47" s="204"/>
      <c r="Z47" s="382">
        <f t="shared" si="6"/>
        <v>27713</v>
      </c>
      <c r="AA47" s="215">
        <f t="shared" si="13"/>
        <v>19594</v>
      </c>
    </row>
    <row r="48" spans="1:39" ht="17.25" customHeight="1" x14ac:dyDescent="0.25">
      <c r="A48" s="136" t="s">
        <v>140</v>
      </c>
      <c r="B48" s="137" t="s">
        <v>265</v>
      </c>
      <c r="C48" s="230"/>
      <c r="D48" s="128"/>
      <c r="E48" s="128"/>
      <c r="F48" s="128"/>
      <c r="G48" s="128"/>
      <c r="H48" s="128"/>
      <c r="I48" s="128"/>
      <c r="J48" s="128"/>
      <c r="K48" s="128"/>
      <c r="L48" s="232">
        <f t="shared" si="12"/>
        <v>0</v>
      </c>
      <c r="M48" s="147"/>
      <c r="N48" s="147"/>
      <c r="O48" s="147"/>
      <c r="P48" s="147"/>
      <c r="Q48" s="147"/>
      <c r="R48" s="147"/>
      <c r="S48" s="147"/>
      <c r="T48" s="147"/>
      <c r="U48" s="189"/>
      <c r="V48" s="230">
        <f t="shared" si="14"/>
        <v>0</v>
      </c>
      <c r="W48" s="205"/>
      <c r="X48" s="204">
        <v>1990</v>
      </c>
      <c r="Y48" s="204">
        <v>404</v>
      </c>
      <c r="Z48" s="382">
        <f>L48+V48+W48+X48+Y48</f>
        <v>2394</v>
      </c>
      <c r="AA48" s="215">
        <f t="shared" si="13"/>
        <v>0</v>
      </c>
    </row>
    <row r="49" spans="1:39" x14ac:dyDescent="0.25">
      <c r="A49" s="136" t="s">
        <v>141</v>
      </c>
      <c r="B49" s="137" t="s">
        <v>342</v>
      </c>
      <c r="C49" s="230">
        <v>3130</v>
      </c>
      <c r="D49" s="230">
        <v>1781</v>
      </c>
      <c r="E49" s="230">
        <v>1201</v>
      </c>
      <c r="F49" s="230">
        <v>132</v>
      </c>
      <c r="G49" s="230">
        <v>79</v>
      </c>
      <c r="H49" s="230">
        <v>0</v>
      </c>
      <c r="I49" s="230">
        <v>0</v>
      </c>
      <c r="J49" s="230">
        <v>107</v>
      </c>
      <c r="K49" s="230">
        <v>0</v>
      </c>
      <c r="L49" s="232">
        <f t="shared" si="12"/>
        <v>6430</v>
      </c>
      <c r="M49" s="230">
        <v>850</v>
      </c>
      <c r="N49" s="230">
        <v>1515</v>
      </c>
      <c r="O49" s="230">
        <v>577</v>
      </c>
      <c r="P49" s="230">
        <v>30</v>
      </c>
      <c r="Q49" s="230">
        <v>25</v>
      </c>
      <c r="R49" s="230">
        <v>2</v>
      </c>
      <c r="S49" s="230">
        <v>0</v>
      </c>
      <c r="T49" s="230">
        <v>25</v>
      </c>
      <c r="U49" s="230"/>
      <c r="V49" s="230">
        <f t="shared" si="14"/>
        <v>3024</v>
      </c>
      <c r="W49" s="204">
        <v>585</v>
      </c>
      <c r="X49" s="204"/>
      <c r="Y49" s="204"/>
      <c r="Z49" s="382">
        <f t="shared" si="6"/>
        <v>10039</v>
      </c>
      <c r="AA49" s="215">
        <f t="shared" si="13"/>
        <v>7438</v>
      </c>
    </row>
    <row r="50" spans="1:39" x14ac:dyDescent="0.25">
      <c r="A50" s="136" t="s">
        <v>142</v>
      </c>
      <c r="B50" s="137" t="s">
        <v>343</v>
      </c>
      <c r="C50" s="230">
        <v>0</v>
      </c>
      <c r="D50" s="230">
        <v>0</v>
      </c>
      <c r="E50" s="230">
        <v>3233</v>
      </c>
      <c r="F50" s="230">
        <v>0</v>
      </c>
      <c r="G50" s="230">
        <v>0</v>
      </c>
      <c r="H50" s="230">
        <v>0</v>
      </c>
      <c r="I50" s="230">
        <v>0</v>
      </c>
      <c r="J50" s="230">
        <v>16692</v>
      </c>
      <c r="K50" s="230">
        <v>0</v>
      </c>
      <c r="L50" s="232">
        <f t="shared" si="12"/>
        <v>19925</v>
      </c>
      <c r="M50" s="230">
        <v>0</v>
      </c>
      <c r="N50" s="230">
        <v>0</v>
      </c>
      <c r="O50" s="230">
        <v>0</v>
      </c>
      <c r="P50" s="230">
        <v>0</v>
      </c>
      <c r="Q50" s="230">
        <v>0</v>
      </c>
      <c r="R50" s="230">
        <v>0</v>
      </c>
      <c r="S50" s="230">
        <v>0</v>
      </c>
      <c r="T50" s="230">
        <v>0</v>
      </c>
      <c r="U50" s="230"/>
      <c r="V50" s="230">
        <f t="shared" si="14"/>
        <v>0</v>
      </c>
      <c r="W50" s="204">
        <f>707+551</f>
        <v>1258</v>
      </c>
      <c r="X50" s="204"/>
      <c r="Y50" s="204"/>
      <c r="Z50" s="214">
        <f t="shared" si="6"/>
        <v>21183</v>
      </c>
      <c r="AA50" s="215">
        <f t="shared" si="13"/>
        <v>0</v>
      </c>
    </row>
    <row r="51" spans="1:39" x14ac:dyDescent="0.25">
      <c r="A51" s="136" t="s">
        <v>147</v>
      </c>
      <c r="B51" s="137" t="s">
        <v>322</v>
      </c>
      <c r="C51" s="230">
        <v>14635</v>
      </c>
      <c r="D51" s="230">
        <v>4462</v>
      </c>
      <c r="E51" s="230">
        <v>3969</v>
      </c>
      <c r="F51" s="230">
        <v>171</v>
      </c>
      <c r="G51" s="230">
        <v>174</v>
      </c>
      <c r="H51" s="230">
        <v>0</v>
      </c>
      <c r="I51" s="230">
        <v>351</v>
      </c>
      <c r="J51" s="230">
        <v>979</v>
      </c>
      <c r="K51" s="230">
        <v>0</v>
      </c>
      <c r="L51" s="232">
        <f t="shared" si="12"/>
        <v>24741</v>
      </c>
      <c r="M51" s="230">
        <v>1847</v>
      </c>
      <c r="N51" s="230">
        <v>2574</v>
      </c>
      <c r="O51" s="230">
        <v>1488</v>
      </c>
      <c r="P51" s="230">
        <v>50</v>
      </c>
      <c r="Q51" s="230">
        <v>107</v>
      </c>
      <c r="R51" s="230">
        <v>88</v>
      </c>
      <c r="S51" s="230">
        <v>0</v>
      </c>
      <c r="T51" s="230">
        <v>4</v>
      </c>
      <c r="U51" s="230"/>
      <c r="V51" s="230">
        <f t="shared" si="14"/>
        <v>6158</v>
      </c>
      <c r="W51" s="204">
        <v>1186</v>
      </c>
      <c r="X51" s="204"/>
      <c r="Y51" s="204"/>
      <c r="Z51" s="214">
        <f t="shared" si="6"/>
        <v>32085</v>
      </c>
      <c r="AA51" s="215">
        <f t="shared" si="13"/>
        <v>23739</v>
      </c>
    </row>
    <row r="52" spans="1:39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>
        <v>5508</v>
      </c>
      <c r="K52" s="128"/>
      <c r="L52" s="232">
        <f t="shared" si="12"/>
        <v>5508</v>
      </c>
      <c r="M52" s="147"/>
      <c r="N52" s="147"/>
      <c r="O52" s="147"/>
      <c r="P52" s="147"/>
      <c r="Q52" s="147"/>
      <c r="R52" s="147"/>
      <c r="S52" s="147"/>
      <c r="T52" s="147"/>
      <c r="U52" s="189"/>
      <c r="V52" s="230">
        <f t="shared" si="14"/>
        <v>0</v>
      </c>
      <c r="W52" s="205"/>
      <c r="X52" s="204"/>
      <c r="Y52" s="204"/>
      <c r="Z52" s="214">
        <f t="shared" si="6"/>
        <v>5508</v>
      </c>
      <c r="AA52" s="215">
        <f t="shared" si="13"/>
        <v>0</v>
      </c>
    </row>
    <row r="53" spans="1:39" x14ac:dyDescent="0.25">
      <c r="A53" s="136" t="s">
        <v>174</v>
      </c>
      <c r="B53" s="137" t="s">
        <v>344</v>
      </c>
      <c r="C53" s="230">
        <v>12775</v>
      </c>
      <c r="D53" s="230">
        <v>5437</v>
      </c>
      <c r="E53" s="230">
        <v>4642</v>
      </c>
      <c r="F53" s="230">
        <v>209</v>
      </c>
      <c r="G53" s="230">
        <v>179</v>
      </c>
      <c r="H53" s="230">
        <v>24</v>
      </c>
      <c r="I53" s="230">
        <v>75</v>
      </c>
      <c r="J53" s="230">
        <v>619</v>
      </c>
      <c r="K53" s="230">
        <v>2</v>
      </c>
      <c r="L53" s="232">
        <f t="shared" si="12"/>
        <v>23962</v>
      </c>
      <c r="M53" s="230">
        <v>1277</v>
      </c>
      <c r="N53" s="230">
        <v>1465</v>
      </c>
      <c r="O53" s="230">
        <v>926</v>
      </c>
      <c r="P53" s="230">
        <v>46</v>
      </c>
      <c r="Q53" s="230">
        <v>14</v>
      </c>
      <c r="R53" s="230">
        <v>250</v>
      </c>
      <c r="S53" s="230">
        <v>0</v>
      </c>
      <c r="T53" s="230">
        <v>4</v>
      </c>
      <c r="U53" s="230"/>
      <c r="V53" s="230">
        <f t="shared" si="14"/>
        <v>3982</v>
      </c>
      <c r="W53" s="204">
        <v>1100</v>
      </c>
      <c r="X53" s="204"/>
      <c r="Y53" s="204"/>
      <c r="Z53" s="214">
        <f t="shared" si="6"/>
        <v>29044</v>
      </c>
      <c r="AA53" s="215">
        <f t="shared" si="13"/>
        <v>21211</v>
      </c>
    </row>
    <row r="54" spans="1:39" ht="13.8" thickBot="1" x14ac:dyDescent="0.3">
      <c r="A54" s="136" t="s">
        <v>186</v>
      </c>
      <c r="B54" s="137" t="s">
        <v>345</v>
      </c>
      <c r="C54" s="265">
        <v>607</v>
      </c>
      <c r="D54" s="265">
        <v>769</v>
      </c>
      <c r="E54" s="265">
        <v>278</v>
      </c>
      <c r="F54" s="265">
        <v>64</v>
      </c>
      <c r="G54" s="265">
        <v>38</v>
      </c>
      <c r="H54" s="265">
        <v>28</v>
      </c>
      <c r="I54" s="265">
        <v>59</v>
      </c>
      <c r="J54" s="265">
        <v>112</v>
      </c>
      <c r="K54" s="265">
        <v>0</v>
      </c>
      <c r="L54" s="239">
        <f t="shared" si="12"/>
        <v>1955</v>
      </c>
      <c r="M54" s="265">
        <v>1031</v>
      </c>
      <c r="N54" s="265">
        <v>2167</v>
      </c>
      <c r="O54" s="265">
        <v>993</v>
      </c>
      <c r="P54" s="265">
        <v>137</v>
      </c>
      <c r="Q54" s="265">
        <v>54</v>
      </c>
      <c r="R54" s="265">
        <v>136</v>
      </c>
      <c r="S54" s="265">
        <v>0</v>
      </c>
      <c r="T54" s="265">
        <v>27</v>
      </c>
      <c r="U54" s="265"/>
      <c r="V54" s="265">
        <f t="shared" si="14"/>
        <v>4545</v>
      </c>
      <c r="W54" s="209">
        <v>604</v>
      </c>
      <c r="X54" s="209"/>
      <c r="Y54" s="209"/>
      <c r="Z54" s="214">
        <f t="shared" si="6"/>
        <v>7104</v>
      </c>
      <c r="AA54" s="215">
        <f t="shared" si="13"/>
        <v>4775</v>
      </c>
    </row>
    <row r="55" spans="1:39" s="109" customFormat="1" ht="14.4" thickBot="1" x14ac:dyDescent="0.3">
      <c r="A55" s="134"/>
      <c r="B55" s="159" t="s">
        <v>459</v>
      </c>
      <c r="C55" s="258">
        <f t="shared" ref="C55:AA55" si="15">SUM(C38:C54)</f>
        <v>84553</v>
      </c>
      <c r="D55" s="157">
        <f t="shared" si="15"/>
        <v>36801</v>
      </c>
      <c r="E55" s="157">
        <f t="shared" si="15"/>
        <v>34459</v>
      </c>
      <c r="F55" s="259">
        <f t="shared" si="15"/>
        <v>1741</v>
      </c>
      <c r="G55" s="362">
        <f t="shared" si="15"/>
        <v>2063</v>
      </c>
      <c r="H55" s="157">
        <f t="shared" si="15"/>
        <v>414</v>
      </c>
      <c r="I55" s="157">
        <f t="shared" si="15"/>
        <v>1899</v>
      </c>
      <c r="J55" s="259">
        <f t="shared" si="15"/>
        <v>27126</v>
      </c>
      <c r="K55" s="365">
        <f t="shared" si="15"/>
        <v>327</v>
      </c>
      <c r="L55" s="260">
        <f t="shared" si="15"/>
        <v>189383</v>
      </c>
      <c r="M55" s="262">
        <f t="shared" si="15"/>
        <v>23180</v>
      </c>
      <c r="N55" s="158">
        <f t="shared" si="15"/>
        <v>32462</v>
      </c>
      <c r="O55" s="158">
        <f t="shared" si="15"/>
        <v>19899</v>
      </c>
      <c r="P55" s="158">
        <f t="shared" si="15"/>
        <v>851</v>
      </c>
      <c r="Q55" s="158">
        <f t="shared" si="15"/>
        <v>858</v>
      </c>
      <c r="R55" s="158">
        <f t="shared" si="15"/>
        <v>1585</v>
      </c>
      <c r="S55" s="158">
        <f t="shared" si="15"/>
        <v>191</v>
      </c>
      <c r="T55" s="158">
        <f t="shared" si="15"/>
        <v>337</v>
      </c>
      <c r="U55" s="191">
        <f t="shared" si="15"/>
        <v>191</v>
      </c>
      <c r="V55" s="263">
        <f t="shared" si="15"/>
        <v>79554</v>
      </c>
      <c r="W55" s="261">
        <f t="shared" si="15"/>
        <v>14840</v>
      </c>
      <c r="X55" s="210">
        <f t="shared" si="15"/>
        <v>1990</v>
      </c>
      <c r="Y55" s="210">
        <f t="shared" si="15"/>
        <v>404</v>
      </c>
      <c r="Z55" s="210">
        <f t="shared" si="15"/>
        <v>286171</v>
      </c>
      <c r="AA55" s="210">
        <f t="shared" si="15"/>
        <v>180106</v>
      </c>
      <c r="AC55"/>
      <c r="AD55"/>
      <c r="AE55"/>
      <c r="AF55"/>
      <c r="AG55"/>
      <c r="AH55"/>
      <c r="AI55"/>
      <c r="AJ55"/>
      <c r="AK55"/>
      <c r="AL55"/>
      <c r="AM55"/>
    </row>
    <row r="56" spans="1:39" x14ac:dyDescent="0.25">
      <c r="A56" s="136" t="s">
        <v>71</v>
      </c>
      <c r="B56" s="139" t="s">
        <v>305</v>
      </c>
      <c r="C56" s="280">
        <v>6</v>
      </c>
      <c r="D56" s="280">
        <v>3</v>
      </c>
      <c r="E56" s="280">
        <v>0</v>
      </c>
      <c r="F56" s="280">
        <v>0</v>
      </c>
      <c r="G56" s="280">
        <v>0</v>
      </c>
      <c r="H56" s="280">
        <v>0</v>
      </c>
      <c r="I56" s="280">
        <v>0</v>
      </c>
      <c r="J56" s="280">
        <v>4217</v>
      </c>
      <c r="K56" s="280">
        <v>0</v>
      </c>
      <c r="L56" s="232">
        <f t="shared" ref="L56:L71" si="16">SUM(C56:K56)</f>
        <v>4226</v>
      </c>
      <c r="M56" s="280">
        <v>0</v>
      </c>
      <c r="N56" s="280">
        <v>0</v>
      </c>
      <c r="O56" s="280">
        <v>0</v>
      </c>
      <c r="P56" s="280">
        <v>0</v>
      </c>
      <c r="Q56" s="280">
        <v>0</v>
      </c>
      <c r="R56" s="280">
        <v>0</v>
      </c>
      <c r="S56" s="280">
        <v>0</v>
      </c>
      <c r="T56" s="280">
        <v>0</v>
      </c>
      <c r="U56" s="280">
        <v>0</v>
      </c>
      <c r="V56" s="280">
        <f>SUM(M56:U56)</f>
        <v>0</v>
      </c>
      <c r="W56" s="237">
        <f>19404+14562+8458</f>
        <v>42424</v>
      </c>
      <c r="X56" s="211"/>
      <c r="Y56" s="211"/>
      <c r="Z56" s="214">
        <f t="shared" si="6"/>
        <v>46650</v>
      </c>
      <c r="AA56" s="215">
        <f t="shared" ref="AA56:AA71" si="17">C56+D56+F56+K56+M56+N56+P56+U56</f>
        <v>9</v>
      </c>
      <c r="AB56" s="142">
        <f>L56</f>
        <v>4226</v>
      </c>
    </row>
    <row r="57" spans="1:39" x14ac:dyDescent="0.25">
      <c r="A57" s="136" t="s">
        <v>77</v>
      </c>
      <c r="B57" s="137" t="s">
        <v>306</v>
      </c>
      <c r="C57" s="230">
        <v>13202</v>
      </c>
      <c r="D57" s="230">
        <v>6708</v>
      </c>
      <c r="E57" s="230">
        <v>7355</v>
      </c>
      <c r="F57" s="230">
        <v>516</v>
      </c>
      <c r="G57" s="230">
        <v>172</v>
      </c>
      <c r="H57" s="230">
        <v>0</v>
      </c>
      <c r="I57" s="230">
        <v>474</v>
      </c>
      <c r="J57" s="230">
        <v>963</v>
      </c>
      <c r="K57" s="230">
        <v>2</v>
      </c>
      <c r="L57" s="232">
        <f t="shared" si="16"/>
        <v>29392</v>
      </c>
      <c r="M57" s="230">
        <v>1388</v>
      </c>
      <c r="N57" s="230">
        <v>1860</v>
      </c>
      <c r="O57" s="230">
        <v>1571</v>
      </c>
      <c r="P57" s="230">
        <v>48</v>
      </c>
      <c r="Q57" s="230">
        <v>63</v>
      </c>
      <c r="R57" s="230">
        <v>65</v>
      </c>
      <c r="S57" s="230">
        <v>0</v>
      </c>
      <c r="T57" s="230">
        <v>79</v>
      </c>
      <c r="U57" s="230">
        <v>0</v>
      </c>
      <c r="V57" s="280">
        <f t="shared" ref="V57:V71" si="18">SUM(M57:U57)</f>
        <v>5074</v>
      </c>
      <c r="W57" s="233">
        <v>1064</v>
      </c>
      <c r="X57" s="204"/>
      <c r="Y57" s="204"/>
      <c r="Z57" s="214">
        <f t="shared" si="6"/>
        <v>35530</v>
      </c>
      <c r="AA57" s="215">
        <f t="shared" si="17"/>
        <v>23724</v>
      </c>
    </row>
    <row r="58" spans="1:39" x14ac:dyDescent="0.25">
      <c r="A58" s="136" t="s">
        <v>102</v>
      </c>
      <c r="B58" s="137" t="s">
        <v>315</v>
      </c>
      <c r="C58" s="230">
        <v>0</v>
      </c>
      <c r="D58" s="230">
        <v>0</v>
      </c>
      <c r="E58" s="230">
        <v>0</v>
      </c>
      <c r="F58" s="230">
        <v>0</v>
      </c>
      <c r="G58" s="230">
        <v>0</v>
      </c>
      <c r="H58" s="230">
        <v>0</v>
      </c>
      <c r="I58" s="230">
        <v>0</v>
      </c>
      <c r="J58" s="230">
        <v>69</v>
      </c>
      <c r="K58" s="230">
        <v>0</v>
      </c>
      <c r="L58" s="232">
        <f t="shared" si="16"/>
        <v>69</v>
      </c>
      <c r="M58" s="230">
        <v>0</v>
      </c>
      <c r="N58" s="230">
        <v>0</v>
      </c>
      <c r="O58" s="230">
        <v>0</v>
      </c>
      <c r="P58" s="230">
        <v>0</v>
      </c>
      <c r="Q58" s="230">
        <v>0</v>
      </c>
      <c r="R58" s="230">
        <v>0</v>
      </c>
      <c r="S58" s="230">
        <v>0</v>
      </c>
      <c r="T58" s="230">
        <v>0</v>
      </c>
      <c r="U58" s="230">
        <v>0</v>
      </c>
      <c r="V58" s="280">
        <f t="shared" si="18"/>
        <v>0</v>
      </c>
      <c r="W58" s="358"/>
      <c r="X58" s="204"/>
      <c r="Y58" s="204"/>
      <c r="Z58" s="214">
        <f t="shared" si="6"/>
        <v>69</v>
      </c>
      <c r="AA58" s="215">
        <f t="shared" si="17"/>
        <v>0</v>
      </c>
    </row>
    <row r="59" spans="1:39" x14ac:dyDescent="0.25">
      <c r="A59" s="136" t="s">
        <v>103</v>
      </c>
      <c r="B59" s="137" t="s">
        <v>297</v>
      </c>
      <c r="C59" s="230">
        <v>883</v>
      </c>
      <c r="D59" s="230">
        <v>167</v>
      </c>
      <c r="E59" s="230">
        <v>361</v>
      </c>
      <c r="F59" s="230">
        <v>29</v>
      </c>
      <c r="G59" s="230">
        <v>16</v>
      </c>
      <c r="H59" s="230">
        <v>0</v>
      </c>
      <c r="I59" s="230">
        <v>0</v>
      </c>
      <c r="J59" s="230">
        <v>37</v>
      </c>
      <c r="K59" s="230">
        <v>0</v>
      </c>
      <c r="L59" s="232">
        <f t="shared" si="16"/>
        <v>1493</v>
      </c>
      <c r="M59" s="230">
        <v>151</v>
      </c>
      <c r="N59" s="230">
        <v>95</v>
      </c>
      <c r="O59" s="230">
        <v>108</v>
      </c>
      <c r="P59" s="230">
        <v>0</v>
      </c>
      <c r="Q59" s="230">
        <v>0</v>
      </c>
      <c r="R59" s="230">
        <v>0</v>
      </c>
      <c r="S59" s="230">
        <v>0</v>
      </c>
      <c r="T59" s="230">
        <v>0</v>
      </c>
      <c r="U59" s="230">
        <v>0</v>
      </c>
      <c r="V59" s="280">
        <f t="shared" si="18"/>
        <v>354</v>
      </c>
      <c r="W59" s="233">
        <v>766</v>
      </c>
      <c r="X59" s="204"/>
      <c r="Y59" s="204"/>
      <c r="Z59" s="214">
        <f t="shared" si="6"/>
        <v>2613</v>
      </c>
      <c r="AA59" s="215">
        <f t="shared" si="17"/>
        <v>1325</v>
      </c>
    </row>
    <row r="60" spans="1:39" x14ac:dyDescent="0.25">
      <c r="A60" s="136" t="s">
        <v>112</v>
      </c>
      <c r="B60" s="137" t="s">
        <v>307</v>
      </c>
      <c r="C60" s="230">
        <v>4736</v>
      </c>
      <c r="D60" s="230">
        <v>2325</v>
      </c>
      <c r="E60" s="230">
        <v>2493</v>
      </c>
      <c r="F60" s="230">
        <v>76</v>
      </c>
      <c r="G60" s="230">
        <v>97</v>
      </c>
      <c r="H60" s="230">
        <v>12</v>
      </c>
      <c r="I60" s="230">
        <v>501</v>
      </c>
      <c r="J60" s="230">
        <v>470</v>
      </c>
      <c r="K60" s="230">
        <v>0</v>
      </c>
      <c r="L60" s="232">
        <f t="shared" si="16"/>
        <v>10710</v>
      </c>
      <c r="M60" s="230">
        <v>1468</v>
      </c>
      <c r="N60" s="230">
        <v>2156</v>
      </c>
      <c r="O60" s="230">
        <v>969</v>
      </c>
      <c r="P60" s="230">
        <v>27</v>
      </c>
      <c r="Q60" s="230">
        <v>70</v>
      </c>
      <c r="R60" s="230">
        <v>46</v>
      </c>
      <c r="S60" s="230">
        <v>0</v>
      </c>
      <c r="T60" s="230">
        <v>32</v>
      </c>
      <c r="U60" s="230">
        <v>0</v>
      </c>
      <c r="V60" s="280">
        <f t="shared" si="18"/>
        <v>4768</v>
      </c>
      <c r="W60" s="233">
        <v>560</v>
      </c>
      <c r="X60" s="204"/>
      <c r="Y60" s="204"/>
      <c r="Z60" s="214">
        <f t="shared" si="6"/>
        <v>16038</v>
      </c>
      <c r="AA60" s="215">
        <f t="shared" si="17"/>
        <v>10788</v>
      </c>
    </row>
    <row r="61" spans="1:39" x14ac:dyDescent="0.25">
      <c r="A61" s="136" t="s">
        <v>120</v>
      </c>
      <c r="B61" s="137" t="s">
        <v>318</v>
      </c>
      <c r="C61" s="230">
        <v>9668</v>
      </c>
      <c r="D61" s="230">
        <v>2878</v>
      </c>
      <c r="E61" s="230">
        <v>2860</v>
      </c>
      <c r="F61" s="230">
        <v>145</v>
      </c>
      <c r="G61" s="230">
        <v>200</v>
      </c>
      <c r="H61" s="230">
        <v>32</v>
      </c>
      <c r="I61" s="230">
        <v>16</v>
      </c>
      <c r="J61" s="230">
        <v>908</v>
      </c>
      <c r="K61" s="230">
        <v>892</v>
      </c>
      <c r="L61" s="232">
        <f t="shared" si="16"/>
        <v>17599</v>
      </c>
      <c r="M61" s="230">
        <v>3859</v>
      </c>
      <c r="N61" s="230">
        <v>2813</v>
      </c>
      <c r="O61" s="230">
        <v>2952</v>
      </c>
      <c r="P61" s="230">
        <v>138</v>
      </c>
      <c r="Q61" s="230">
        <v>57</v>
      </c>
      <c r="R61" s="230">
        <v>96</v>
      </c>
      <c r="S61" s="230">
        <v>9</v>
      </c>
      <c r="T61" s="230">
        <v>115</v>
      </c>
      <c r="U61" s="230">
        <v>2</v>
      </c>
      <c r="V61" s="280">
        <f t="shared" si="18"/>
        <v>10041</v>
      </c>
      <c r="W61" s="233">
        <v>149</v>
      </c>
      <c r="X61" s="204"/>
      <c r="Y61" s="204"/>
      <c r="Z61" s="214">
        <f t="shared" si="6"/>
        <v>27789</v>
      </c>
      <c r="AA61" s="215">
        <f t="shared" si="17"/>
        <v>20395</v>
      </c>
    </row>
    <row r="62" spans="1:39" x14ac:dyDescent="0.25">
      <c r="A62" s="136" t="s">
        <v>131</v>
      </c>
      <c r="B62" s="137" t="s">
        <v>308</v>
      </c>
      <c r="C62" s="230">
        <v>4210</v>
      </c>
      <c r="D62" s="230">
        <v>1585</v>
      </c>
      <c r="E62" s="230">
        <v>1988</v>
      </c>
      <c r="F62" s="230">
        <v>128</v>
      </c>
      <c r="G62" s="230">
        <v>129</v>
      </c>
      <c r="H62" s="230">
        <v>0</v>
      </c>
      <c r="I62" s="230">
        <v>0</v>
      </c>
      <c r="J62" s="230">
        <v>390</v>
      </c>
      <c r="K62" s="230">
        <v>0</v>
      </c>
      <c r="L62" s="232">
        <f t="shared" si="16"/>
        <v>8430</v>
      </c>
      <c r="M62" s="230">
        <v>2698</v>
      </c>
      <c r="N62" s="230">
        <v>3391</v>
      </c>
      <c r="O62" s="230">
        <v>2792</v>
      </c>
      <c r="P62" s="230">
        <v>143</v>
      </c>
      <c r="Q62" s="230">
        <v>73</v>
      </c>
      <c r="R62" s="230">
        <v>13</v>
      </c>
      <c r="S62" s="230">
        <v>0</v>
      </c>
      <c r="T62" s="230">
        <v>8</v>
      </c>
      <c r="U62" s="230">
        <v>0</v>
      </c>
      <c r="V62" s="280">
        <f t="shared" si="18"/>
        <v>9118</v>
      </c>
      <c r="W62" s="233">
        <v>2023</v>
      </c>
      <c r="X62" s="204"/>
      <c r="Y62" s="204"/>
      <c r="Z62" s="214">
        <f t="shared" si="6"/>
        <v>19571</v>
      </c>
      <c r="AA62" s="215">
        <f t="shared" si="17"/>
        <v>12155</v>
      </c>
    </row>
    <row r="63" spans="1:39" x14ac:dyDescent="0.25">
      <c r="A63" s="136" t="s">
        <v>133</v>
      </c>
      <c r="B63" s="137" t="s">
        <v>319</v>
      </c>
      <c r="C63" s="230">
        <v>1484</v>
      </c>
      <c r="D63" s="230">
        <v>1087</v>
      </c>
      <c r="E63" s="230">
        <v>530</v>
      </c>
      <c r="F63" s="230">
        <v>89</v>
      </c>
      <c r="G63" s="230">
        <v>50</v>
      </c>
      <c r="H63" s="230">
        <v>0</v>
      </c>
      <c r="I63" s="230">
        <v>0</v>
      </c>
      <c r="J63" s="230">
        <v>140</v>
      </c>
      <c r="K63" s="230">
        <v>0</v>
      </c>
      <c r="L63" s="232">
        <f t="shared" si="16"/>
        <v>3380</v>
      </c>
      <c r="M63" s="230">
        <v>908</v>
      </c>
      <c r="N63" s="230">
        <v>818</v>
      </c>
      <c r="O63" s="230">
        <v>767</v>
      </c>
      <c r="P63" s="230">
        <v>20</v>
      </c>
      <c r="Q63" s="230">
        <v>7</v>
      </c>
      <c r="R63" s="230">
        <v>0</v>
      </c>
      <c r="S63" s="230">
        <v>0</v>
      </c>
      <c r="T63" s="230">
        <v>2</v>
      </c>
      <c r="U63" s="230">
        <v>0</v>
      </c>
      <c r="V63" s="280">
        <f t="shared" si="18"/>
        <v>2522</v>
      </c>
      <c r="W63" s="233">
        <v>0</v>
      </c>
      <c r="X63" s="204"/>
      <c r="Y63" s="204"/>
      <c r="Z63" s="214">
        <f t="shared" si="6"/>
        <v>5902</v>
      </c>
      <c r="AA63" s="215">
        <f t="shared" si="17"/>
        <v>4406</v>
      </c>
    </row>
    <row r="64" spans="1:39" x14ac:dyDescent="0.25">
      <c r="A64" s="136" t="s">
        <v>134</v>
      </c>
      <c r="B64" s="137" t="s">
        <v>320</v>
      </c>
      <c r="C64" s="230">
        <v>2337</v>
      </c>
      <c r="D64" s="230">
        <v>986</v>
      </c>
      <c r="E64" s="230">
        <v>478</v>
      </c>
      <c r="F64" s="230">
        <v>76</v>
      </c>
      <c r="G64" s="230">
        <v>31</v>
      </c>
      <c r="H64" s="230">
        <v>0</v>
      </c>
      <c r="I64" s="230">
        <v>490</v>
      </c>
      <c r="J64" s="230">
        <v>133</v>
      </c>
      <c r="K64" s="230">
        <v>0</v>
      </c>
      <c r="L64" s="232">
        <f t="shared" si="16"/>
        <v>4531</v>
      </c>
      <c r="M64" s="230">
        <v>517</v>
      </c>
      <c r="N64" s="230">
        <v>413</v>
      </c>
      <c r="O64" s="230">
        <v>378</v>
      </c>
      <c r="P64" s="230">
        <v>6</v>
      </c>
      <c r="Q64" s="230">
        <v>3</v>
      </c>
      <c r="R64" s="230">
        <v>117</v>
      </c>
      <c r="S64" s="230">
        <v>0</v>
      </c>
      <c r="T64" s="230">
        <v>10</v>
      </c>
      <c r="U64" s="230">
        <v>0</v>
      </c>
      <c r="V64" s="280">
        <f t="shared" si="18"/>
        <v>1444</v>
      </c>
      <c r="W64" s="233">
        <v>927</v>
      </c>
      <c r="X64" s="204"/>
      <c r="Y64" s="204"/>
      <c r="Z64" s="214">
        <f t="shared" si="6"/>
        <v>6902</v>
      </c>
      <c r="AA64" s="215">
        <f t="shared" si="17"/>
        <v>4335</v>
      </c>
    </row>
    <row r="65" spans="1:39" x14ac:dyDescent="0.25">
      <c r="A65" s="136" t="s">
        <v>145</v>
      </c>
      <c r="B65" s="137" t="s">
        <v>309</v>
      </c>
      <c r="C65" s="230">
        <v>1624</v>
      </c>
      <c r="D65" s="230">
        <v>613</v>
      </c>
      <c r="E65" s="230">
        <v>548</v>
      </c>
      <c r="F65" s="230">
        <v>77</v>
      </c>
      <c r="G65" s="230">
        <v>63</v>
      </c>
      <c r="H65" s="230">
        <v>1</v>
      </c>
      <c r="I65" s="230">
        <v>0</v>
      </c>
      <c r="J65" s="230">
        <v>241</v>
      </c>
      <c r="K65" s="230">
        <v>0</v>
      </c>
      <c r="L65" s="232">
        <f t="shared" si="16"/>
        <v>3167</v>
      </c>
      <c r="M65" s="230">
        <v>3473</v>
      </c>
      <c r="N65" s="230">
        <v>2573</v>
      </c>
      <c r="O65" s="230">
        <v>2861</v>
      </c>
      <c r="P65" s="230">
        <v>67</v>
      </c>
      <c r="Q65" s="230">
        <v>91</v>
      </c>
      <c r="R65" s="230">
        <v>169</v>
      </c>
      <c r="S65" s="230">
        <v>0</v>
      </c>
      <c r="T65" s="230">
        <v>339</v>
      </c>
      <c r="U65" s="230">
        <v>0</v>
      </c>
      <c r="V65" s="280">
        <f t="shared" si="18"/>
        <v>9573</v>
      </c>
      <c r="W65" s="233">
        <v>848</v>
      </c>
      <c r="X65" s="204"/>
      <c r="Y65" s="204"/>
      <c r="Z65" s="214">
        <f t="shared" si="6"/>
        <v>13588</v>
      </c>
      <c r="AA65" s="215">
        <f t="shared" si="17"/>
        <v>8427</v>
      </c>
    </row>
    <row r="66" spans="1:39" x14ac:dyDescent="0.25">
      <c r="A66" s="136" t="s">
        <v>149</v>
      </c>
      <c r="B66" s="137" t="s">
        <v>353</v>
      </c>
      <c r="C66" s="230">
        <v>460</v>
      </c>
      <c r="D66" s="230">
        <v>242</v>
      </c>
      <c r="E66" s="230">
        <v>277</v>
      </c>
      <c r="F66" s="230">
        <v>31</v>
      </c>
      <c r="G66" s="230">
        <v>7</v>
      </c>
      <c r="H66" s="230">
        <v>0</v>
      </c>
      <c r="I66" s="230">
        <v>115</v>
      </c>
      <c r="J66" s="230">
        <v>46</v>
      </c>
      <c r="K66" s="230">
        <v>0</v>
      </c>
      <c r="L66" s="232">
        <f t="shared" si="16"/>
        <v>1178</v>
      </c>
      <c r="M66" s="230">
        <v>521</v>
      </c>
      <c r="N66" s="230">
        <v>320</v>
      </c>
      <c r="O66" s="230">
        <v>370</v>
      </c>
      <c r="P66" s="230">
        <v>8</v>
      </c>
      <c r="Q66" s="230">
        <v>14</v>
      </c>
      <c r="R66" s="230">
        <v>0</v>
      </c>
      <c r="S66" s="230">
        <v>0</v>
      </c>
      <c r="T66" s="230">
        <v>0</v>
      </c>
      <c r="U66" s="230">
        <v>0</v>
      </c>
      <c r="V66" s="280">
        <f t="shared" si="18"/>
        <v>1233</v>
      </c>
      <c r="W66" s="233">
        <v>571</v>
      </c>
      <c r="X66" s="204"/>
      <c r="Y66" s="204"/>
      <c r="Z66" s="214">
        <f t="shared" si="6"/>
        <v>2982</v>
      </c>
      <c r="AA66" s="215">
        <f t="shared" si="17"/>
        <v>1582</v>
      </c>
    </row>
    <row r="67" spans="1:39" x14ac:dyDescent="0.25">
      <c r="A67" s="136" t="s">
        <v>182</v>
      </c>
      <c r="B67" s="137" t="s">
        <v>357</v>
      </c>
      <c r="C67" s="230">
        <v>2082</v>
      </c>
      <c r="D67" s="230">
        <v>408</v>
      </c>
      <c r="E67" s="230">
        <v>786</v>
      </c>
      <c r="F67" s="230">
        <v>32</v>
      </c>
      <c r="G67" s="230">
        <v>24</v>
      </c>
      <c r="H67" s="230">
        <v>0</v>
      </c>
      <c r="I67" s="230">
        <v>0</v>
      </c>
      <c r="J67" s="230">
        <v>68</v>
      </c>
      <c r="K67" s="230">
        <v>0</v>
      </c>
      <c r="L67" s="232">
        <f t="shared" si="16"/>
        <v>3400</v>
      </c>
      <c r="M67" s="230">
        <v>627</v>
      </c>
      <c r="N67" s="230">
        <v>580</v>
      </c>
      <c r="O67" s="230">
        <v>342</v>
      </c>
      <c r="P67" s="230">
        <v>13</v>
      </c>
      <c r="Q67" s="230">
        <v>34</v>
      </c>
      <c r="R67" s="230">
        <v>12</v>
      </c>
      <c r="S67" s="230">
        <v>0</v>
      </c>
      <c r="T67" s="230">
        <v>0</v>
      </c>
      <c r="U67" s="230">
        <v>0</v>
      </c>
      <c r="V67" s="280">
        <f t="shared" si="18"/>
        <v>1608</v>
      </c>
      <c r="W67" s="233">
        <v>773</v>
      </c>
      <c r="X67" s="204"/>
      <c r="Y67" s="204"/>
      <c r="Z67" s="214">
        <f t="shared" si="6"/>
        <v>5781</v>
      </c>
      <c r="AA67" s="215">
        <f t="shared" si="17"/>
        <v>3742</v>
      </c>
      <c r="AB67" s="142">
        <f>L67+V67</f>
        <v>5008</v>
      </c>
    </row>
    <row r="68" spans="1:39" x14ac:dyDescent="0.25">
      <c r="A68" s="136" t="s">
        <v>185</v>
      </c>
      <c r="B68" s="136" t="s">
        <v>310</v>
      </c>
      <c r="C68" s="340"/>
      <c r="D68" s="230"/>
      <c r="E68" s="230"/>
      <c r="F68" s="230"/>
      <c r="G68" s="230"/>
      <c r="H68" s="230"/>
      <c r="I68" s="230"/>
      <c r="J68" s="230"/>
      <c r="K68" s="230"/>
      <c r="L68" s="379">
        <f t="shared" si="16"/>
        <v>0</v>
      </c>
      <c r="M68" s="230"/>
      <c r="N68" s="230"/>
      <c r="O68" s="230"/>
      <c r="P68" s="230"/>
      <c r="Q68" s="230"/>
      <c r="R68" s="230"/>
      <c r="S68" s="230"/>
      <c r="T68" s="230"/>
      <c r="U68" s="393"/>
      <c r="V68" s="280">
        <f t="shared" si="18"/>
        <v>0</v>
      </c>
      <c r="W68" s="233">
        <v>2092</v>
      </c>
      <c r="X68" s="204"/>
      <c r="Y68" s="204"/>
      <c r="Z68" s="214">
        <f t="shared" si="6"/>
        <v>2092</v>
      </c>
      <c r="AA68" s="215">
        <f t="shared" si="17"/>
        <v>0</v>
      </c>
    </row>
    <row r="69" spans="1:39" x14ac:dyDescent="0.25">
      <c r="A69" s="136" t="s">
        <v>188</v>
      </c>
      <c r="B69" s="137" t="s">
        <v>311</v>
      </c>
      <c r="C69" s="230">
        <v>452</v>
      </c>
      <c r="D69" s="230">
        <v>230</v>
      </c>
      <c r="E69" s="230">
        <v>127</v>
      </c>
      <c r="F69" s="230">
        <v>7</v>
      </c>
      <c r="G69" s="230">
        <v>1</v>
      </c>
      <c r="H69" s="230">
        <v>0</v>
      </c>
      <c r="I69" s="230">
        <v>0</v>
      </c>
      <c r="J69" s="230">
        <v>113</v>
      </c>
      <c r="K69" s="230">
        <v>0</v>
      </c>
      <c r="L69" s="232">
        <f t="shared" si="16"/>
        <v>930</v>
      </c>
      <c r="M69" s="230">
        <v>158</v>
      </c>
      <c r="N69" s="230">
        <v>84</v>
      </c>
      <c r="O69" s="230">
        <v>89</v>
      </c>
      <c r="P69" s="230">
        <v>1</v>
      </c>
      <c r="Q69" s="230">
        <v>4</v>
      </c>
      <c r="R69" s="230">
        <v>0</v>
      </c>
      <c r="S69" s="230">
        <v>0</v>
      </c>
      <c r="T69" s="230">
        <v>2</v>
      </c>
      <c r="U69" s="230">
        <v>0</v>
      </c>
      <c r="V69" s="280">
        <f t="shared" si="18"/>
        <v>338</v>
      </c>
      <c r="W69" s="235">
        <v>314</v>
      </c>
      <c r="X69" s="209"/>
      <c r="Y69" s="209"/>
      <c r="Z69" s="214">
        <f t="shared" si="6"/>
        <v>1582</v>
      </c>
      <c r="AA69" s="215">
        <f t="shared" si="17"/>
        <v>932</v>
      </c>
    </row>
    <row r="70" spans="1:39" x14ac:dyDescent="0.25">
      <c r="A70" s="136" t="s">
        <v>192</v>
      </c>
      <c r="B70" s="137" t="s">
        <v>312</v>
      </c>
      <c r="C70" s="230">
        <v>30</v>
      </c>
      <c r="D70" s="230">
        <v>14</v>
      </c>
      <c r="E70" s="230">
        <v>2</v>
      </c>
      <c r="F70" s="230">
        <v>0</v>
      </c>
      <c r="G70" s="230">
        <v>0</v>
      </c>
      <c r="H70" s="230">
        <v>0</v>
      </c>
      <c r="I70" s="230">
        <v>0</v>
      </c>
      <c r="J70" s="230">
        <v>7</v>
      </c>
      <c r="K70" s="230">
        <v>0</v>
      </c>
      <c r="L70" s="232">
        <f t="shared" si="16"/>
        <v>53</v>
      </c>
      <c r="M70" s="230">
        <v>530</v>
      </c>
      <c r="N70" s="230">
        <v>339</v>
      </c>
      <c r="O70" s="230">
        <v>218</v>
      </c>
      <c r="P70" s="230">
        <v>6</v>
      </c>
      <c r="Q70" s="230">
        <v>15</v>
      </c>
      <c r="R70" s="230">
        <v>0</v>
      </c>
      <c r="S70" s="230">
        <v>0</v>
      </c>
      <c r="T70" s="230">
        <v>0</v>
      </c>
      <c r="U70" s="230">
        <v>0</v>
      </c>
      <c r="V70" s="280">
        <f t="shared" si="18"/>
        <v>1108</v>
      </c>
      <c r="W70" s="235">
        <v>705</v>
      </c>
      <c r="X70" s="209"/>
      <c r="Y70" s="209"/>
      <c r="Z70" s="214">
        <f t="shared" si="6"/>
        <v>1866</v>
      </c>
      <c r="AA70" s="215">
        <f t="shared" si="17"/>
        <v>919</v>
      </c>
    </row>
    <row r="71" spans="1:39" ht="13.8" thickBot="1" x14ac:dyDescent="0.3">
      <c r="A71" s="136" t="s">
        <v>193</v>
      </c>
      <c r="B71" s="138" t="s">
        <v>325</v>
      </c>
      <c r="C71" s="265">
        <v>0</v>
      </c>
      <c r="D71" s="265">
        <v>0</v>
      </c>
      <c r="E71" s="265">
        <v>0</v>
      </c>
      <c r="F71" s="265">
        <v>0</v>
      </c>
      <c r="G71" s="265">
        <v>0</v>
      </c>
      <c r="H71" s="265">
        <v>0</v>
      </c>
      <c r="I71" s="265">
        <v>545</v>
      </c>
      <c r="J71" s="265">
        <v>499</v>
      </c>
      <c r="K71" s="265">
        <v>0</v>
      </c>
      <c r="L71" s="357">
        <f t="shared" si="16"/>
        <v>1044</v>
      </c>
      <c r="M71" s="265">
        <v>0</v>
      </c>
      <c r="N71" s="265">
        <v>0</v>
      </c>
      <c r="O71" s="265">
        <v>0</v>
      </c>
      <c r="P71" s="265">
        <v>0</v>
      </c>
      <c r="Q71" s="265">
        <v>0</v>
      </c>
      <c r="R71" s="265">
        <v>0</v>
      </c>
      <c r="S71" s="265">
        <v>0</v>
      </c>
      <c r="T71" s="265">
        <v>0</v>
      </c>
      <c r="U71" s="265">
        <v>0</v>
      </c>
      <c r="V71" s="280">
        <f t="shared" si="18"/>
        <v>0</v>
      </c>
      <c r="W71" s="235">
        <v>18090</v>
      </c>
      <c r="X71" s="209"/>
      <c r="Y71" s="209"/>
      <c r="Z71" s="214">
        <f t="shared" si="6"/>
        <v>19134</v>
      </c>
      <c r="AA71" s="215">
        <f t="shared" si="17"/>
        <v>0</v>
      </c>
      <c r="AB71" s="142">
        <f>L71+V71</f>
        <v>1044</v>
      </c>
    </row>
    <row r="72" spans="1:39" s="109" customFormat="1" ht="14.4" thickBot="1" x14ac:dyDescent="0.3">
      <c r="A72" s="134"/>
      <c r="B72" s="159" t="s">
        <v>460</v>
      </c>
      <c r="C72" s="258">
        <f t="shared" ref="C72:AA72" si="19">SUM(C56:C71)</f>
        <v>41174</v>
      </c>
      <c r="D72" s="157">
        <f t="shared" si="19"/>
        <v>17246</v>
      </c>
      <c r="E72" s="157">
        <f t="shared" si="19"/>
        <v>17805</v>
      </c>
      <c r="F72" s="259">
        <f t="shared" si="19"/>
        <v>1206</v>
      </c>
      <c r="G72" s="362">
        <f t="shared" si="19"/>
        <v>790</v>
      </c>
      <c r="H72" s="157">
        <f t="shared" si="19"/>
        <v>45</v>
      </c>
      <c r="I72" s="157">
        <f t="shared" si="19"/>
        <v>2141</v>
      </c>
      <c r="J72" s="259">
        <f t="shared" si="19"/>
        <v>8301</v>
      </c>
      <c r="K72" s="365">
        <f t="shared" si="19"/>
        <v>894</v>
      </c>
      <c r="L72" s="435">
        <f t="shared" si="19"/>
        <v>89602</v>
      </c>
      <c r="M72" s="262">
        <f t="shared" si="19"/>
        <v>16298</v>
      </c>
      <c r="N72" s="158">
        <f t="shared" si="19"/>
        <v>15442</v>
      </c>
      <c r="O72" s="158">
        <f t="shared" si="19"/>
        <v>13417</v>
      </c>
      <c r="P72" s="158">
        <f t="shared" si="19"/>
        <v>477</v>
      </c>
      <c r="Q72" s="158">
        <f t="shared" si="19"/>
        <v>431</v>
      </c>
      <c r="R72" s="158">
        <f t="shared" si="19"/>
        <v>518</v>
      </c>
      <c r="S72" s="158">
        <f t="shared" si="19"/>
        <v>9</v>
      </c>
      <c r="T72" s="158">
        <f t="shared" si="19"/>
        <v>587</v>
      </c>
      <c r="U72" s="191">
        <f t="shared" si="19"/>
        <v>2</v>
      </c>
      <c r="V72" s="263">
        <f t="shared" si="19"/>
        <v>47181</v>
      </c>
      <c r="W72" s="261">
        <f t="shared" si="19"/>
        <v>71306</v>
      </c>
      <c r="X72" s="210">
        <f t="shared" si="19"/>
        <v>0</v>
      </c>
      <c r="Y72" s="210">
        <f t="shared" si="19"/>
        <v>0</v>
      </c>
      <c r="Z72" s="210">
        <f t="shared" si="19"/>
        <v>208089</v>
      </c>
      <c r="AA72" s="210">
        <f t="shared" si="19"/>
        <v>92739</v>
      </c>
      <c r="AC72"/>
      <c r="AD72"/>
      <c r="AE72"/>
      <c r="AF72"/>
      <c r="AG72"/>
      <c r="AH72"/>
      <c r="AI72"/>
      <c r="AJ72"/>
      <c r="AK72"/>
      <c r="AL72"/>
      <c r="AM72"/>
    </row>
    <row r="73" spans="1:39" x14ac:dyDescent="0.25">
      <c r="A73" s="136" t="s">
        <v>65</v>
      </c>
      <c r="B73" s="137" t="s">
        <v>326</v>
      </c>
      <c r="C73" s="280">
        <v>1571</v>
      </c>
      <c r="D73" s="280">
        <v>700</v>
      </c>
      <c r="E73" s="280">
        <v>713</v>
      </c>
      <c r="F73" s="280">
        <v>15</v>
      </c>
      <c r="G73" s="280">
        <v>66</v>
      </c>
      <c r="H73" s="280">
        <v>0</v>
      </c>
      <c r="I73" s="280">
        <v>322</v>
      </c>
      <c r="J73" s="280">
        <v>54</v>
      </c>
      <c r="K73" s="280">
        <v>100</v>
      </c>
      <c r="L73" s="234">
        <f>SUM(C73:K73)</f>
        <v>3541</v>
      </c>
      <c r="M73" s="280">
        <v>1232</v>
      </c>
      <c r="N73" s="280">
        <v>1746</v>
      </c>
      <c r="O73" s="280">
        <v>1251</v>
      </c>
      <c r="P73" s="280">
        <v>105</v>
      </c>
      <c r="Q73" s="280">
        <v>93</v>
      </c>
      <c r="R73" s="280">
        <v>0</v>
      </c>
      <c r="S73" s="280">
        <v>0</v>
      </c>
      <c r="T73" s="280">
        <v>0</v>
      </c>
      <c r="U73" s="280"/>
      <c r="V73" s="256">
        <f>SUM(M73:U73)</f>
        <v>4427</v>
      </c>
      <c r="W73" s="211">
        <v>1667</v>
      </c>
      <c r="X73" s="211"/>
      <c r="Y73" s="211"/>
      <c r="Z73" s="214">
        <f t="shared" si="6"/>
        <v>9635</v>
      </c>
      <c r="AA73" s="218">
        <f>C73+D73+F73+K73+M73+N73+P73+U73</f>
        <v>5469</v>
      </c>
    </row>
    <row r="74" spans="1:39" x14ac:dyDescent="0.25">
      <c r="A74" s="136" t="s">
        <v>81</v>
      </c>
      <c r="B74" s="137" t="s">
        <v>327</v>
      </c>
      <c r="C74" s="230">
        <v>2567</v>
      </c>
      <c r="D74" s="230">
        <v>855</v>
      </c>
      <c r="E74" s="230">
        <v>930</v>
      </c>
      <c r="F74" s="230">
        <v>81</v>
      </c>
      <c r="G74" s="230">
        <v>46</v>
      </c>
      <c r="H74" s="230">
        <v>9</v>
      </c>
      <c r="I74" s="230">
        <v>48</v>
      </c>
      <c r="J74" s="230">
        <v>116</v>
      </c>
      <c r="K74" s="230">
        <v>24</v>
      </c>
      <c r="L74" s="232">
        <f>SUM(C74:K74)</f>
        <v>4676</v>
      </c>
      <c r="M74" s="230">
        <v>2454</v>
      </c>
      <c r="N74" s="230">
        <v>1892</v>
      </c>
      <c r="O74" s="230">
        <v>972</v>
      </c>
      <c r="P74" s="230">
        <v>46</v>
      </c>
      <c r="Q74" s="230">
        <v>69</v>
      </c>
      <c r="R74" s="230">
        <v>39</v>
      </c>
      <c r="S74" s="230">
        <v>126</v>
      </c>
      <c r="T74" s="230">
        <v>48</v>
      </c>
      <c r="U74" s="230"/>
      <c r="V74" s="229">
        <f>SUM(M74:U74)</f>
        <v>5646</v>
      </c>
      <c r="W74" s="204">
        <v>6115</v>
      </c>
      <c r="X74" s="204"/>
      <c r="Y74" s="204"/>
      <c r="Z74" s="214">
        <f t="shared" si="6"/>
        <v>16437</v>
      </c>
      <c r="AA74" s="215">
        <f>C74+D74+F74+K74+M74+N74+P74+U74</f>
        <v>7919</v>
      </c>
    </row>
    <row r="75" spans="1:39" x14ac:dyDescent="0.25">
      <c r="A75" s="136" t="s">
        <v>87</v>
      </c>
      <c r="B75" s="137" t="s">
        <v>292</v>
      </c>
      <c r="C75" s="230">
        <v>2825</v>
      </c>
      <c r="D75" s="230">
        <v>1901</v>
      </c>
      <c r="E75" s="230">
        <v>1549</v>
      </c>
      <c r="F75" s="230">
        <v>58</v>
      </c>
      <c r="G75" s="230">
        <v>50</v>
      </c>
      <c r="H75" s="230">
        <v>13</v>
      </c>
      <c r="I75" s="230">
        <v>23</v>
      </c>
      <c r="J75" s="230">
        <v>115</v>
      </c>
      <c r="K75" s="230">
        <v>0</v>
      </c>
      <c r="L75" s="232">
        <f t="shared" ref="L75:L88" si="20">SUM(C75:K75)</f>
        <v>6534</v>
      </c>
      <c r="M75" s="230">
        <v>818</v>
      </c>
      <c r="N75" s="230">
        <v>1439</v>
      </c>
      <c r="O75" s="230">
        <v>1269</v>
      </c>
      <c r="P75" s="230">
        <v>24</v>
      </c>
      <c r="Q75" s="230">
        <v>34</v>
      </c>
      <c r="R75" s="230">
        <v>245</v>
      </c>
      <c r="S75" s="230">
        <v>0</v>
      </c>
      <c r="T75" s="230">
        <v>389</v>
      </c>
      <c r="U75" s="230"/>
      <c r="V75" s="229">
        <f t="shared" ref="V75:V88" si="21">SUM(M75:U75)</f>
        <v>4218</v>
      </c>
      <c r="W75" s="204">
        <v>614</v>
      </c>
      <c r="X75" s="204"/>
      <c r="Y75" s="204"/>
      <c r="Z75" s="214">
        <f t="shared" si="6"/>
        <v>11366</v>
      </c>
      <c r="AA75" s="215">
        <f t="shared" ref="AA75:AA88" si="22">C75+D75+F75+K75+M75+N75+P75+U75</f>
        <v>7065</v>
      </c>
    </row>
    <row r="76" spans="1:39" x14ac:dyDescent="0.25">
      <c r="A76" s="136" t="s">
        <v>92</v>
      </c>
      <c r="B76" s="137" t="s">
        <v>328</v>
      </c>
      <c r="C76" s="230">
        <v>658</v>
      </c>
      <c r="D76" s="230">
        <v>111</v>
      </c>
      <c r="E76" s="230">
        <v>297</v>
      </c>
      <c r="F76" s="230">
        <v>21</v>
      </c>
      <c r="G76" s="230">
        <v>12</v>
      </c>
      <c r="H76" s="230">
        <v>0</v>
      </c>
      <c r="I76" s="230">
        <v>0</v>
      </c>
      <c r="J76" s="230">
        <v>60</v>
      </c>
      <c r="K76" s="230">
        <v>0</v>
      </c>
      <c r="L76" s="232">
        <f t="shared" si="20"/>
        <v>1159</v>
      </c>
      <c r="M76" s="230">
        <v>869</v>
      </c>
      <c r="N76" s="230">
        <v>832</v>
      </c>
      <c r="O76" s="230">
        <v>590</v>
      </c>
      <c r="P76" s="230">
        <v>14</v>
      </c>
      <c r="Q76" s="230">
        <v>58</v>
      </c>
      <c r="R76" s="230">
        <v>40</v>
      </c>
      <c r="S76" s="230">
        <v>0</v>
      </c>
      <c r="T76" s="230">
        <v>1</v>
      </c>
      <c r="U76" s="230"/>
      <c r="V76" s="229">
        <f t="shared" si="21"/>
        <v>2404</v>
      </c>
      <c r="W76" s="204">
        <v>577</v>
      </c>
      <c r="X76" s="204"/>
      <c r="Y76" s="204"/>
      <c r="Z76" s="214">
        <f t="shared" si="6"/>
        <v>4140</v>
      </c>
      <c r="AA76" s="215">
        <f t="shared" si="22"/>
        <v>2505</v>
      </c>
    </row>
    <row r="77" spans="1:39" x14ac:dyDescent="0.25">
      <c r="A77" s="136" t="s">
        <v>96</v>
      </c>
      <c r="B77" s="137" t="s">
        <v>293</v>
      </c>
      <c r="C77" s="230">
        <v>16006</v>
      </c>
      <c r="D77" s="230">
        <v>3414</v>
      </c>
      <c r="E77" s="230">
        <v>11252</v>
      </c>
      <c r="F77" s="230">
        <v>209</v>
      </c>
      <c r="G77" s="230">
        <v>245</v>
      </c>
      <c r="H77" s="230">
        <v>8</v>
      </c>
      <c r="I77" s="230">
        <v>80</v>
      </c>
      <c r="J77" s="230">
        <v>394</v>
      </c>
      <c r="K77" s="230">
        <v>0</v>
      </c>
      <c r="L77" s="232">
        <f t="shared" si="20"/>
        <v>31608</v>
      </c>
      <c r="M77" s="230">
        <v>1174</v>
      </c>
      <c r="N77" s="230">
        <v>1393</v>
      </c>
      <c r="O77" s="230">
        <v>1626</v>
      </c>
      <c r="P77" s="230">
        <v>12</v>
      </c>
      <c r="Q77" s="230">
        <v>59</v>
      </c>
      <c r="R77" s="230">
        <v>123</v>
      </c>
      <c r="S77" s="230">
        <v>0</v>
      </c>
      <c r="T77" s="230">
        <v>51</v>
      </c>
      <c r="U77" s="230"/>
      <c r="V77" s="229">
        <f t="shared" si="21"/>
        <v>4438</v>
      </c>
      <c r="W77" s="204">
        <v>1691</v>
      </c>
      <c r="X77" s="204"/>
      <c r="Y77" s="204"/>
      <c r="Z77" s="214">
        <f t="shared" si="6"/>
        <v>37737</v>
      </c>
      <c r="AA77" s="215">
        <f t="shared" si="22"/>
        <v>22208</v>
      </c>
    </row>
    <row r="78" spans="1:39" x14ac:dyDescent="0.25">
      <c r="A78" s="136" t="s">
        <v>100</v>
      </c>
      <c r="B78" s="137" t="s">
        <v>295</v>
      </c>
      <c r="C78" s="230">
        <v>2151</v>
      </c>
      <c r="D78" s="230">
        <v>539</v>
      </c>
      <c r="E78" s="230">
        <v>613</v>
      </c>
      <c r="F78" s="230">
        <v>82</v>
      </c>
      <c r="G78" s="230">
        <v>31</v>
      </c>
      <c r="H78" s="230">
        <v>0</v>
      </c>
      <c r="I78" s="230">
        <v>0</v>
      </c>
      <c r="J78" s="230">
        <v>144</v>
      </c>
      <c r="K78" s="230">
        <v>0</v>
      </c>
      <c r="L78" s="232">
        <f t="shared" si="20"/>
        <v>3560</v>
      </c>
      <c r="M78" s="230">
        <v>1550</v>
      </c>
      <c r="N78" s="230">
        <v>2012</v>
      </c>
      <c r="O78" s="230">
        <v>1446</v>
      </c>
      <c r="P78" s="230">
        <v>45</v>
      </c>
      <c r="Q78" s="230">
        <v>51</v>
      </c>
      <c r="R78" s="230">
        <v>0</v>
      </c>
      <c r="S78" s="230">
        <v>0</v>
      </c>
      <c r="T78" s="230">
        <v>55</v>
      </c>
      <c r="U78" s="230"/>
      <c r="V78" s="229">
        <f t="shared" si="21"/>
        <v>5159</v>
      </c>
      <c r="W78" s="204">
        <v>1736</v>
      </c>
      <c r="X78" s="204"/>
      <c r="Y78" s="204"/>
      <c r="Z78" s="214">
        <f t="shared" si="6"/>
        <v>10455</v>
      </c>
      <c r="AA78" s="215">
        <f t="shared" si="22"/>
        <v>6379</v>
      </c>
    </row>
    <row r="79" spans="1:39" x14ac:dyDescent="0.25">
      <c r="A79" s="136" t="s">
        <v>108</v>
      </c>
      <c r="B79" s="137" t="s">
        <v>296</v>
      </c>
      <c r="C79" s="230">
        <v>964</v>
      </c>
      <c r="D79" s="230">
        <v>605</v>
      </c>
      <c r="E79" s="230">
        <v>446</v>
      </c>
      <c r="F79" s="230">
        <v>105</v>
      </c>
      <c r="G79" s="230">
        <v>53</v>
      </c>
      <c r="H79" s="230">
        <v>0</v>
      </c>
      <c r="I79" s="230">
        <v>0</v>
      </c>
      <c r="J79" s="230">
        <v>218</v>
      </c>
      <c r="K79" s="230">
        <v>0</v>
      </c>
      <c r="L79" s="232">
        <f t="shared" si="20"/>
        <v>2391</v>
      </c>
      <c r="M79" s="230">
        <v>818</v>
      </c>
      <c r="N79" s="230">
        <v>908</v>
      </c>
      <c r="O79" s="230">
        <v>667</v>
      </c>
      <c r="P79" s="230">
        <v>52</v>
      </c>
      <c r="Q79" s="230">
        <v>13</v>
      </c>
      <c r="R79" s="230">
        <v>56</v>
      </c>
      <c r="S79" s="230">
        <v>0</v>
      </c>
      <c r="T79" s="230">
        <v>96</v>
      </c>
      <c r="U79" s="230"/>
      <c r="V79" s="229">
        <f t="shared" si="21"/>
        <v>2610</v>
      </c>
      <c r="W79" s="204">
        <v>543</v>
      </c>
      <c r="X79" s="204"/>
      <c r="Y79" s="204"/>
      <c r="Z79" s="214">
        <f t="shared" si="6"/>
        <v>5544</v>
      </c>
      <c r="AA79" s="215">
        <f t="shared" si="22"/>
        <v>3452</v>
      </c>
    </row>
    <row r="80" spans="1:39" x14ac:dyDescent="0.25">
      <c r="A80" s="136" t="s">
        <v>109</v>
      </c>
      <c r="B80" s="137" t="s">
        <v>329</v>
      </c>
      <c r="C80" s="230">
        <v>839</v>
      </c>
      <c r="D80" s="230">
        <v>618</v>
      </c>
      <c r="E80" s="230">
        <v>603</v>
      </c>
      <c r="F80" s="230">
        <v>26</v>
      </c>
      <c r="G80" s="230">
        <v>32</v>
      </c>
      <c r="H80" s="230">
        <v>0</v>
      </c>
      <c r="I80" s="230">
        <v>48</v>
      </c>
      <c r="J80" s="230">
        <v>269</v>
      </c>
      <c r="K80" s="230">
        <v>0</v>
      </c>
      <c r="L80" s="232">
        <f t="shared" si="20"/>
        <v>2435</v>
      </c>
      <c r="M80" s="230">
        <v>1184</v>
      </c>
      <c r="N80" s="230">
        <v>1617</v>
      </c>
      <c r="O80" s="230">
        <v>1160</v>
      </c>
      <c r="P80" s="230">
        <v>40</v>
      </c>
      <c r="Q80" s="230">
        <v>38</v>
      </c>
      <c r="R80" s="230">
        <v>10</v>
      </c>
      <c r="S80" s="230">
        <v>0</v>
      </c>
      <c r="T80" s="230">
        <v>0</v>
      </c>
      <c r="U80" s="230"/>
      <c r="V80" s="229">
        <f t="shared" si="21"/>
        <v>4049</v>
      </c>
      <c r="W80" s="204">
        <v>339</v>
      </c>
      <c r="X80" s="204"/>
      <c r="Y80" s="204"/>
      <c r="Z80" s="214">
        <f t="shared" si="6"/>
        <v>6823</v>
      </c>
      <c r="AA80" s="215">
        <f t="shared" si="22"/>
        <v>4324</v>
      </c>
    </row>
    <row r="81" spans="1:39" x14ac:dyDescent="0.25">
      <c r="A81" s="136" t="s">
        <v>124</v>
      </c>
      <c r="B81" s="137" t="s">
        <v>330</v>
      </c>
      <c r="C81" s="230">
        <v>2889</v>
      </c>
      <c r="D81" s="230">
        <v>1381</v>
      </c>
      <c r="E81" s="230">
        <v>832</v>
      </c>
      <c r="F81" s="230">
        <v>108</v>
      </c>
      <c r="G81" s="230">
        <v>180</v>
      </c>
      <c r="H81" s="230">
        <v>0</v>
      </c>
      <c r="I81" s="230">
        <v>13</v>
      </c>
      <c r="J81" s="230">
        <v>81</v>
      </c>
      <c r="K81" s="230">
        <v>4</v>
      </c>
      <c r="L81" s="232">
        <f t="shared" si="20"/>
        <v>5488</v>
      </c>
      <c r="M81" s="230">
        <v>938</v>
      </c>
      <c r="N81" s="230">
        <v>1466</v>
      </c>
      <c r="O81" s="230">
        <v>831</v>
      </c>
      <c r="P81" s="230">
        <v>26</v>
      </c>
      <c r="Q81" s="230">
        <v>112</v>
      </c>
      <c r="R81" s="230">
        <v>27</v>
      </c>
      <c r="S81" s="230">
        <v>0</v>
      </c>
      <c r="T81" s="230">
        <v>0</v>
      </c>
      <c r="U81" s="230"/>
      <c r="V81" s="229">
        <f t="shared" si="21"/>
        <v>3400</v>
      </c>
      <c r="W81" s="204">
        <v>1201</v>
      </c>
      <c r="X81" s="204"/>
      <c r="Y81" s="204"/>
      <c r="Z81" s="214">
        <f t="shared" si="6"/>
        <v>10089</v>
      </c>
      <c r="AA81" s="215">
        <f t="shared" si="22"/>
        <v>6812</v>
      </c>
    </row>
    <row r="82" spans="1:39" x14ac:dyDescent="0.25">
      <c r="A82" s="136" t="s">
        <v>126</v>
      </c>
      <c r="B82" s="137" t="s">
        <v>331</v>
      </c>
      <c r="C82" s="230">
        <v>1530</v>
      </c>
      <c r="D82" s="230">
        <v>531</v>
      </c>
      <c r="E82" s="230">
        <v>556</v>
      </c>
      <c r="F82" s="230">
        <v>61</v>
      </c>
      <c r="G82" s="230">
        <v>44</v>
      </c>
      <c r="H82" s="230">
        <v>0</v>
      </c>
      <c r="I82" s="230">
        <v>0</v>
      </c>
      <c r="J82" s="230">
        <v>297</v>
      </c>
      <c r="K82" s="230">
        <v>8</v>
      </c>
      <c r="L82" s="232">
        <f t="shared" si="20"/>
        <v>3027</v>
      </c>
      <c r="M82" s="230">
        <v>1841</v>
      </c>
      <c r="N82" s="230">
        <v>2021</v>
      </c>
      <c r="O82" s="230">
        <v>1430</v>
      </c>
      <c r="P82" s="230">
        <v>106</v>
      </c>
      <c r="Q82" s="230">
        <v>155</v>
      </c>
      <c r="R82" s="230">
        <v>0</v>
      </c>
      <c r="S82" s="230">
        <v>0</v>
      </c>
      <c r="T82" s="230">
        <v>56</v>
      </c>
      <c r="U82" s="230"/>
      <c r="V82" s="229">
        <f t="shared" si="21"/>
        <v>5609</v>
      </c>
      <c r="W82" s="204">
        <v>2018</v>
      </c>
      <c r="X82" s="204"/>
      <c r="Y82" s="204"/>
      <c r="Z82" s="214">
        <f t="shared" si="6"/>
        <v>10654</v>
      </c>
      <c r="AA82" s="215">
        <f t="shared" si="22"/>
        <v>6098</v>
      </c>
    </row>
    <row r="83" spans="1:39" x14ac:dyDescent="0.25">
      <c r="A83" s="136" t="s">
        <v>132</v>
      </c>
      <c r="B83" s="137" t="s">
        <v>298</v>
      </c>
      <c r="C83" s="230">
        <v>3860</v>
      </c>
      <c r="D83" s="230">
        <v>3685</v>
      </c>
      <c r="E83" s="230">
        <v>2249</v>
      </c>
      <c r="F83" s="230">
        <v>120</v>
      </c>
      <c r="G83" s="230">
        <v>144</v>
      </c>
      <c r="H83" s="230">
        <v>5</v>
      </c>
      <c r="I83" s="230">
        <v>147</v>
      </c>
      <c r="J83" s="230">
        <v>363</v>
      </c>
      <c r="K83" s="230">
        <v>2</v>
      </c>
      <c r="L83" s="232">
        <f t="shared" si="20"/>
        <v>10575</v>
      </c>
      <c r="M83" s="230">
        <v>2108</v>
      </c>
      <c r="N83" s="230">
        <v>2712</v>
      </c>
      <c r="O83" s="230">
        <v>2573</v>
      </c>
      <c r="P83" s="230">
        <v>58</v>
      </c>
      <c r="Q83" s="230">
        <v>52</v>
      </c>
      <c r="R83" s="230">
        <v>191</v>
      </c>
      <c r="S83" s="230">
        <v>0</v>
      </c>
      <c r="T83" s="230">
        <v>78</v>
      </c>
      <c r="U83" s="230"/>
      <c r="V83" s="229">
        <f t="shared" si="21"/>
        <v>7772</v>
      </c>
      <c r="W83" s="204">
        <v>1723</v>
      </c>
      <c r="X83" s="204"/>
      <c r="Y83" s="204"/>
      <c r="Z83" s="214">
        <f t="shared" si="6"/>
        <v>20070</v>
      </c>
      <c r="AA83" s="215">
        <f t="shared" si="22"/>
        <v>12545</v>
      </c>
    </row>
    <row r="84" spans="1:39" x14ac:dyDescent="0.25">
      <c r="A84" s="136" t="s">
        <v>137</v>
      </c>
      <c r="B84" s="137" t="s">
        <v>299</v>
      </c>
      <c r="C84" s="230">
        <v>1896</v>
      </c>
      <c r="D84" s="230">
        <v>851</v>
      </c>
      <c r="E84" s="230">
        <v>510</v>
      </c>
      <c r="F84" s="230">
        <v>44</v>
      </c>
      <c r="G84" s="230">
        <v>50</v>
      </c>
      <c r="H84" s="230">
        <v>0</v>
      </c>
      <c r="I84" s="230">
        <v>0</v>
      </c>
      <c r="J84" s="230">
        <v>232</v>
      </c>
      <c r="K84" s="230">
        <v>0</v>
      </c>
      <c r="L84" s="232">
        <f t="shared" si="20"/>
        <v>3583</v>
      </c>
      <c r="M84" s="230">
        <v>2600</v>
      </c>
      <c r="N84" s="230">
        <v>2737</v>
      </c>
      <c r="O84" s="230">
        <v>2080</v>
      </c>
      <c r="P84" s="230">
        <v>68</v>
      </c>
      <c r="Q84" s="230">
        <v>111</v>
      </c>
      <c r="R84" s="230">
        <v>31</v>
      </c>
      <c r="S84" s="230">
        <v>0</v>
      </c>
      <c r="T84" s="230">
        <v>6</v>
      </c>
      <c r="U84" s="230"/>
      <c r="V84" s="229">
        <f t="shared" si="21"/>
        <v>7633</v>
      </c>
      <c r="W84" s="204">
        <v>900</v>
      </c>
      <c r="X84" s="204"/>
      <c r="Y84" s="204"/>
      <c r="Z84" s="214">
        <f t="shared" si="6"/>
        <v>12116</v>
      </c>
      <c r="AA84" s="215">
        <f t="shared" si="22"/>
        <v>8196</v>
      </c>
    </row>
    <row r="85" spans="1:39" x14ac:dyDescent="0.25">
      <c r="A85" s="136" t="s">
        <v>148</v>
      </c>
      <c r="B85" s="137" t="s">
        <v>300</v>
      </c>
      <c r="C85" s="230">
        <v>832</v>
      </c>
      <c r="D85" s="230">
        <v>773</v>
      </c>
      <c r="E85" s="230">
        <v>504</v>
      </c>
      <c r="F85" s="230">
        <v>51</v>
      </c>
      <c r="G85" s="230">
        <v>40</v>
      </c>
      <c r="H85" s="230">
        <v>0</v>
      </c>
      <c r="I85" s="230">
        <v>0</v>
      </c>
      <c r="J85" s="230">
        <v>125</v>
      </c>
      <c r="K85" s="230">
        <v>0</v>
      </c>
      <c r="L85" s="232">
        <f t="shared" si="20"/>
        <v>2325</v>
      </c>
      <c r="M85" s="230">
        <v>977</v>
      </c>
      <c r="N85" s="230">
        <v>1119</v>
      </c>
      <c r="O85" s="230">
        <v>905</v>
      </c>
      <c r="P85" s="230">
        <v>23</v>
      </c>
      <c r="Q85" s="230">
        <v>11</v>
      </c>
      <c r="R85" s="230">
        <v>16</v>
      </c>
      <c r="S85" s="230">
        <v>0</v>
      </c>
      <c r="T85" s="230">
        <v>8</v>
      </c>
      <c r="U85" s="230"/>
      <c r="V85" s="229">
        <f t="shared" si="21"/>
        <v>3059</v>
      </c>
      <c r="W85" s="204">
        <v>317</v>
      </c>
      <c r="X85" s="204"/>
      <c r="Y85" s="204"/>
      <c r="Z85" s="214">
        <f t="shared" si="6"/>
        <v>5701</v>
      </c>
      <c r="AA85" s="215">
        <f t="shared" si="22"/>
        <v>3775</v>
      </c>
    </row>
    <row r="86" spans="1:39" x14ac:dyDescent="0.25">
      <c r="A86" s="136" t="s">
        <v>169</v>
      </c>
      <c r="B86" s="137" t="s">
        <v>301</v>
      </c>
      <c r="C86" s="230">
        <v>1227</v>
      </c>
      <c r="D86" s="230">
        <v>431</v>
      </c>
      <c r="E86" s="230">
        <v>755</v>
      </c>
      <c r="F86" s="230">
        <v>52</v>
      </c>
      <c r="G86" s="230">
        <v>89</v>
      </c>
      <c r="H86" s="230">
        <v>8</v>
      </c>
      <c r="I86" s="230">
        <v>15</v>
      </c>
      <c r="J86" s="230">
        <v>132</v>
      </c>
      <c r="K86" s="230">
        <v>0</v>
      </c>
      <c r="L86" s="232">
        <f t="shared" si="20"/>
        <v>2709</v>
      </c>
      <c r="M86" s="230">
        <v>374</v>
      </c>
      <c r="N86" s="230">
        <v>770</v>
      </c>
      <c r="O86" s="230">
        <v>325</v>
      </c>
      <c r="P86" s="230">
        <v>11</v>
      </c>
      <c r="Q86" s="230">
        <v>24</v>
      </c>
      <c r="R86" s="230">
        <v>0</v>
      </c>
      <c r="S86" s="230">
        <v>0</v>
      </c>
      <c r="T86" s="230">
        <v>0</v>
      </c>
      <c r="U86" s="230"/>
      <c r="V86" s="229">
        <f t="shared" si="21"/>
        <v>1504</v>
      </c>
      <c r="W86" s="205"/>
      <c r="X86" s="204"/>
      <c r="Y86" s="204"/>
      <c r="Z86" s="214">
        <f t="shared" si="6"/>
        <v>4213</v>
      </c>
      <c r="AA86" s="215">
        <f t="shared" si="22"/>
        <v>2865</v>
      </c>
    </row>
    <row r="87" spans="1:39" x14ac:dyDescent="0.25">
      <c r="A87" s="136" t="s">
        <v>172</v>
      </c>
      <c r="B87" s="137" t="s">
        <v>333</v>
      </c>
      <c r="C87" s="230">
        <v>30193</v>
      </c>
      <c r="D87" s="230">
        <v>6524</v>
      </c>
      <c r="E87" s="230">
        <v>7857</v>
      </c>
      <c r="F87" s="230">
        <v>270</v>
      </c>
      <c r="G87" s="230">
        <v>243</v>
      </c>
      <c r="H87" s="230">
        <v>16</v>
      </c>
      <c r="I87" s="230">
        <v>489</v>
      </c>
      <c r="J87" s="230">
        <v>530</v>
      </c>
      <c r="K87" s="230">
        <v>0</v>
      </c>
      <c r="L87" s="232">
        <f t="shared" si="20"/>
        <v>46122</v>
      </c>
      <c r="M87" s="230">
        <v>3312</v>
      </c>
      <c r="N87" s="230">
        <v>3460</v>
      </c>
      <c r="O87" s="230">
        <v>1559</v>
      </c>
      <c r="P87" s="230">
        <v>62</v>
      </c>
      <c r="Q87" s="230">
        <v>66</v>
      </c>
      <c r="R87" s="230">
        <v>75</v>
      </c>
      <c r="S87" s="230">
        <v>47</v>
      </c>
      <c r="T87" s="230">
        <v>73</v>
      </c>
      <c r="U87" s="230"/>
      <c r="V87" s="229">
        <f t="shared" si="21"/>
        <v>8654</v>
      </c>
      <c r="W87" s="209">
        <v>144</v>
      </c>
      <c r="X87" s="209"/>
      <c r="Y87" s="209"/>
      <c r="Z87" s="214">
        <f t="shared" si="6"/>
        <v>54920</v>
      </c>
      <c r="AA87" s="215">
        <f t="shared" si="22"/>
        <v>43821</v>
      </c>
    </row>
    <row r="88" spans="1:39" ht="13.8" thickBot="1" x14ac:dyDescent="0.3">
      <c r="A88" s="136" t="s">
        <v>175</v>
      </c>
      <c r="B88" s="137" t="s">
        <v>334</v>
      </c>
      <c r="C88" s="265">
        <v>558</v>
      </c>
      <c r="D88" s="265">
        <v>248</v>
      </c>
      <c r="E88" s="265">
        <v>230</v>
      </c>
      <c r="F88" s="265">
        <v>15</v>
      </c>
      <c r="G88" s="265">
        <v>20</v>
      </c>
      <c r="H88" s="265">
        <v>0</v>
      </c>
      <c r="I88" s="265">
        <v>0</v>
      </c>
      <c r="J88" s="265">
        <v>47</v>
      </c>
      <c r="K88" s="265">
        <v>0</v>
      </c>
      <c r="L88" s="239">
        <f t="shared" si="20"/>
        <v>1118</v>
      </c>
      <c r="M88" s="265">
        <v>2488</v>
      </c>
      <c r="N88" s="265">
        <v>1692</v>
      </c>
      <c r="O88" s="265">
        <v>1795</v>
      </c>
      <c r="P88" s="265">
        <v>47</v>
      </c>
      <c r="Q88" s="265">
        <v>46</v>
      </c>
      <c r="R88" s="265">
        <v>6</v>
      </c>
      <c r="S88" s="265">
        <v>0</v>
      </c>
      <c r="T88" s="265">
        <v>4</v>
      </c>
      <c r="U88" s="265"/>
      <c r="V88" s="231">
        <f t="shared" si="21"/>
        <v>6078</v>
      </c>
      <c r="W88" s="209">
        <v>1069</v>
      </c>
      <c r="X88" s="209"/>
      <c r="Y88" s="209"/>
      <c r="Z88" s="214">
        <f t="shared" si="6"/>
        <v>8265</v>
      </c>
      <c r="AA88" s="215">
        <f t="shared" si="22"/>
        <v>5048</v>
      </c>
    </row>
    <row r="89" spans="1:39" s="109" customFormat="1" ht="14.4" thickBot="1" x14ac:dyDescent="0.3">
      <c r="A89" s="134"/>
      <c r="B89" s="159" t="s">
        <v>461</v>
      </c>
      <c r="C89" s="258">
        <f t="shared" ref="C89:AA89" si="23">SUM(C73:C88)</f>
        <v>70566</v>
      </c>
      <c r="D89" s="157">
        <f t="shared" si="23"/>
        <v>23167</v>
      </c>
      <c r="E89" s="157">
        <f t="shared" si="23"/>
        <v>29896</v>
      </c>
      <c r="F89" s="259">
        <f t="shared" si="23"/>
        <v>1318</v>
      </c>
      <c r="G89" s="362">
        <f t="shared" si="23"/>
        <v>1345</v>
      </c>
      <c r="H89" s="157">
        <f t="shared" si="23"/>
        <v>59</v>
      </c>
      <c r="I89" s="157">
        <f t="shared" si="23"/>
        <v>1185</v>
      </c>
      <c r="J89" s="259">
        <f t="shared" si="23"/>
        <v>3177</v>
      </c>
      <c r="K89" s="365">
        <f t="shared" si="23"/>
        <v>138</v>
      </c>
      <c r="L89" s="260">
        <f t="shared" si="23"/>
        <v>130851</v>
      </c>
      <c r="M89" s="262">
        <f t="shared" si="23"/>
        <v>24737</v>
      </c>
      <c r="N89" s="158">
        <f t="shared" si="23"/>
        <v>27816</v>
      </c>
      <c r="O89" s="158">
        <f t="shared" si="23"/>
        <v>20479</v>
      </c>
      <c r="P89" s="158">
        <f t="shared" si="23"/>
        <v>739</v>
      </c>
      <c r="Q89" s="158">
        <f t="shared" si="23"/>
        <v>992</v>
      </c>
      <c r="R89" s="158">
        <f t="shared" si="23"/>
        <v>859</v>
      </c>
      <c r="S89" s="158">
        <f t="shared" si="23"/>
        <v>173</v>
      </c>
      <c r="T89" s="264">
        <f t="shared" si="23"/>
        <v>865</v>
      </c>
      <c r="U89" s="401">
        <f t="shared" si="23"/>
        <v>0</v>
      </c>
      <c r="V89" s="180">
        <f t="shared" si="23"/>
        <v>76660</v>
      </c>
      <c r="W89" s="210">
        <f t="shared" si="23"/>
        <v>20654</v>
      </c>
      <c r="X89" s="210">
        <f t="shared" si="23"/>
        <v>0</v>
      </c>
      <c r="Y89" s="210">
        <f t="shared" si="23"/>
        <v>0</v>
      </c>
      <c r="Z89" s="210">
        <f t="shared" si="23"/>
        <v>228165</v>
      </c>
      <c r="AA89" s="210">
        <f t="shared" si="23"/>
        <v>148481</v>
      </c>
      <c r="AC89"/>
      <c r="AD89"/>
      <c r="AE89"/>
      <c r="AF89"/>
      <c r="AG89"/>
      <c r="AH89"/>
      <c r="AI89"/>
      <c r="AJ89"/>
      <c r="AK89"/>
      <c r="AL89"/>
      <c r="AM89"/>
    </row>
    <row r="90" spans="1:39" x14ac:dyDescent="0.25">
      <c r="A90" s="136" t="s">
        <v>67</v>
      </c>
      <c r="B90" s="139" t="s">
        <v>346</v>
      </c>
      <c r="C90" s="280">
        <v>120</v>
      </c>
      <c r="D90" s="280">
        <v>65</v>
      </c>
      <c r="E90" s="280">
        <v>41</v>
      </c>
      <c r="F90" s="280">
        <v>7</v>
      </c>
      <c r="G90" s="280">
        <v>8</v>
      </c>
      <c r="H90" s="280">
        <v>0</v>
      </c>
      <c r="I90" s="280">
        <v>0</v>
      </c>
      <c r="J90" s="280">
        <v>40</v>
      </c>
      <c r="K90" s="280">
        <v>0</v>
      </c>
      <c r="L90" s="234">
        <f t="shared" ref="L90:L105" si="24">SUM(C90:K90)</f>
        <v>281</v>
      </c>
      <c r="M90" s="280">
        <v>153</v>
      </c>
      <c r="N90" s="280">
        <v>194</v>
      </c>
      <c r="O90" s="280">
        <v>119</v>
      </c>
      <c r="P90" s="280">
        <v>2</v>
      </c>
      <c r="Q90" s="280">
        <v>4</v>
      </c>
      <c r="R90" s="280">
        <v>0</v>
      </c>
      <c r="S90" s="280">
        <v>0</v>
      </c>
      <c r="T90" s="280">
        <v>0</v>
      </c>
      <c r="U90" s="280"/>
      <c r="V90" s="256">
        <f t="shared" ref="V90:V105" si="25">SUM(M90:U90)</f>
        <v>472</v>
      </c>
      <c r="W90" s="211">
        <v>77</v>
      </c>
      <c r="X90" s="211"/>
      <c r="Y90" s="211"/>
      <c r="Z90" s="214">
        <f t="shared" ref="Z90:Z105" si="26">L90+V90+W90+X90</f>
        <v>830</v>
      </c>
      <c r="AA90" s="215">
        <f t="shared" ref="AA90:AA103" si="27">C90+D90+F90+K90+M90+N90+P90+U90</f>
        <v>541</v>
      </c>
    </row>
    <row r="91" spans="1:39" x14ac:dyDescent="0.25">
      <c r="A91" s="136" t="s">
        <v>76</v>
      </c>
      <c r="B91" s="137" t="s">
        <v>290</v>
      </c>
      <c r="C91" s="230">
        <v>594</v>
      </c>
      <c r="D91" s="230">
        <v>369</v>
      </c>
      <c r="E91" s="230">
        <v>389</v>
      </c>
      <c r="F91" s="230">
        <v>20</v>
      </c>
      <c r="G91" s="230">
        <v>49</v>
      </c>
      <c r="H91" s="230">
        <v>0</v>
      </c>
      <c r="I91" s="230">
        <v>0</v>
      </c>
      <c r="J91" s="230">
        <v>133</v>
      </c>
      <c r="K91" s="230">
        <v>0</v>
      </c>
      <c r="L91" s="232">
        <f t="shared" si="24"/>
        <v>1554</v>
      </c>
      <c r="M91" s="230">
        <v>460</v>
      </c>
      <c r="N91" s="230">
        <v>549</v>
      </c>
      <c r="O91" s="230">
        <v>508</v>
      </c>
      <c r="P91" s="230">
        <v>7</v>
      </c>
      <c r="Q91" s="230">
        <v>13</v>
      </c>
      <c r="R91" s="230">
        <v>95</v>
      </c>
      <c r="S91" s="230">
        <v>0</v>
      </c>
      <c r="T91" s="230">
        <v>410</v>
      </c>
      <c r="U91" s="230"/>
      <c r="V91" s="229">
        <f t="shared" si="25"/>
        <v>2042</v>
      </c>
      <c r="W91" s="204">
        <v>3323</v>
      </c>
      <c r="X91" s="204"/>
      <c r="Y91" s="204"/>
      <c r="Z91" s="214">
        <f t="shared" si="26"/>
        <v>6919</v>
      </c>
      <c r="AA91" s="215">
        <f t="shared" si="27"/>
        <v>1999</v>
      </c>
      <c r="AB91" s="142">
        <f>L91+V91</f>
        <v>3596</v>
      </c>
    </row>
    <row r="92" spans="1:39" x14ac:dyDescent="0.25">
      <c r="A92" s="136" t="s">
        <v>79</v>
      </c>
      <c r="B92" s="137" t="s">
        <v>347</v>
      </c>
      <c r="C92" s="230">
        <v>1566</v>
      </c>
      <c r="D92" s="230">
        <v>524</v>
      </c>
      <c r="E92" s="230">
        <v>554</v>
      </c>
      <c r="F92" s="230">
        <v>52</v>
      </c>
      <c r="G92" s="230">
        <v>26</v>
      </c>
      <c r="H92" s="230">
        <v>0</v>
      </c>
      <c r="I92" s="230">
        <v>0</v>
      </c>
      <c r="J92" s="230">
        <v>355</v>
      </c>
      <c r="K92" s="230">
        <v>0</v>
      </c>
      <c r="L92" s="232">
        <f t="shared" si="24"/>
        <v>3077</v>
      </c>
      <c r="M92" s="230">
        <v>796</v>
      </c>
      <c r="N92" s="230">
        <v>724</v>
      </c>
      <c r="O92" s="230">
        <v>531</v>
      </c>
      <c r="P92" s="230">
        <v>47</v>
      </c>
      <c r="Q92" s="230">
        <v>4</v>
      </c>
      <c r="R92" s="230">
        <v>0</v>
      </c>
      <c r="S92" s="230">
        <v>0</v>
      </c>
      <c r="T92" s="230">
        <v>8</v>
      </c>
      <c r="U92" s="230"/>
      <c r="V92" s="229">
        <f t="shared" si="25"/>
        <v>2110</v>
      </c>
      <c r="W92" s="204">
        <v>819</v>
      </c>
      <c r="X92" s="204"/>
      <c r="Y92" s="204"/>
      <c r="Z92" s="214">
        <f t="shared" si="26"/>
        <v>6006</v>
      </c>
      <c r="AA92" s="215">
        <f t="shared" si="27"/>
        <v>3709</v>
      </c>
    </row>
    <row r="93" spans="1:39" x14ac:dyDescent="0.25">
      <c r="A93" s="136" t="s">
        <v>83</v>
      </c>
      <c r="B93" s="137" t="s">
        <v>291</v>
      </c>
      <c r="C93" s="230">
        <v>7948</v>
      </c>
      <c r="D93" s="230">
        <v>6469</v>
      </c>
      <c r="E93" s="230">
        <v>3285</v>
      </c>
      <c r="F93" s="230">
        <v>110</v>
      </c>
      <c r="G93" s="230">
        <v>374</v>
      </c>
      <c r="H93" s="230">
        <v>6</v>
      </c>
      <c r="I93" s="230">
        <v>44</v>
      </c>
      <c r="J93" s="230">
        <v>392</v>
      </c>
      <c r="K93" s="230">
        <v>2</v>
      </c>
      <c r="L93" s="232">
        <f t="shared" si="24"/>
        <v>18630</v>
      </c>
      <c r="M93" s="230">
        <v>2763</v>
      </c>
      <c r="N93" s="230">
        <v>4661</v>
      </c>
      <c r="O93" s="230">
        <v>2834</v>
      </c>
      <c r="P93" s="230">
        <v>37</v>
      </c>
      <c r="Q93" s="230">
        <v>151</v>
      </c>
      <c r="R93" s="230">
        <v>39</v>
      </c>
      <c r="S93" s="230">
        <v>0</v>
      </c>
      <c r="T93" s="230">
        <v>19</v>
      </c>
      <c r="U93" s="230"/>
      <c r="V93" s="229">
        <f t="shared" si="25"/>
        <v>10504</v>
      </c>
      <c r="W93" s="205"/>
      <c r="X93" s="204"/>
      <c r="Y93" s="204"/>
      <c r="Z93" s="214">
        <f t="shared" si="26"/>
        <v>29134</v>
      </c>
      <c r="AA93" s="215">
        <f t="shared" si="27"/>
        <v>21990</v>
      </c>
    </row>
    <row r="94" spans="1:39" x14ac:dyDescent="0.25">
      <c r="A94" s="136" t="s">
        <v>89</v>
      </c>
      <c r="B94" s="137" t="s">
        <v>348</v>
      </c>
      <c r="C94" s="230"/>
      <c r="D94" s="230"/>
      <c r="E94" s="230"/>
      <c r="F94" s="230"/>
      <c r="G94" s="230"/>
      <c r="H94" s="230"/>
      <c r="I94" s="230"/>
      <c r="J94" s="230"/>
      <c r="K94" s="230"/>
      <c r="L94" s="232">
        <f t="shared" si="24"/>
        <v>0</v>
      </c>
      <c r="M94" s="230"/>
      <c r="N94" s="230"/>
      <c r="O94" s="230"/>
      <c r="P94" s="230"/>
      <c r="Q94" s="230"/>
      <c r="R94" s="230"/>
      <c r="S94" s="230"/>
      <c r="T94" s="230"/>
      <c r="U94" s="230"/>
      <c r="V94" s="229">
        <f t="shared" si="25"/>
        <v>0</v>
      </c>
      <c r="W94" s="204">
        <v>0</v>
      </c>
      <c r="X94" s="204"/>
      <c r="Y94" s="204"/>
      <c r="Z94" s="214">
        <f t="shared" si="26"/>
        <v>0</v>
      </c>
      <c r="AA94" s="215">
        <f t="shared" si="27"/>
        <v>0</v>
      </c>
    </row>
    <row r="95" spans="1:39" x14ac:dyDescent="0.25">
      <c r="A95" s="136" t="s">
        <v>90</v>
      </c>
      <c r="B95" s="137" t="s">
        <v>349</v>
      </c>
      <c r="C95" s="230">
        <v>604</v>
      </c>
      <c r="D95" s="230">
        <v>431</v>
      </c>
      <c r="E95" s="230">
        <v>239</v>
      </c>
      <c r="F95" s="230">
        <v>23</v>
      </c>
      <c r="G95" s="230">
        <v>3</v>
      </c>
      <c r="H95" s="230">
        <v>0</v>
      </c>
      <c r="I95" s="230">
        <v>0</v>
      </c>
      <c r="J95" s="230">
        <v>170</v>
      </c>
      <c r="K95" s="230">
        <v>1</v>
      </c>
      <c r="L95" s="232">
        <f t="shared" si="24"/>
        <v>1471</v>
      </c>
      <c r="M95" s="230">
        <v>982</v>
      </c>
      <c r="N95" s="230">
        <v>816</v>
      </c>
      <c r="O95" s="230">
        <v>818</v>
      </c>
      <c r="P95" s="230">
        <v>20</v>
      </c>
      <c r="Q95" s="230">
        <v>35</v>
      </c>
      <c r="R95" s="230">
        <v>0</v>
      </c>
      <c r="S95" s="230">
        <v>0</v>
      </c>
      <c r="T95" s="230">
        <v>0</v>
      </c>
      <c r="U95" s="230"/>
      <c r="V95" s="229">
        <f t="shared" si="25"/>
        <v>2671</v>
      </c>
      <c r="W95" s="204">
        <v>649</v>
      </c>
      <c r="X95" s="204"/>
      <c r="Y95" s="204"/>
      <c r="Z95" s="214">
        <f t="shared" si="26"/>
        <v>4791</v>
      </c>
      <c r="AA95" s="215">
        <f t="shared" si="27"/>
        <v>2877</v>
      </c>
    </row>
    <row r="96" spans="1:39" x14ac:dyDescent="0.25">
      <c r="A96" s="136" t="s">
        <v>93</v>
      </c>
      <c r="B96" s="137" t="s">
        <v>359</v>
      </c>
      <c r="C96" s="230">
        <v>1255</v>
      </c>
      <c r="D96" s="230">
        <v>1129</v>
      </c>
      <c r="E96" s="230">
        <v>1124</v>
      </c>
      <c r="F96" s="230">
        <v>72</v>
      </c>
      <c r="G96" s="230">
        <v>21</v>
      </c>
      <c r="H96" s="230">
        <v>0</v>
      </c>
      <c r="I96" s="230">
        <v>53</v>
      </c>
      <c r="J96" s="230">
        <v>581</v>
      </c>
      <c r="K96" s="230">
        <v>0</v>
      </c>
      <c r="L96" s="232">
        <f t="shared" si="24"/>
        <v>4235</v>
      </c>
      <c r="M96" s="230">
        <v>786</v>
      </c>
      <c r="N96" s="230">
        <v>1302</v>
      </c>
      <c r="O96" s="230">
        <v>800</v>
      </c>
      <c r="P96" s="230">
        <v>92</v>
      </c>
      <c r="Q96" s="230">
        <v>4</v>
      </c>
      <c r="R96" s="230">
        <v>0</v>
      </c>
      <c r="S96" s="230">
        <v>0</v>
      </c>
      <c r="T96" s="230">
        <v>4</v>
      </c>
      <c r="U96" s="230"/>
      <c r="V96" s="229">
        <f t="shared" si="25"/>
        <v>2988</v>
      </c>
      <c r="W96" s="204">
        <v>724</v>
      </c>
      <c r="X96" s="204"/>
      <c r="Y96" s="204"/>
      <c r="Z96" s="214">
        <f t="shared" si="26"/>
        <v>7947</v>
      </c>
      <c r="AA96" s="215">
        <f t="shared" si="27"/>
        <v>4636</v>
      </c>
    </row>
    <row r="97" spans="1:27" x14ac:dyDescent="0.25">
      <c r="A97" s="136" t="s">
        <v>97</v>
      </c>
      <c r="B97" s="137" t="s">
        <v>294</v>
      </c>
      <c r="C97" s="230">
        <v>3277</v>
      </c>
      <c r="D97" s="230">
        <v>1477</v>
      </c>
      <c r="E97" s="230">
        <v>1228</v>
      </c>
      <c r="F97" s="230">
        <v>34</v>
      </c>
      <c r="G97" s="230">
        <v>64</v>
      </c>
      <c r="H97" s="230">
        <v>87</v>
      </c>
      <c r="I97" s="230">
        <v>0</v>
      </c>
      <c r="J97" s="230">
        <v>361</v>
      </c>
      <c r="K97" s="230">
        <v>0</v>
      </c>
      <c r="L97" s="232">
        <f t="shared" si="24"/>
        <v>6528</v>
      </c>
      <c r="M97" s="230">
        <v>3382</v>
      </c>
      <c r="N97" s="230">
        <v>2985</v>
      </c>
      <c r="O97" s="230">
        <v>2466</v>
      </c>
      <c r="P97" s="230">
        <v>26</v>
      </c>
      <c r="Q97" s="230">
        <v>63</v>
      </c>
      <c r="R97" s="230">
        <v>4</v>
      </c>
      <c r="S97" s="230">
        <v>0</v>
      </c>
      <c r="T97" s="230">
        <v>16</v>
      </c>
      <c r="U97" s="230"/>
      <c r="V97" s="229">
        <f t="shared" si="25"/>
        <v>8942</v>
      </c>
      <c r="W97" s="204">
        <v>1656</v>
      </c>
      <c r="X97" s="204"/>
      <c r="Y97" s="204"/>
      <c r="Z97" s="214">
        <f t="shared" si="26"/>
        <v>17126</v>
      </c>
      <c r="AA97" s="215">
        <f t="shared" si="27"/>
        <v>11181</v>
      </c>
    </row>
    <row r="98" spans="1:27" x14ac:dyDescent="0.25">
      <c r="A98" s="136" t="s">
        <v>125</v>
      </c>
      <c r="B98" s="137" t="s">
        <v>350</v>
      </c>
      <c r="C98" s="230">
        <v>1868</v>
      </c>
      <c r="D98" s="230">
        <v>817</v>
      </c>
      <c r="E98" s="230">
        <v>701</v>
      </c>
      <c r="F98" s="230">
        <v>111</v>
      </c>
      <c r="G98" s="230">
        <v>72</v>
      </c>
      <c r="H98" s="230">
        <v>0</v>
      </c>
      <c r="I98" s="230">
        <v>200</v>
      </c>
      <c r="J98" s="230">
        <v>269</v>
      </c>
      <c r="K98" s="230">
        <v>0</v>
      </c>
      <c r="L98" s="232">
        <f t="shared" si="24"/>
        <v>4038</v>
      </c>
      <c r="M98" s="230">
        <v>1497</v>
      </c>
      <c r="N98" s="230">
        <v>1738</v>
      </c>
      <c r="O98" s="230">
        <v>1357</v>
      </c>
      <c r="P98" s="230">
        <v>43</v>
      </c>
      <c r="Q98" s="230">
        <v>65</v>
      </c>
      <c r="R98" s="230">
        <v>21</v>
      </c>
      <c r="S98" s="230">
        <v>0</v>
      </c>
      <c r="T98" s="230">
        <v>114</v>
      </c>
      <c r="U98" s="230"/>
      <c r="V98" s="229">
        <f t="shared" si="25"/>
        <v>4835</v>
      </c>
      <c r="W98" s="204">
        <v>521</v>
      </c>
      <c r="X98" s="204"/>
      <c r="Y98" s="204"/>
      <c r="Z98" s="214">
        <f t="shared" si="26"/>
        <v>9394</v>
      </c>
      <c r="AA98" s="215">
        <f t="shared" si="27"/>
        <v>6074</v>
      </c>
    </row>
    <row r="99" spans="1:27" x14ac:dyDescent="0.25">
      <c r="A99" s="136" t="s">
        <v>135</v>
      </c>
      <c r="B99" s="137" t="s">
        <v>351</v>
      </c>
      <c r="C99" s="230">
        <v>1909</v>
      </c>
      <c r="D99" s="230">
        <v>1269</v>
      </c>
      <c r="E99" s="230">
        <v>828</v>
      </c>
      <c r="F99" s="230">
        <v>60</v>
      </c>
      <c r="G99" s="230">
        <v>40</v>
      </c>
      <c r="H99" s="230">
        <v>0</v>
      </c>
      <c r="I99" s="230">
        <v>0</v>
      </c>
      <c r="J99" s="230">
        <v>124</v>
      </c>
      <c r="K99" s="230">
        <v>1</v>
      </c>
      <c r="L99" s="232">
        <f t="shared" si="24"/>
        <v>4231</v>
      </c>
      <c r="M99" s="230">
        <v>1026</v>
      </c>
      <c r="N99" s="230">
        <v>1900</v>
      </c>
      <c r="O99" s="230">
        <v>901</v>
      </c>
      <c r="P99" s="230">
        <v>61</v>
      </c>
      <c r="Q99" s="230">
        <v>92</v>
      </c>
      <c r="R99" s="230">
        <v>0</v>
      </c>
      <c r="S99" s="230">
        <v>0</v>
      </c>
      <c r="T99" s="230">
        <v>0</v>
      </c>
      <c r="U99" s="230"/>
      <c r="V99" s="229">
        <f t="shared" si="25"/>
        <v>3980</v>
      </c>
      <c r="W99" s="204">
        <v>587</v>
      </c>
      <c r="X99" s="204"/>
      <c r="Y99" s="204"/>
      <c r="Z99" s="214">
        <f t="shared" si="26"/>
        <v>8798</v>
      </c>
      <c r="AA99" s="215">
        <f t="shared" si="27"/>
        <v>6226</v>
      </c>
    </row>
    <row r="100" spans="1:27" x14ac:dyDescent="0.25">
      <c r="A100" s="136" t="s">
        <v>144</v>
      </c>
      <c r="B100" s="137" t="s">
        <v>352</v>
      </c>
      <c r="C100" s="230">
        <v>2839</v>
      </c>
      <c r="D100" s="230">
        <v>652</v>
      </c>
      <c r="E100" s="230">
        <v>852</v>
      </c>
      <c r="F100" s="230">
        <v>131</v>
      </c>
      <c r="G100" s="230">
        <v>97</v>
      </c>
      <c r="H100" s="230">
        <v>0</v>
      </c>
      <c r="I100" s="230">
        <v>0</v>
      </c>
      <c r="J100" s="230">
        <v>364</v>
      </c>
      <c r="K100" s="230">
        <v>2</v>
      </c>
      <c r="L100" s="232">
        <f t="shared" si="24"/>
        <v>4937</v>
      </c>
      <c r="M100" s="230">
        <v>1587</v>
      </c>
      <c r="N100" s="230">
        <v>1509</v>
      </c>
      <c r="O100" s="230">
        <v>1163</v>
      </c>
      <c r="P100" s="230">
        <v>47</v>
      </c>
      <c r="Q100" s="230">
        <v>44</v>
      </c>
      <c r="R100" s="230">
        <v>29</v>
      </c>
      <c r="S100" s="230">
        <v>0</v>
      </c>
      <c r="T100" s="230">
        <v>16</v>
      </c>
      <c r="U100" s="230"/>
      <c r="V100" s="229">
        <f t="shared" si="25"/>
        <v>4395</v>
      </c>
      <c r="W100" s="204">
        <v>740</v>
      </c>
      <c r="X100" s="204"/>
      <c r="Y100" s="204"/>
      <c r="Z100" s="214">
        <f t="shared" si="26"/>
        <v>10072</v>
      </c>
      <c r="AA100" s="215">
        <f t="shared" si="27"/>
        <v>6767</v>
      </c>
    </row>
    <row r="101" spans="1:27" x14ac:dyDescent="0.25">
      <c r="A101" s="136" t="s">
        <v>176</v>
      </c>
      <c r="B101" s="137" t="s">
        <v>354</v>
      </c>
      <c r="C101" s="230">
        <v>2227</v>
      </c>
      <c r="D101" s="230">
        <v>1164</v>
      </c>
      <c r="E101" s="230">
        <v>809</v>
      </c>
      <c r="F101" s="230">
        <v>86</v>
      </c>
      <c r="G101" s="230">
        <v>57</v>
      </c>
      <c r="H101" s="230">
        <v>25</v>
      </c>
      <c r="I101" s="230">
        <v>0</v>
      </c>
      <c r="J101" s="230">
        <v>268</v>
      </c>
      <c r="K101" s="230">
        <v>0</v>
      </c>
      <c r="L101" s="232">
        <f t="shared" si="24"/>
        <v>4636</v>
      </c>
      <c r="M101" s="230">
        <v>998</v>
      </c>
      <c r="N101" s="230">
        <v>1805</v>
      </c>
      <c r="O101" s="230">
        <v>794</v>
      </c>
      <c r="P101" s="230">
        <v>34</v>
      </c>
      <c r="Q101" s="230">
        <v>74</v>
      </c>
      <c r="R101" s="230">
        <v>8</v>
      </c>
      <c r="S101" s="230">
        <v>0</v>
      </c>
      <c r="T101" s="230">
        <v>0</v>
      </c>
      <c r="U101" s="230"/>
      <c r="V101" s="229">
        <f t="shared" si="25"/>
        <v>3713</v>
      </c>
      <c r="W101" s="204">
        <v>727</v>
      </c>
      <c r="X101" s="204"/>
      <c r="Y101" s="204"/>
      <c r="Z101" s="214">
        <f t="shared" si="26"/>
        <v>9076</v>
      </c>
      <c r="AA101" s="215">
        <f t="shared" si="27"/>
        <v>6314</v>
      </c>
    </row>
    <row r="102" spans="1:27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24"/>
        <v>0</v>
      </c>
      <c r="M102" s="147"/>
      <c r="N102" s="147"/>
      <c r="O102" s="147"/>
      <c r="P102" s="147"/>
      <c r="Q102" s="147"/>
      <c r="R102" s="147"/>
      <c r="S102" s="147"/>
      <c r="T102" s="147"/>
      <c r="U102" s="147"/>
      <c r="V102" s="229">
        <f t="shared" si="25"/>
        <v>0</v>
      </c>
      <c r="W102" s="204">
        <f>0+1353+5984+2613+7334+8103+2211+1643+2430</f>
        <v>31671</v>
      </c>
      <c r="X102" s="204"/>
      <c r="Y102" s="204"/>
      <c r="Z102" s="214">
        <f t="shared" si="26"/>
        <v>31671</v>
      </c>
      <c r="AA102" s="215">
        <f t="shared" si="27"/>
        <v>0</v>
      </c>
    </row>
    <row r="103" spans="1:27" x14ac:dyDescent="0.25">
      <c r="A103" s="136" t="s">
        <v>177</v>
      </c>
      <c r="B103" s="137" t="s">
        <v>302</v>
      </c>
      <c r="C103" s="230">
        <v>6715</v>
      </c>
      <c r="D103" s="230">
        <v>6466</v>
      </c>
      <c r="E103" s="230">
        <v>3664</v>
      </c>
      <c r="F103" s="230">
        <v>124</v>
      </c>
      <c r="G103" s="230">
        <v>176</v>
      </c>
      <c r="H103" s="230">
        <v>2</v>
      </c>
      <c r="I103" s="230">
        <v>185</v>
      </c>
      <c r="J103" s="230">
        <v>551</v>
      </c>
      <c r="K103" s="230">
        <v>0</v>
      </c>
      <c r="L103" s="232">
        <f t="shared" si="24"/>
        <v>17883</v>
      </c>
      <c r="M103" s="230">
        <v>2228</v>
      </c>
      <c r="N103" s="230">
        <v>3751</v>
      </c>
      <c r="O103" s="230">
        <v>2458</v>
      </c>
      <c r="P103" s="230">
        <v>40</v>
      </c>
      <c r="Q103" s="230">
        <v>85</v>
      </c>
      <c r="R103" s="230">
        <v>75</v>
      </c>
      <c r="S103" s="230">
        <v>0</v>
      </c>
      <c r="T103" s="230">
        <v>85</v>
      </c>
      <c r="U103" s="230"/>
      <c r="V103" s="229">
        <f t="shared" si="25"/>
        <v>8722</v>
      </c>
      <c r="W103" s="204">
        <v>1023</v>
      </c>
      <c r="X103" s="204"/>
      <c r="Y103" s="204"/>
      <c r="Z103" s="214">
        <f t="shared" si="26"/>
        <v>27628</v>
      </c>
      <c r="AA103" s="215">
        <f t="shared" si="27"/>
        <v>19324</v>
      </c>
    </row>
    <row r="104" spans="1:27" x14ac:dyDescent="0.25">
      <c r="A104" s="136" t="s">
        <v>178</v>
      </c>
      <c r="B104" s="137" t="s">
        <v>304</v>
      </c>
      <c r="C104" s="230">
        <v>2764</v>
      </c>
      <c r="D104" s="230">
        <v>2048</v>
      </c>
      <c r="E104" s="230">
        <v>1158</v>
      </c>
      <c r="F104" s="230">
        <v>136</v>
      </c>
      <c r="G104" s="230">
        <v>30</v>
      </c>
      <c r="H104" s="230">
        <v>0</v>
      </c>
      <c r="I104" s="230">
        <v>33</v>
      </c>
      <c r="J104" s="230">
        <v>207</v>
      </c>
      <c r="K104" s="230">
        <v>0</v>
      </c>
      <c r="L104" s="232">
        <f t="shared" si="24"/>
        <v>6376</v>
      </c>
      <c r="M104" s="230">
        <v>1953</v>
      </c>
      <c r="N104" s="230">
        <v>3346</v>
      </c>
      <c r="O104" s="230">
        <v>2156</v>
      </c>
      <c r="P104" s="230">
        <v>20</v>
      </c>
      <c r="Q104" s="230">
        <v>29</v>
      </c>
      <c r="R104" s="230">
        <v>50</v>
      </c>
      <c r="S104" s="230">
        <v>4</v>
      </c>
      <c r="T104" s="230">
        <v>21</v>
      </c>
      <c r="U104" s="230"/>
      <c r="V104" s="229">
        <f t="shared" si="25"/>
        <v>7579</v>
      </c>
      <c r="W104" s="209">
        <v>703</v>
      </c>
      <c r="X104" s="209"/>
      <c r="Y104" s="209"/>
      <c r="Z104" s="214">
        <f t="shared" si="26"/>
        <v>14658</v>
      </c>
      <c r="AA104" s="217">
        <f>C104+D104+F104+K104+M104+N104+P104+U104</f>
        <v>10267</v>
      </c>
    </row>
    <row r="105" spans="1:27" ht="13.8" thickBot="1" x14ac:dyDescent="0.3">
      <c r="A105" s="136" t="s">
        <v>190</v>
      </c>
      <c r="B105" s="138" t="s">
        <v>364</v>
      </c>
      <c r="C105" s="265">
        <v>5183</v>
      </c>
      <c r="D105" s="265">
        <v>2673</v>
      </c>
      <c r="E105" s="265">
        <v>2285</v>
      </c>
      <c r="F105" s="265">
        <v>103</v>
      </c>
      <c r="G105" s="265">
        <v>168</v>
      </c>
      <c r="H105" s="265">
        <v>98</v>
      </c>
      <c r="I105" s="265">
        <v>356</v>
      </c>
      <c r="J105" s="265">
        <v>810</v>
      </c>
      <c r="K105" s="265">
        <v>0</v>
      </c>
      <c r="L105" s="239">
        <f t="shared" si="24"/>
        <v>11676</v>
      </c>
      <c r="M105" s="230">
        <v>2255</v>
      </c>
      <c r="N105" s="230">
        <v>3454</v>
      </c>
      <c r="O105" s="230">
        <v>2260</v>
      </c>
      <c r="P105" s="230">
        <v>54</v>
      </c>
      <c r="Q105" s="230">
        <v>112</v>
      </c>
      <c r="R105" s="230">
        <v>0</v>
      </c>
      <c r="S105" s="230">
        <v>0</v>
      </c>
      <c r="T105" s="230">
        <v>5</v>
      </c>
      <c r="U105" s="265"/>
      <c r="V105" s="361">
        <f t="shared" si="25"/>
        <v>8140</v>
      </c>
      <c r="W105" s="209">
        <v>993</v>
      </c>
      <c r="X105" s="209"/>
      <c r="Y105" s="209"/>
      <c r="Z105" s="214">
        <f t="shared" si="26"/>
        <v>20809</v>
      </c>
      <c r="AA105" s="217">
        <f>C105+D105+F105+K105+M105+N105+P105+U105</f>
        <v>13722</v>
      </c>
    </row>
    <row r="106" spans="1:27" s="109" customFormat="1" ht="14.4" thickBot="1" x14ac:dyDescent="0.3">
      <c r="A106" s="134"/>
      <c r="B106" s="159" t="s">
        <v>462</v>
      </c>
      <c r="C106" s="293">
        <f t="shared" ref="C106:AA106" si="28">SUM(C90:C105)</f>
        <v>38869</v>
      </c>
      <c r="D106" s="157">
        <f t="shared" si="28"/>
        <v>25553</v>
      </c>
      <c r="E106" s="157">
        <f t="shared" si="28"/>
        <v>17157</v>
      </c>
      <c r="F106" s="157">
        <f t="shared" si="28"/>
        <v>1069</v>
      </c>
      <c r="G106" s="157">
        <f t="shared" si="28"/>
        <v>1185</v>
      </c>
      <c r="H106" s="157">
        <f t="shared" si="28"/>
        <v>218</v>
      </c>
      <c r="I106" s="157">
        <f t="shared" si="28"/>
        <v>871</v>
      </c>
      <c r="J106" s="157">
        <f t="shared" si="28"/>
        <v>4625</v>
      </c>
      <c r="K106" s="259">
        <f t="shared" si="28"/>
        <v>6</v>
      </c>
      <c r="L106" s="260">
        <f t="shared" ref="L106" si="29">SUM(L90:L105)</f>
        <v>89553</v>
      </c>
      <c r="M106" s="330">
        <f t="shared" si="28"/>
        <v>20866</v>
      </c>
      <c r="N106" s="331">
        <f t="shared" si="28"/>
        <v>28734</v>
      </c>
      <c r="O106" s="331">
        <f t="shared" si="28"/>
        <v>19165</v>
      </c>
      <c r="P106" s="331">
        <f t="shared" si="28"/>
        <v>530</v>
      </c>
      <c r="Q106" s="331">
        <f t="shared" si="28"/>
        <v>775</v>
      </c>
      <c r="R106" s="331">
        <f t="shared" si="28"/>
        <v>321</v>
      </c>
      <c r="S106" s="331">
        <f t="shared" si="28"/>
        <v>4</v>
      </c>
      <c r="T106" s="331">
        <f t="shared" si="28"/>
        <v>698</v>
      </c>
      <c r="U106" s="264">
        <f t="shared" si="28"/>
        <v>0</v>
      </c>
      <c r="V106" s="387">
        <f t="shared" si="28"/>
        <v>71093</v>
      </c>
      <c r="W106" s="210">
        <f t="shared" si="28"/>
        <v>44213</v>
      </c>
      <c r="X106" s="210">
        <f>SUM(X90:X105)</f>
        <v>0</v>
      </c>
      <c r="Y106" s="210">
        <f>SUM(Y90:Y105)</f>
        <v>0</v>
      </c>
      <c r="Z106" s="210">
        <f t="shared" si="28"/>
        <v>204859</v>
      </c>
      <c r="AA106" s="210">
        <f t="shared" si="28"/>
        <v>115627</v>
      </c>
    </row>
    <row r="107" spans="1:27" ht="18" thickBot="1" x14ac:dyDescent="0.35">
      <c r="A107" s="135"/>
      <c r="B107" s="169" t="s">
        <v>463</v>
      </c>
      <c r="C107" s="186">
        <f t="shared" ref="C107:AA107" si="30">C106+C89+C72+C55+C37+C23</f>
        <v>306534</v>
      </c>
      <c r="D107" s="162">
        <f t="shared" si="30"/>
        <v>132809</v>
      </c>
      <c r="E107" s="162">
        <f t="shared" si="30"/>
        <v>131115</v>
      </c>
      <c r="F107" s="162">
        <f t="shared" si="30"/>
        <v>6841</v>
      </c>
      <c r="G107" s="162">
        <f t="shared" si="30"/>
        <v>6972</v>
      </c>
      <c r="H107" s="162">
        <f t="shared" si="30"/>
        <v>1073</v>
      </c>
      <c r="I107" s="162">
        <f t="shared" si="30"/>
        <v>8999</v>
      </c>
      <c r="J107" s="162">
        <f t="shared" si="30"/>
        <v>54982</v>
      </c>
      <c r="K107" s="163">
        <f t="shared" si="30"/>
        <v>1720</v>
      </c>
      <c r="L107" s="187">
        <f t="shared" si="30"/>
        <v>651045</v>
      </c>
      <c r="M107" s="186">
        <f t="shared" si="30"/>
        <v>100663</v>
      </c>
      <c r="N107" s="162">
        <f t="shared" si="30"/>
        <v>128572</v>
      </c>
      <c r="O107" s="162">
        <f t="shared" si="30"/>
        <v>83236</v>
      </c>
      <c r="P107" s="162">
        <f t="shared" si="30"/>
        <v>3268</v>
      </c>
      <c r="Q107" s="162">
        <f t="shared" si="30"/>
        <v>4082</v>
      </c>
      <c r="R107" s="162">
        <f t="shared" si="30"/>
        <v>3989</v>
      </c>
      <c r="S107" s="162">
        <f t="shared" si="30"/>
        <v>589</v>
      </c>
      <c r="T107" s="162">
        <f t="shared" si="30"/>
        <v>3799</v>
      </c>
      <c r="U107" s="163">
        <f t="shared" si="30"/>
        <v>204</v>
      </c>
      <c r="V107" s="187">
        <f t="shared" si="30"/>
        <v>328402</v>
      </c>
      <c r="W107" s="212">
        <f t="shared" si="30"/>
        <v>178327</v>
      </c>
      <c r="X107" s="212">
        <f t="shared" si="30"/>
        <v>2913</v>
      </c>
      <c r="Y107" s="212">
        <f t="shared" si="30"/>
        <v>500</v>
      </c>
      <c r="Z107" s="212">
        <f t="shared" si="30"/>
        <v>1161187</v>
      </c>
      <c r="AA107" s="212">
        <f t="shared" si="30"/>
        <v>680611</v>
      </c>
    </row>
    <row r="109" spans="1:27" x14ac:dyDescent="0.25">
      <c r="L109" s="122"/>
      <c r="U109" s="122"/>
      <c r="V109" s="122"/>
      <c r="W109" s="122"/>
      <c r="X109" s="122"/>
      <c r="Y109" s="122"/>
      <c r="Z109" s="122"/>
      <c r="AA109" s="122"/>
    </row>
    <row r="111" spans="1:27" x14ac:dyDescent="0.25">
      <c r="E111" s="122"/>
      <c r="J111" s="122"/>
      <c r="M111" s="122"/>
      <c r="N111" s="122"/>
      <c r="O111" s="122"/>
      <c r="P111" s="122"/>
      <c r="Q111" s="122"/>
      <c r="R111" s="122"/>
      <c r="S111" s="122"/>
      <c r="T111" s="122"/>
      <c r="U111" s="122"/>
    </row>
    <row r="112" spans="1:27" x14ac:dyDescent="0.25">
      <c r="J112" s="122"/>
    </row>
    <row r="116" spans="22:22" x14ac:dyDescent="0.25">
      <c r="V116" s="122"/>
    </row>
    <row r="129" ht="12.75" hidden="1" customHeight="1" x14ac:dyDescent="0.25"/>
  </sheetData>
  <mergeCells count="5">
    <mergeCell ref="B1:B3"/>
    <mergeCell ref="C4:L4"/>
    <mergeCell ref="M4:V4"/>
    <mergeCell ref="C1:Z1"/>
    <mergeCell ref="C2:Z2"/>
  </mergeCells>
  <conditionalFormatting sqref="W6:Y22 W24:Y36 W38:Y54 W56:Y71 W73:Y88">
    <cfRule type="cellIs" dxfId="37" priority="1" stopIfTrue="1" operator="notBetween">
      <formula>-2000</formula>
      <formula>2000</formula>
    </cfRule>
  </conditionalFormatting>
  <conditionalFormatting sqref="V3">
    <cfRule type="cellIs" dxfId="36" priority="4" stopIfTrue="1" operator="greaterThan">
      <formula>10</formula>
    </cfRule>
    <cfRule type="cellIs" dxfId="35" priority="5" stopIfTrue="1" operator="lessThan">
      <formula>10</formula>
    </cfRule>
  </conditionalFormatting>
  <conditionalFormatting sqref="W90:Y105">
    <cfRule type="cellIs" dxfId="34" priority="3" stopIfTrue="1" operator="notBetween">
      <formula>-2000</formula>
      <formula>2000</formula>
    </cfRule>
  </conditionalFormatting>
  <conditionalFormatting sqref="W18:Y18">
    <cfRule type="cellIs" dxfId="33" priority="2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55" fitToHeight="4" orientation="landscape" r:id="rId1"/>
  <headerFooter alignWithMargins="0">
    <oddFooter xml:space="preserve">&amp;L&amp;8&amp;Z&amp;F&amp;A&amp;10
</oddFooter>
  </headerFooter>
  <ignoredErrors>
    <ignoredError sqref="L23 V23 L72 L55 V55 V72 V89 L106 Z46:Z48 Z72:AA72 Z23:AA23 Z37:AA37 Z55:AA55 AA89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AO125"/>
  <sheetViews>
    <sheetView showZeros="0" zoomScale="90" zoomScaleNormal="90" zoomScaleSheetLayoutView="50" workbookViewId="0">
      <pane xSplit="2" ySplit="5" topLeftCell="V99" activePane="bottomRight" state="frozen"/>
      <selection sqref="A1:XFD1048576"/>
      <selection pane="topRight" sqref="A1:XFD1048576"/>
      <selection pane="bottomLeft" sqref="A1:XFD1048576"/>
      <selection pane="bottomRight" activeCell="Z48" sqref="Z48"/>
    </sheetView>
  </sheetViews>
  <sheetFormatPr defaultRowHeight="13.2" x14ac:dyDescent="0.25"/>
  <cols>
    <col min="1" max="1" width="6.33203125" hidden="1" customWidth="1"/>
    <col min="2" max="2" width="57.6640625" bestFit="1" customWidth="1"/>
    <col min="3" max="5" width="13.109375" customWidth="1"/>
    <col min="6" max="6" width="16" customWidth="1"/>
    <col min="7" max="7" width="15.109375" customWidth="1"/>
    <col min="8" max="9" width="11.44140625" customWidth="1"/>
    <col min="10" max="10" width="11.5546875" customWidth="1"/>
    <col min="11" max="11" width="16.5546875" customWidth="1"/>
    <col min="12" max="12" width="13.5546875" customWidth="1"/>
    <col min="13" max="13" width="11.5546875" customWidth="1"/>
    <col min="14" max="14" width="13.109375" customWidth="1"/>
    <col min="15" max="15" width="11.5546875" customWidth="1"/>
    <col min="16" max="16" width="14.44140625" customWidth="1"/>
    <col min="17" max="17" width="13.5546875" customWidth="1"/>
    <col min="18" max="18" width="10.33203125" customWidth="1"/>
    <col min="19" max="19" width="10.109375" customWidth="1"/>
    <col min="20" max="20" width="9.6640625" customWidth="1"/>
    <col min="21" max="21" width="14.6640625" customWidth="1"/>
    <col min="22" max="22" width="13.5546875" customWidth="1"/>
    <col min="23" max="23" width="16.109375" customWidth="1"/>
    <col min="24" max="25" width="15.109375" customWidth="1"/>
    <col min="26" max="26" width="15.5546875" bestFit="1" customWidth="1"/>
    <col min="27" max="27" width="13.109375" bestFit="1" customWidth="1"/>
    <col min="28" max="28" width="6" customWidth="1"/>
    <col min="29" max="29" width="11" customWidth="1"/>
  </cols>
  <sheetData>
    <row r="1" spans="1:41" s="111" customFormat="1" ht="22.8" x14ac:dyDescent="0.35">
      <c r="B1" s="544"/>
      <c r="C1" s="546" t="s">
        <v>263</v>
      </c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6"/>
      <c r="S1" s="546"/>
      <c r="T1" s="546"/>
      <c r="U1" s="546"/>
      <c r="V1" s="546"/>
      <c r="W1" s="546"/>
      <c r="X1" s="546"/>
      <c r="Y1" s="546"/>
      <c r="Z1" s="546"/>
      <c r="AD1" s="520"/>
      <c r="AE1" s="520"/>
      <c r="AF1" s="520"/>
      <c r="AG1" s="520"/>
      <c r="AH1" s="520"/>
      <c r="AI1" s="520"/>
      <c r="AJ1" s="520"/>
      <c r="AK1" s="520"/>
      <c r="AL1" s="520"/>
      <c r="AM1" s="520"/>
      <c r="AN1" s="520"/>
      <c r="AO1"/>
    </row>
    <row r="2" spans="1:41" s="111" customFormat="1" ht="22.8" x14ac:dyDescent="0.35">
      <c r="B2" s="544"/>
      <c r="C2" s="550"/>
      <c r="D2" s="550"/>
      <c r="E2" s="550"/>
      <c r="F2" s="550"/>
      <c r="G2" s="550"/>
      <c r="H2" s="550"/>
      <c r="I2" s="550"/>
      <c r="J2" s="550"/>
      <c r="K2" s="550"/>
      <c r="L2" s="550"/>
      <c r="M2" s="550"/>
      <c r="N2" s="550"/>
      <c r="O2" s="550"/>
      <c r="P2" s="550"/>
      <c r="Q2" s="550"/>
      <c r="R2" s="550"/>
      <c r="S2" s="550"/>
      <c r="T2" s="550"/>
      <c r="U2" s="550"/>
      <c r="V2" s="550"/>
      <c r="W2" s="550"/>
      <c r="X2" s="550"/>
      <c r="Y2" s="550"/>
      <c r="Z2" s="550"/>
      <c r="AD2" s="520"/>
      <c r="AE2" s="520"/>
      <c r="AF2" s="520"/>
      <c r="AG2" s="520"/>
      <c r="AH2" s="520"/>
      <c r="AI2" s="520"/>
      <c r="AJ2" s="520"/>
      <c r="AK2" s="520"/>
      <c r="AL2" s="520"/>
      <c r="AM2" s="520"/>
      <c r="AN2" s="520"/>
      <c r="AO2"/>
    </row>
    <row r="3" spans="1:41" s="111" customFormat="1" ht="21" thickBot="1" x14ac:dyDescent="0.4">
      <c r="B3" s="545"/>
      <c r="C3" s="112"/>
      <c r="D3" s="113"/>
      <c r="E3" s="114"/>
      <c r="F3" s="114"/>
      <c r="G3" s="114"/>
      <c r="H3" s="114"/>
      <c r="I3" s="114"/>
      <c r="J3" s="114"/>
      <c r="K3" s="114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D3" s="520"/>
      <c r="AE3" s="520"/>
      <c r="AF3" s="520"/>
      <c r="AG3" s="520"/>
      <c r="AH3" s="520"/>
      <c r="AI3" s="520"/>
      <c r="AJ3" s="520"/>
      <c r="AK3" s="520"/>
      <c r="AL3" s="520"/>
      <c r="AM3" s="520"/>
      <c r="AN3" s="520"/>
      <c r="AO3"/>
    </row>
    <row r="4" spans="1:41" ht="21" customHeight="1" thickTop="1" thickBot="1" x14ac:dyDescent="0.3">
      <c r="A4" s="145"/>
      <c r="B4" s="167"/>
      <c r="C4" s="547" t="s">
        <v>253</v>
      </c>
      <c r="D4" s="548"/>
      <c r="E4" s="548"/>
      <c r="F4" s="548"/>
      <c r="G4" s="548"/>
      <c r="H4" s="548"/>
      <c r="I4" s="548"/>
      <c r="J4" s="548"/>
      <c r="K4" s="548"/>
      <c r="L4" s="549"/>
      <c r="M4" s="547" t="s">
        <v>262</v>
      </c>
      <c r="N4" s="548"/>
      <c r="O4" s="548"/>
      <c r="P4" s="548"/>
      <c r="Q4" s="548"/>
      <c r="R4" s="548"/>
      <c r="S4" s="548"/>
      <c r="T4" s="548"/>
      <c r="U4" s="548"/>
      <c r="V4" s="549"/>
      <c r="W4" s="202"/>
      <c r="X4" s="202"/>
      <c r="Y4" s="272" t="s">
        <v>472</v>
      </c>
      <c r="Z4" s="202"/>
      <c r="AA4" s="202"/>
      <c r="AD4" s="520"/>
      <c r="AE4" s="520"/>
      <c r="AF4" s="520"/>
      <c r="AG4" s="520"/>
      <c r="AH4" s="520"/>
      <c r="AI4" s="520"/>
      <c r="AJ4" s="520"/>
      <c r="AK4" s="520"/>
      <c r="AL4" s="520"/>
      <c r="AM4" s="520"/>
      <c r="AN4" s="520"/>
    </row>
    <row r="5" spans="1:41" ht="45" customHeight="1" thickBot="1" x14ac:dyDescent="0.3">
      <c r="A5" s="146" t="s">
        <v>360</v>
      </c>
      <c r="B5" s="168" t="s">
        <v>456</v>
      </c>
      <c r="C5" s="315" t="s">
        <v>254</v>
      </c>
      <c r="D5" s="316" t="s">
        <v>219</v>
      </c>
      <c r="E5" s="317" t="s">
        <v>255</v>
      </c>
      <c r="F5" s="318" t="s">
        <v>256</v>
      </c>
      <c r="G5" s="318" t="s">
        <v>257</v>
      </c>
      <c r="H5" s="318" t="s">
        <v>258</v>
      </c>
      <c r="I5" s="318" t="s">
        <v>259</v>
      </c>
      <c r="J5" s="318" t="s">
        <v>260</v>
      </c>
      <c r="K5" s="319" t="s">
        <v>261</v>
      </c>
      <c r="L5" s="325" t="s">
        <v>208</v>
      </c>
      <c r="M5" s="324" t="s">
        <v>254</v>
      </c>
      <c r="N5" s="316" t="s">
        <v>219</v>
      </c>
      <c r="O5" s="317" t="s">
        <v>255</v>
      </c>
      <c r="P5" s="318" t="s">
        <v>256</v>
      </c>
      <c r="Q5" s="318" t="s">
        <v>257</v>
      </c>
      <c r="R5" s="318" t="s">
        <v>258</v>
      </c>
      <c r="S5" s="318" t="s">
        <v>259</v>
      </c>
      <c r="T5" s="318" t="s">
        <v>260</v>
      </c>
      <c r="U5" s="152" t="s">
        <v>261</v>
      </c>
      <c r="V5" s="171" t="s">
        <v>208</v>
      </c>
      <c r="W5" s="203" t="s">
        <v>266</v>
      </c>
      <c r="X5" s="203" t="s">
        <v>473</v>
      </c>
      <c r="Y5" s="203" t="s">
        <v>474</v>
      </c>
      <c r="Z5" s="213" t="s">
        <v>264</v>
      </c>
      <c r="AA5" s="213" t="s">
        <v>267</v>
      </c>
      <c r="AD5" s="520"/>
      <c r="AE5" s="520"/>
      <c r="AF5" s="520"/>
      <c r="AG5" s="520"/>
      <c r="AH5" s="520"/>
      <c r="AI5" s="520"/>
      <c r="AJ5" s="520"/>
      <c r="AK5" s="520"/>
      <c r="AL5" s="520"/>
      <c r="AM5" s="520"/>
      <c r="AN5" s="520"/>
      <c r="AO5" s="368"/>
    </row>
    <row r="6" spans="1:41" ht="12.75" customHeight="1" x14ac:dyDescent="0.25">
      <c r="A6" s="136" t="s">
        <v>68</v>
      </c>
      <c r="B6" s="139" t="s">
        <v>268</v>
      </c>
      <c r="C6" s="521">
        <v>2886</v>
      </c>
      <c r="D6" s="521">
        <v>811</v>
      </c>
      <c r="E6" s="521">
        <v>884</v>
      </c>
      <c r="F6" s="521">
        <v>98</v>
      </c>
      <c r="G6" s="521">
        <v>46</v>
      </c>
      <c r="H6" s="521">
        <v>1</v>
      </c>
      <c r="I6" s="521">
        <v>22</v>
      </c>
      <c r="J6" s="521">
        <v>292</v>
      </c>
      <c r="K6" s="521">
        <v>0</v>
      </c>
      <c r="L6" s="438">
        <f>SUM(C6:K6)</f>
        <v>5040</v>
      </c>
      <c r="M6" s="521">
        <v>0</v>
      </c>
      <c r="N6" s="521">
        <v>0</v>
      </c>
      <c r="O6" s="521">
        <v>0</v>
      </c>
      <c r="P6" s="521">
        <v>0</v>
      </c>
      <c r="Q6" s="521">
        <v>0</v>
      </c>
      <c r="R6" s="521">
        <v>0</v>
      </c>
      <c r="S6" s="521">
        <v>0</v>
      </c>
      <c r="T6" s="521">
        <v>0</v>
      </c>
      <c r="U6" s="188"/>
      <c r="V6" s="176">
        <f>SUM(M6:U6)</f>
        <v>0</v>
      </c>
      <c r="W6" s="204">
        <v>1010</v>
      </c>
      <c r="X6" s="204"/>
      <c r="Y6" s="204"/>
      <c r="Z6" s="214">
        <f>L6+V6+W6+X6+Y6</f>
        <v>6050</v>
      </c>
      <c r="AA6" s="215">
        <f>C6+D6+F6+K6+M6+N6+P6+U6</f>
        <v>3795</v>
      </c>
      <c r="AD6" s="520"/>
      <c r="AE6" s="520"/>
      <c r="AF6" s="520"/>
      <c r="AG6" s="520"/>
      <c r="AH6" s="520"/>
      <c r="AI6" s="520"/>
      <c r="AJ6" s="520"/>
      <c r="AK6" s="520"/>
      <c r="AL6" s="520"/>
      <c r="AM6" s="520"/>
      <c r="AN6" s="520"/>
    </row>
    <row r="7" spans="1:41" x14ac:dyDescent="0.25">
      <c r="A7" s="136" t="s">
        <v>69</v>
      </c>
      <c r="B7" s="137" t="s">
        <v>269</v>
      </c>
      <c r="C7" s="521">
        <v>637</v>
      </c>
      <c r="D7" s="521">
        <v>346</v>
      </c>
      <c r="E7" s="521">
        <v>35</v>
      </c>
      <c r="F7" s="521">
        <v>25</v>
      </c>
      <c r="G7" s="521">
        <v>13</v>
      </c>
      <c r="H7" s="521">
        <v>0</v>
      </c>
      <c r="I7" s="521">
        <v>40</v>
      </c>
      <c r="J7" s="521">
        <v>613</v>
      </c>
      <c r="K7" s="521">
        <v>0</v>
      </c>
      <c r="L7" s="438">
        <f t="shared" ref="L7:L22" si="0">SUM(C7:K7)</f>
        <v>1709</v>
      </c>
      <c r="M7" s="521">
        <v>214</v>
      </c>
      <c r="N7" s="521">
        <v>93</v>
      </c>
      <c r="O7" s="521">
        <v>19</v>
      </c>
      <c r="P7" s="521">
        <v>2</v>
      </c>
      <c r="Q7" s="521">
        <v>0</v>
      </c>
      <c r="R7" s="521">
        <v>0</v>
      </c>
      <c r="S7" s="521">
        <v>0</v>
      </c>
      <c r="T7" s="521">
        <v>36</v>
      </c>
      <c r="U7" s="189"/>
      <c r="V7" s="176">
        <f>SUM(M7:U7)</f>
        <v>364</v>
      </c>
      <c r="W7" s="205"/>
      <c r="X7" s="204"/>
      <c r="Y7" s="204"/>
      <c r="Z7" s="214">
        <f t="shared" ref="Z7:Z70" si="1">L7+V7+W7+X7+Y7</f>
        <v>2073</v>
      </c>
      <c r="AA7" s="215">
        <f>C7+D7+F7+K7+M7+N7+P7+U7</f>
        <v>1317</v>
      </c>
      <c r="AD7" s="520"/>
      <c r="AE7" s="520"/>
      <c r="AF7" s="520"/>
      <c r="AG7" s="520"/>
      <c r="AH7" s="520"/>
      <c r="AI7" s="520"/>
      <c r="AJ7" s="520"/>
      <c r="AK7" s="520"/>
      <c r="AL7" s="520"/>
      <c r="AM7" s="520"/>
      <c r="AN7" s="520"/>
    </row>
    <row r="8" spans="1:41" x14ac:dyDescent="0.25">
      <c r="A8" s="136" t="s">
        <v>73</v>
      </c>
      <c r="B8" s="137" t="s">
        <v>270</v>
      </c>
      <c r="C8" s="521">
        <v>36</v>
      </c>
      <c r="D8" s="521">
        <v>8</v>
      </c>
      <c r="E8" s="521">
        <v>1</v>
      </c>
      <c r="F8" s="521">
        <v>0</v>
      </c>
      <c r="G8" s="521">
        <v>0</v>
      </c>
      <c r="H8" s="521">
        <v>0</v>
      </c>
      <c r="I8" s="521">
        <v>0</v>
      </c>
      <c r="J8" s="521">
        <v>25</v>
      </c>
      <c r="K8" s="521">
        <v>0</v>
      </c>
      <c r="L8" s="438">
        <f t="shared" si="0"/>
        <v>70</v>
      </c>
      <c r="M8" s="521">
        <v>198</v>
      </c>
      <c r="N8" s="521">
        <v>312</v>
      </c>
      <c r="O8" s="521">
        <v>33</v>
      </c>
      <c r="P8" s="521">
        <v>3</v>
      </c>
      <c r="Q8" s="521">
        <v>0</v>
      </c>
      <c r="R8" s="521">
        <v>0</v>
      </c>
      <c r="S8" s="521">
        <v>3</v>
      </c>
      <c r="T8" s="521">
        <v>32</v>
      </c>
      <c r="U8" s="189"/>
      <c r="V8" s="176">
        <f>SUM(M8:U8)</f>
        <v>581</v>
      </c>
      <c r="W8" s="205"/>
      <c r="X8" s="204"/>
      <c r="Y8" s="204"/>
      <c r="Z8" s="214">
        <f t="shared" si="1"/>
        <v>651</v>
      </c>
      <c r="AA8" s="215">
        <f>C8+D8+F8+K8+M8+N8+P8+U8</f>
        <v>557</v>
      </c>
      <c r="AD8" s="520"/>
      <c r="AE8" s="520"/>
      <c r="AF8" s="520"/>
      <c r="AG8" s="520"/>
      <c r="AH8" s="520"/>
      <c r="AI8" s="520"/>
      <c r="AJ8" s="520"/>
      <c r="AK8" s="520"/>
      <c r="AL8" s="520"/>
      <c r="AM8" s="520"/>
      <c r="AN8" s="520"/>
    </row>
    <row r="9" spans="1:41" x14ac:dyDescent="0.25">
      <c r="A9" s="136" t="s">
        <v>74</v>
      </c>
      <c r="B9" s="137" t="s">
        <v>358</v>
      </c>
      <c r="C9" s="128"/>
      <c r="D9" s="128"/>
      <c r="E9" s="128"/>
      <c r="F9" s="128"/>
      <c r="G9" s="128"/>
      <c r="H9" s="128"/>
      <c r="I9" s="128"/>
      <c r="J9" s="128"/>
      <c r="K9" s="128"/>
      <c r="L9" s="438">
        <f t="shared" si="0"/>
        <v>0</v>
      </c>
      <c r="M9" s="385"/>
      <c r="N9" s="385"/>
      <c r="O9" s="385"/>
      <c r="P9" s="385"/>
      <c r="Q9" s="385"/>
      <c r="R9" s="385"/>
      <c r="S9" s="385"/>
      <c r="T9" s="385"/>
      <c r="U9" s="147"/>
      <c r="V9" s="229">
        <f>SUM(M9:U9)</f>
        <v>0</v>
      </c>
      <c r="W9" s="204">
        <v>12333</v>
      </c>
      <c r="X9" s="204"/>
      <c r="Y9" s="204"/>
      <c r="Z9" s="214">
        <f t="shared" si="1"/>
        <v>12333</v>
      </c>
      <c r="AA9" s="215">
        <f>C9+D9+F9+K9+M9+N9+P9+U9</f>
        <v>0</v>
      </c>
      <c r="AD9" s="520"/>
      <c r="AE9" s="520"/>
      <c r="AF9" s="520"/>
      <c r="AG9" s="520"/>
      <c r="AH9" s="520"/>
      <c r="AI9" s="520"/>
      <c r="AJ9" s="520"/>
      <c r="AK9" s="520"/>
      <c r="AL9" s="520"/>
      <c r="AM9" s="520"/>
      <c r="AN9" s="520"/>
    </row>
    <row r="10" spans="1:41" x14ac:dyDescent="0.25">
      <c r="A10" s="136" t="s">
        <v>94</v>
      </c>
      <c r="B10" s="137" t="s">
        <v>271</v>
      </c>
      <c r="C10" s="521">
        <v>1033</v>
      </c>
      <c r="D10" s="521">
        <v>612</v>
      </c>
      <c r="E10" s="521">
        <v>139</v>
      </c>
      <c r="F10" s="521">
        <v>119</v>
      </c>
      <c r="G10" s="521">
        <v>42</v>
      </c>
      <c r="H10" s="521">
        <v>50</v>
      </c>
      <c r="I10" s="521">
        <v>65</v>
      </c>
      <c r="J10" s="521">
        <v>121</v>
      </c>
      <c r="K10" s="521">
        <v>0</v>
      </c>
      <c r="L10" s="438">
        <f t="shared" si="0"/>
        <v>2181</v>
      </c>
      <c r="M10" s="521">
        <v>1380</v>
      </c>
      <c r="N10" s="521">
        <v>2526</v>
      </c>
      <c r="O10" s="521">
        <v>412</v>
      </c>
      <c r="P10" s="521">
        <v>169</v>
      </c>
      <c r="Q10" s="521">
        <v>79</v>
      </c>
      <c r="R10" s="521">
        <v>160</v>
      </c>
      <c r="S10" s="521">
        <v>5</v>
      </c>
      <c r="T10" s="521">
        <v>65</v>
      </c>
      <c r="U10" s="230"/>
      <c r="V10" s="229">
        <f t="shared" ref="V10:V22" si="2">SUM(M10:U10)</f>
        <v>4796</v>
      </c>
      <c r="W10" s="204">
        <v>1630</v>
      </c>
      <c r="X10" s="204"/>
      <c r="Y10" s="204"/>
      <c r="Z10" s="214">
        <f t="shared" si="1"/>
        <v>8607</v>
      </c>
      <c r="AA10" s="215">
        <f t="shared" ref="AA10:AA22" si="3">C10+D10+F10+K10+M10+N10+P10+U10</f>
        <v>5839</v>
      </c>
      <c r="AD10" s="520"/>
      <c r="AE10" s="520"/>
      <c r="AF10" s="520"/>
      <c r="AG10" s="520"/>
      <c r="AH10" s="520"/>
      <c r="AI10" s="520"/>
      <c r="AJ10" s="520"/>
      <c r="AK10" s="520"/>
      <c r="AL10" s="520"/>
      <c r="AM10" s="520"/>
      <c r="AN10" s="520"/>
    </row>
    <row r="11" spans="1:41" x14ac:dyDescent="0.25">
      <c r="A11" s="136" t="s">
        <v>95</v>
      </c>
      <c r="B11" s="137" t="s">
        <v>272</v>
      </c>
      <c r="C11" s="521">
        <v>0</v>
      </c>
      <c r="D11" s="521">
        <v>0</v>
      </c>
      <c r="E11" s="521">
        <v>21</v>
      </c>
      <c r="F11" s="521">
        <v>0</v>
      </c>
      <c r="G11" s="521">
        <v>0</v>
      </c>
      <c r="H11" s="521">
        <v>0</v>
      </c>
      <c r="I11" s="521">
        <v>0</v>
      </c>
      <c r="J11" s="521">
        <v>321</v>
      </c>
      <c r="K11" s="521">
        <v>0</v>
      </c>
      <c r="L11" s="438">
        <f t="shared" si="0"/>
        <v>342</v>
      </c>
      <c r="M11" s="521">
        <v>0</v>
      </c>
      <c r="N11" s="521">
        <v>0</v>
      </c>
      <c r="O11" s="521">
        <v>11</v>
      </c>
      <c r="P11" s="521">
        <v>0</v>
      </c>
      <c r="Q11" s="521">
        <v>0</v>
      </c>
      <c r="R11" s="521">
        <v>0</v>
      </c>
      <c r="S11" s="521">
        <v>0</v>
      </c>
      <c r="T11" s="521">
        <v>473</v>
      </c>
      <c r="U11" s="230"/>
      <c r="V11" s="229">
        <f t="shared" si="2"/>
        <v>484</v>
      </c>
      <c r="W11" s="205"/>
      <c r="X11" s="204"/>
      <c r="Y11" s="204"/>
      <c r="Z11" s="214">
        <f t="shared" si="1"/>
        <v>826</v>
      </c>
      <c r="AA11" s="215">
        <f t="shared" si="3"/>
        <v>0</v>
      </c>
      <c r="AD11" s="520"/>
      <c r="AE11" s="520"/>
      <c r="AF11" s="520"/>
      <c r="AG11" s="520"/>
      <c r="AH11" s="520"/>
      <c r="AI11" s="520"/>
      <c r="AJ11" s="520"/>
      <c r="AK11" s="520"/>
      <c r="AL11" s="520"/>
      <c r="AM11" s="520"/>
      <c r="AN11" s="520"/>
    </row>
    <row r="12" spans="1:41" x14ac:dyDescent="0.25">
      <c r="A12" s="136" t="s">
        <v>361</v>
      </c>
      <c r="B12" s="137" t="s">
        <v>355</v>
      </c>
      <c r="C12" s="128"/>
      <c r="D12" s="128"/>
      <c r="E12" s="128"/>
      <c r="F12" s="128"/>
      <c r="G12" s="128"/>
      <c r="H12" s="128"/>
      <c r="I12" s="128"/>
      <c r="J12" s="444"/>
      <c r="K12" s="128"/>
      <c r="L12" s="438">
        <f t="shared" si="0"/>
        <v>0</v>
      </c>
      <c r="M12" s="147"/>
      <c r="N12" s="147"/>
      <c r="O12" s="147"/>
      <c r="P12" s="147"/>
      <c r="Q12" s="147"/>
      <c r="R12" s="147"/>
      <c r="S12" s="147"/>
      <c r="T12" s="147"/>
      <c r="U12" s="147"/>
      <c r="V12" s="229">
        <f t="shared" si="2"/>
        <v>0</v>
      </c>
      <c r="W12" s="205"/>
      <c r="X12" s="204">
        <v>69</v>
      </c>
      <c r="Y12" s="204">
        <v>7</v>
      </c>
      <c r="Z12" s="214">
        <f t="shared" si="1"/>
        <v>76</v>
      </c>
      <c r="AA12" s="215">
        <f t="shared" si="3"/>
        <v>0</v>
      </c>
      <c r="AD12" s="520"/>
      <c r="AE12" s="520"/>
      <c r="AF12" s="520"/>
      <c r="AG12" s="520"/>
      <c r="AH12" s="520"/>
      <c r="AI12" s="520"/>
      <c r="AJ12" s="520"/>
      <c r="AK12" s="520"/>
      <c r="AL12" s="520"/>
      <c r="AM12" s="520"/>
      <c r="AN12" s="520"/>
    </row>
    <row r="13" spans="1:41" x14ac:dyDescent="0.25">
      <c r="A13" s="136" t="s">
        <v>106</v>
      </c>
      <c r="B13" s="137" t="s">
        <v>273</v>
      </c>
      <c r="C13" s="521">
        <v>384</v>
      </c>
      <c r="D13" s="521">
        <v>137</v>
      </c>
      <c r="E13" s="521">
        <v>15</v>
      </c>
      <c r="F13" s="521">
        <v>8</v>
      </c>
      <c r="G13" s="521">
        <v>7</v>
      </c>
      <c r="H13" s="521">
        <v>0</v>
      </c>
      <c r="I13" s="521">
        <v>0</v>
      </c>
      <c r="J13" s="521">
        <v>35</v>
      </c>
      <c r="K13" s="521">
        <v>0</v>
      </c>
      <c r="L13" s="438">
        <f t="shared" si="0"/>
        <v>586</v>
      </c>
      <c r="M13" s="521">
        <v>0</v>
      </c>
      <c r="N13" s="521">
        <v>0</v>
      </c>
      <c r="O13" s="521">
        <v>0</v>
      </c>
      <c r="P13" s="521">
        <v>0</v>
      </c>
      <c r="Q13" s="521">
        <v>0</v>
      </c>
      <c r="R13" s="521">
        <v>0</v>
      </c>
      <c r="S13" s="521">
        <v>0</v>
      </c>
      <c r="T13" s="521">
        <v>0</v>
      </c>
      <c r="U13" s="521">
        <v>0</v>
      </c>
      <c r="V13" s="229">
        <f t="shared" si="2"/>
        <v>0</v>
      </c>
      <c r="W13" s="205"/>
      <c r="X13" s="204"/>
      <c r="Y13" s="204"/>
      <c r="Z13" s="214">
        <f t="shared" si="1"/>
        <v>586</v>
      </c>
      <c r="AA13" s="215">
        <f t="shared" si="3"/>
        <v>529</v>
      </c>
      <c r="AD13" s="520"/>
      <c r="AE13" s="520"/>
      <c r="AF13" s="520"/>
      <c r="AG13" s="520"/>
      <c r="AH13" s="520"/>
      <c r="AI13" s="520"/>
      <c r="AJ13" s="520"/>
      <c r="AK13" s="520"/>
      <c r="AL13" s="520"/>
      <c r="AM13" s="520"/>
      <c r="AN13" s="520"/>
    </row>
    <row r="14" spans="1:41" x14ac:dyDescent="0.25">
      <c r="A14" s="136" t="s">
        <v>110</v>
      </c>
      <c r="B14" s="137" t="s">
        <v>274</v>
      </c>
      <c r="C14" s="521">
        <v>4180</v>
      </c>
      <c r="D14" s="521">
        <v>1119</v>
      </c>
      <c r="E14" s="521">
        <v>740</v>
      </c>
      <c r="F14" s="521">
        <v>27</v>
      </c>
      <c r="G14" s="521">
        <v>113</v>
      </c>
      <c r="H14" s="521">
        <v>0</v>
      </c>
      <c r="I14" s="521">
        <v>135</v>
      </c>
      <c r="J14" s="521">
        <v>91</v>
      </c>
      <c r="K14" s="521">
        <v>0</v>
      </c>
      <c r="L14" s="438">
        <f t="shared" si="0"/>
        <v>6405</v>
      </c>
      <c r="M14" s="521">
        <v>121</v>
      </c>
      <c r="N14" s="521">
        <v>50</v>
      </c>
      <c r="O14" s="521">
        <v>41</v>
      </c>
      <c r="P14" s="521">
        <v>2</v>
      </c>
      <c r="Q14" s="521">
        <v>8</v>
      </c>
      <c r="R14" s="521">
        <v>0</v>
      </c>
      <c r="S14" s="521">
        <v>0</v>
      </c>
      <c r="T14" s="521">
        <v>0</v>
      </c>
      <c r="U14" s="521">
        <v>0</v>
      </c>
      <c r="V14" s="229">
        <f t="shared" si="2"/>
        <v>222</v>
      </c>
      <c r="W14" s="205"/>
      <c r="X14" s="204"/>
      <c r="Y14" s="204"/>
      <c r="Z14" s="214">
        <f t="shared" si="1"/>
        <v>6627</v>
      </c>
      <c r="AA14" s="215">
        <f t="shared" si="3"/>
        <v>5499</v>
      </c>
      <c r="AD14" s="520"/>
      <c r="AE14" s="520"/>
      <c r="AF14" s="520"/>
      <c r="AG14" s="520"/>
      <c r="AH14" s="520"/>
      <c r="AI14" s="520"/>
      <c r="AJ14" s="520"/>
      <c r="AK14" s="520"/>
      <c r="AL14" s="520"/>
      <c r="AM14" s="520"/>
      <c r="AN14" s="520"/>
    </row>
    <row r="15" spans="1:41" x14ac:dyDescent="0.25">
      <c r="A15" s="136" t="s">
        <v>119</v>
      </c>
      <c r="B15" s="137" t="s">
        <v>275</v>
      </c>
      <c r="C15" s="521">
        <v>1302</v>
      </c>
      <c r="D15" s="521">
        <v>360</v>
      </c>
      <c r="E15" s="521">
        <v>284</v>
      </c>
      <c r="F15" s="521">
        <v>17</v>
      </c>
      <c r="G15" s="521">
        <v>18</v>
      </c>
      <c r="H15" s="521">
        <v>0</v>
      </c>
      <c r="I15" s="521">
        <v>0</v>
      </c>
      <c r="J15" s="521">
        <v>64</v>
      </c>
      <c r="K15" s="521">
        <v>0</v>
      </c>
      <c r="L15" s="438">
        <f t="shared" si="0"/>
        <v>2045</v>
      </c>
      <c r="M15" s="521">
        <v>230</v>
      </c>
      <c r="N15" s="521">
        <v>253</v>
      </c>
      <c r="O15" s="521">
        <v>15</v>
      </c>
      <c r="P15" s="521">
        <v>7</v>
      </c>
      <c r="Q15" s="521">
        <v>8</v>
      </c>
      <c r="R15" s="521">
        <v>0</v>
      </c>
      <c r="S15" s="521">
        <v>0</v>
      </c>
      <c r="T15" s="521">
        <v>2</v>
      </c>
      <c r="U15" s="521">
        <v>0</v>
      </c>
      <c r="V15" s="229">
        <f t="shared" si="2"/>
        <v>515</v>
      </c>
      <c r="W15" s="205"/>
      <c r="X15" s="204">
        <v>189</v>
      </c>
      <c r="Y15" s="204"/>
      <c r="Z15" s="214">
        <f t="shared" si="1"/>
        <v>2749</v>
      </c>
      <c r="AA15" s="215">
        <f t="shared" si="3"/>
        <v>2169</v>
      </c>
      <c r="AD15" s="520"/>
      <c r="AE15" s="520"/>
      <c r="AF15" s="520"/>
      <c r="AG15" s="520"/>
      <c r="AH15" s="520"/>
      <c r="AI15" s="520"/>
      <c r="AJ15" s="520"/>
      <c r="AK15" s="520"/>
      <c r="AL15" s="520"/>
      <c r="AM15" s="520"/>
      <c r="AN15" s="520"/>
    </row>
    <row r="16" spans="1:41" x14ac:dyDescent="0.25">
      <c r="A16" s="136" t="s">
        <v>121</v>
      </c>
      <c r="B16" s="137" t="s">
        <v>276</v>
      </c>
      <c r="C16" s="521">
        <v>0</v>
      </c>
      <c r="D16" s="521">
        <v>0</v>
      </c>
      <c r="E16" s="521">
        <v>0</v>
      </c>
      <c r="F16" s="521">
        <v>0</v>
      </c>
      <c r="G16" s="521">
        <v>0</v>
      </c>
      <c r="H16" s="521">
        <v>0</v>
      </c>
      <c r="I16" s="521">
        <v>0</v>
      </c>
      <c r="J16" s="521">
        <v>901</v>
      </c>
      <c r="K16" s="521">
        <v>0</v>
      </c>
      <c r="L16" s="438">
        <f t="shared" si="0"/>
        <v>901</v>
      </c>
      <c r="M16" s="521">
        <v>0</v>
      </c>
      <c r="N16" s="521">
        <v>0</v>
      </c>
      <c r="O16" s="521">
        <v>0</v>
      </c>
      <c r="P16" s="521">
        <v>0</v>
      </c>
      <c r="Q16" s="521">
        <v>0</v>
      </c>
      <c r="R16" s="521">
        <v>0</v>
      </c>
      <c r="S16" s="521">
        <v>0</v>
      </c>
      <c r="T16" s="521">
        <v>0</v>
      </c>
      <c r="U16" s="521">
        <v>0</v>
      </c>
      <c r="V16" s="229">
        <f t="shared" si="2"/>
        <v>0</v>
      </c>
      <c r="W16" s="205"/>
      <c r="X16" s="204"/>
      <c r="Y16" s="204"/>
      <c r="Z16" s="214">
        <f t="shared" si="1"/>
        <v>901</v>
      </c>
      <c r="AA16" s="215">
        <f t="shared" si="3"/>
        <v>0</v>
      </c>
      <c r="AD16" s="520"/>
      <c r="AE16" s="520"/>
      <c r="AF16" s="520"/>
      <c r="AG16" s="520"/>
      <c r="AH16" s="520"/>
      <c r="AI16" s="520"/>
      <c r="AJ16" s="520"/>
      <c r="AK16" s="520"/>
      <c r="AL16" s="520"/>
      <c r="AM16" s="520"/>
      <c r="AN16" s="520"/>
    </row>
    <row r="17" spans="1:41" x14ac:dyDescent="0.25">
      <c r="A17" s="136" t="s">
        <v>123</v>
      </c>
      <c r="B17" s="137" t="s">
        <v>277</v>
      </c>
      <c r="C17" s="521">
        <v>87</v>
      </c>
      <c r="D17" s="521">
        <v>74</v>
      </c>
      <c r="E17" s="521">
        <v>9</v>
      </c>
      <c r="F17" s="521">
        <v>4</v>
      </c>
      <c r="G17" s="521">
        <v>2</v>
      </c>
      <c r="H17" s="521">
        <v>0</v>
      </c>
      <c r="I17" s="521">
        <v>0</v>
      </c>
      <c r="J17" s="521">
        <v>6</v>
      </c>
      <c r="K17" s="521">
        <v>0</v>
      </c>
      <c r="L17" s="438">
        <f t="shared" si="0"/>
        <v>182</v>
      </c>
      <c r="M17" s="521">
        <v>152</v>
      </c>
      <c r="N17" s="521">
        <v>129</v>
      </c>
      <c r="O17" s="521">
        <v>48</v>
      </c>
      <c r="P17" s="521">
        <v>7</v>
      </c>
      <c r="Q17" s="521">
        <v>13</v>
      </c>
      <c r="R17" s="521">
        <v>12</v>
      </c>
      <c r="S17" s="521">
        <v>0</v>
      </c>
      <c r="T17" s="521">
        <v>0</v>
      </c>
      <c r="U17" s="521">
        <v>0</v>
      </c>
      <c r="V17" s="229">
        <f t="shared" si="2"/>
        <v>361</v>
      </c>
      <c r="W17" s="204">
        <v>142</v>
      </c>
      <c r="X17" s="204"/>
      <c r="Y17" s="204"/>
      <c r="Z17" s="214">
        <f t="shared" si="1"/>
        <v>685</v>
      </c>
      <c r="AA17" s="215">
        <f t="shared" si="3"/>
        <v>453</v>
      </c>
      <c r="AD17" s="520"/>
      <c r="AE17" s="520"/>
      <c r="AF17" s="520"/>
      <c r="AG17" s="520"/>
      <c r="AH17" s="520"/>
      <c r="AI17" s="520"/>
      <c r="AJ17" s="520"/>
      <c r="AK17" s="520"/>
      <c r="AL17" s="520"/>
      <c r="AM17" s="520"/>
      <c r="AN17" s="520"/>
    </row>
    <row r="18" spans="1:41" x14ac:dyDescent="0.25">
      <c r="A18" s="136" t="s">
        <v>128</v>
      </c>
      <c r="B18" s="137" t="s">
        <v>332</v>
      </c>
      <c r="C18" s="521">
        <v>225</v>
      </c>
      <c r="D18" s="521">
        <v>88</v>
      </c>
      <c r="E18" s="521">
        <v>94</v>
      </c>
      <c r="F18" s="521">
        <v>11</v>
      </c>
      <c r="G18" s="521">
        <v>3</v>
      </c>
      <c r="H18" s="521">
        <v>0</v>
      </c>
      <c r="I18" s="521">
        <v>0</v>
      </c>
      <c r="J18" s="521">
        <v>26</v>
      </c>
      <c r="K18" s="521">
        <v>50</v>
      </c>
      <c r="L18" s="438">
        <f t="shared" si="0"/>
        <v>497</v>
      </c>
      <c r="M18" s="521">
        <v>367</v>
      </c>
      <c r="N18" s="521">
        <v>349</v>
      </c>
      <c r="O18" s="521">
        <v>163</v>
      </c>
      <c r="P18" s="521">
        <v>15</v>
      </c>
      <c r="Q18" s="521">
        <v>6</v>
      </c>
      <c r="R18" s="521">
        <v>28</v>
      </c>
      <c r="S18" s="521">
        <v>0</v>
      </c>
      <c r="T18" s="521">
        <v>94</v>
      </c>
      <c r="U18" s="521">
        <v>29</v>
      </c>
      <c r="V18" s="229">
        <f>SUM(M18:U18)</f>
        <v>1051</v>
      </c>
      <c r="W18" s="205"/>
      <c r="X18" s="204"/>
      <c r="Y18" s="204"/>
      <c r="Z18" s="214">
        <f t="shared" si="1"/>
        <v>1548</v>
      </c>
      <c r="AA18" s="215">
        <f>C18+D18+F18+K18+M18+N18+P18+U18</f>
        <v>1134</v>
      </c>
      <c r="AD18" s="520"/>
      <c r="AE18" s="520"/>
      <c r="AF18" s="520"/>
      <c r="AG18" s="520"/>
      <c r="AH18" s="520"/>
      <c r="AI18" s="520"/>
      <c r="AJ18" s="520"/>
      <c r="AK18" s="520"/>
      <c r="AL18" s="520"/>
      <c r="AM18" s="520"/>
      <c r="AN18" s="520"/>
    </row>
    <row r="19" spans="1:41" x14ac:dyDescent="0.25">
      <c r="A19" s="136" t="s">
        <v>150</v>
      </c>
      <c r="B19" s="137" t="s">
        <v>278</v>
      </c>
      <c r="C19" s="521">
        <v>1845</v>
      </c>
      <c r="D19" s="521">
        <v>200</v>
      </c>
      <c r="E19" s="521">
        <v>714</v>
      </c>
      <c r="F19" s="521">
        <v>53</v>
      </c>
      <c r="G19" s="521">
        <v>9</v>
      </c>
      <c r="H19" s="521">
        <v>0</v>
      </c>
      <c r="I19" s="521">
        <v>3</v>
      </c>
      <c r="J19" s="521">
        <v>307</v>
      </c>
      <c r="K19" s="521">
        <v>2</v>
      </c>
      <c r="L19" s="438">
        <f t="shared" si="0"/>
        <v>3133</v>
      </c>
      <c r="M19" s="521">
        <v>455</v>
      </c>
      <c r="N19" s="521">
        <v>308</v>
      </c>
      <c r="O19" s="521">
        <v>70</v>
      </c>
      <c r="P19" s="521">
        <v>11</v>
      </c>
      <c r="Q19" s="521">
        <v>28</v>
      </c>
      <c r="R19" s="521">
        <v>0</v>
      </c>
      <c r="S19" s="521">
        <v>8</v>
      </c>
      <c r="T19" s="521">
        <v>63</v>
      </c>
      <c r="U19" s="521">
        <v>0</v>
      </c>
      <c r="V19" s="229">
        <f t="shared" si="2"/>
        <v>943</v>
      </c>
      <c r="W19" s="204">
        <v>367</v>
      </c>
      <c r="X19" s="204"/>
      <c r="Y19" s="204"/>
      <c r="Z19" s="214">
        <f t="shared" si="1"/>
        <v>4443</v>
      </c>
      <c r="AA19" s="215">
        <f t="shared" si="3"/>
        <v>2874</v>
      </c>
      <c r="AD19" s="520"/>
      <c r="AE19" s="520"/>
      <c r="AF19" s="520"/>
      <c r="AG19" s="520"/>
      <c r="AH19" s="520"/>
      <c r="AI19" s="520"/>
      <c r="AJ19" s="520"/>
      <c r="AK19" s="520"/>
      <c r="AL19" s="520"/>
      <c r="AM19" s="520"/>
      <c r="AN19" s="520"/>
    </row>
    <row r="20" spans="1:41" x14ac:dyDescent="0.25">
      <c r="A20" s="136" t="s">
        <v>181</v>
      </c>
      <c r="B20" s="137" t="s">
        <v>335</v>
      </c>
      <c r="C20" s="521">
        <v>1415</v>
      </c>
      <c r="D20" s="521">
        <v>1465</v>
      </c>
      <c r="E20" s="521">
        <v>369</v>
      </c>
      <c r="F20" s="521">
        <v>62</v>
      </c>
      <c r="G20" s="521">
        <v>74</v>
      </c>
      <c r="H20" s="521">
        <v>0</v>
      </c>
      <c r="I20" s="521">
        <v>205</v>
      </c>
      <c r="J20" s="521">
        <v>151</v>
      </c>
      <c r="K20" s="521">
        <v>75</v>
      </c>
      <c r="L20" s="438">
        <f t="shared" si="0"/>
        <v>3816</v>
      </c>
      <c r="M20" s="521">
        <v>692</v>
      </c>
      <c r="N20" s="521">
        <v>1289</v>
      </c>
      <c r="O20" s="521">
        <v>315</v>
      </c>
      <c r="P20" s="521">
        <v>79</v>
      </c>
      <c r="Q20" s="521">
        <v>34</v>
      </c>
      <c r="R20" s="521">
        <v>0</v>
      </c>
      <c r="S20" s="521">
        <v>61</v>
      </c>
      <c r="T20" s="521">
        <v>0</v>
      </c>
      <c r="U20" s="521">
        <v>0</v>
      </c>
      <c r="V20" s="229">
        <f>SUM(M20:U20)</f>
        <v>2470</v>
      </c>
      <c r="W20" s="206"/>
      <c r="X20" s="209"/>
      <c r="Y20" s="209"/>
      <c r="Z20" s="214">
        <f t="shared" si="1"/>
        <v>6286</v>
      </c>
      <c r="AA20" s="215">
        <f>C20+D20+F20+K20+M20+N20+P20+U20</f>
        <v>5077</v>
      </c>
      <c r="AD20" s="520"/>
      <c r="AE20" s="520"/>
      <c r="AF20" s="520"/>
      <c r="AG20" s="520"/>
      <c r="AH20" s="520"/>
      <c r="AI20" s="520"/>
      <c r="AJ20" s="520"/>
      <c r="AK20" s="520"/>
      <c r="AL20" s="520"/>
      <c r="AM20" s="520"/>
      <c r="AN20" s="520"/>
    </row>
    <row r="21" spans="1:41" x14ac:dyDescent="0.25">
      <c r="A21" s="136" t="s">
        <v>184</v>
      </c>
      <c r="B21" s="137" t="s">
        <v>279</v>
      </c>
      <c r="C21" s="521">
        <v>363</v>
      </c>
      <c r="D21" s="521">
        <v>160</v>
      </c>
      <c r="E21" s="521">
        <v>46</v>
      </c>
      <c r="F21" s="521">
        <v>22</v>
      </c>
      <c r="G21" s="521">
        <v>18</v>
      </c>
      <c r="H21" s="521">
        <v>0</v>
      </c>
      <c r="I21" s="521">
        <v>82</v>
      </c>
      <c r="J21" s="521">
        <v>12</v>
      </c>
      <c r="K21" s="521">
        <v>0</v>
      </c>
      <c r="L21" s="438">
        <f t="shared" si="0"/>
        <v>703</v>
      </c>
      <c r="M21" s="521">
        <v>447</v>
      </c>
      <c r="N21" s="521">
        <v>703</v>
      </c>
      <c r="O21" s="521">
        <v>75</v>
      </c>
      <c r="P21" s="521">
        <v>32</v>
      </c>
      <c r="Q21" s="521">
        <v>33</v>
      </c>
      <c r="R21" s="521">
        <v>28</v>
      </c>
      <c r="S21" s="521">
        <v>24</v>
      </c>
      <c r="T21" s="521">
        <v>0</v>
      </c>
      <c r="U21" s="521">
        <v>0</v>
      </c>
      <c r="V21" s="229">
        <f t="shared" si="2"/>
        <v>1342</v>
      </c>
      <c r="W21" s="204">
        <v>394</v>
      </c>
      <c r="X21" s="204"/>
      <c r="Y21" s="204"/>
      <c r="Z21" s="214">
        <f t="shared" si="1"/>
        <v>2439</v>
      </c>
      <c r="AA21" s="215">
        <f t="shared" si="3"/>
        <v>1727</v>
      </c>
      <c r="AD21" s="520"/>
      <c r="AE21" s="520"/>
      <c r="AF21" s="520"/>
      <c r="AG21" s="520"/>
      <c r="AH21" s="520"/>
      <c r="AI21" s="520"/>
      <c r="AJ21" s="520"/>
      <c r="AK21" s="520"/>
      <c r="AL21" s="520"/>
      <c r="AM21" s="520"/>
      <c r="AN21" s="520"/>
    </row>
    <row r="22" spans="1:41" ht="17.25" customHeight="1" thickBot="1" x14ac:dyDescent="0.3">
      <c r="A22" s="136" t="s">
        <v>194</v>
      </c>
      <c r="B22" s="138" t="s">
        <v>280</v>
      </c>
      <c r="C22" s="521">
        <v>0</v>
      </c>
      <c r="D22" s="521">
        <v>0</v>
      </c>
      <c r="E22" s="521">
        <v>664</v>
      </c>
      <c r="F22" s="521">
        <v>0</v>
      </c>
      <c r="G22" s="521">
        <v>0</v>
      </c>
      <c r="H22" s="521">
        <v>0</v>
      </c>
      <c r="I22" s="521">
        <v>0</v>
      </c>
      <c r="J22" s="521">
        <v>3116</v>
      </c>
      <c r="K22" s="521">
        <v>0</v>
      </c>
      <c r="L22" s="443">
        <f t="shared" si="0"/>
        <v>3780</v>
      </c>
      <c r="M22" s="522">
        <v>0</v>
      </c>
      <c r="N22" s="522">
        <v>0</v>
      </c>
      <c r="O22" s="522">
        <v>0</v>
      </c>
      <c r="P22" s="522">
        <v>0</v>
      </c>
      <c r="Q22" s="522">
        <v>0</v>
      </c>
      <c r="R22" s="522">
        <v>0</v>
      </c>
      <c r="S22" s="522">
        <v>0</v>
      </c>
      <c r="T22" s="522">
        <v>0</v>
      </c>
      <c r="U22" s="522">
        <v>0</v>
      </c>
      <c r="V22" s="361">
        <f t="shared" si="2"/>
        <v>0</v>
      </c>
      <c r="W22" s="207"/>
      <c r="X22" s="227"/>
      <c r="Y22" s="209"/>
      <c r="Z22" s="376">
        <f t="shared" si="1"/>
        <v>3780</v>
      </c>
      <c r="AA22" s="216">
        <f t="shared" si="3"/>
        <v>0</v>
      </c>
      <c r="AD22" s="520"/>
      <c r="AE22" s="520"/>
      <c r="AF22" s="520"/>
      <c r="AG22" s="520"/>
      <c r="AH22" s="520"/>
      <c r="AI22" s="520"/>
      <c r="AJ22" s="520"/>
      <c r="AK22" s="520"/>
      <c r="AL22" s="520"/>
      <c r="AM22" s="520"/>
      <c r="AN22" s="520"/>
    </row>
    <row r="23" spans="1:41" s="110" customFormat="1" ht="14.4" thickBot="1" x14ac:dyDescent="0.3">
      <c r="A23" s="134"/>
      <c r="B23" s="159" t="s">
        <v>457</v>
      </c>
      <c r="C23" s="451">
        <f t="shared" ref="C23:AA23" si="4">SUM(C6:C22)</f>
        <v>14393</v>
      </c>
      <c r="D23" s="320">
        <f t="shared" si="4"/>
        <v>5380</v>
      </c>
      <c r="E23" s="320">
        <f t="shared" si="4"/>
        <v>4015</v>
      </c>
      <c r="F23" s="320">
        <f t="shared" si="4"/>
        <v>446</v>
      </c>
      <c r="G23" s="320">
        <f t="shared" si="4"/>
        <v>345</v>
      </c>
      <c r="H23" s="436">
        <f t="shared" si="4"/>
        <v>51</v>
      </c>
      <c r="I23" s="524">
        <f t="shared" si="4"/>
        <v>552</v>
      </c>
      <c r="J23" s="320">
        <f t="shared" si="4"/>
        <v>6081</v>
      </c>
      <c r="K23" s="436">
        <f t="shared" si="4"/>
        <v>127</v>
      </c>
      <c r="L23" s="263">
        <f t="shared" si="4"/>
        <v>31390</v>
      </c>
      <c r="M23" s="262">
        <f t="shared" si="4"/>
        <v>4256</v>
      </c>
      <c r="N23" s="158">
        <f t="shared" si="4"/>
        <v>6012</v>
      </c>
      <c r="O23" s="264">
        <f t="shared" si="4"/>
        <v>1202</v>
      </c>
      <c r="P23" s="262">
        <f t="shared" si="4"/>
        <v>327</v>
      </c>
      <c r="Q23" s="158">
        <f t="shared" si="4"/>
        <v>209</v>
      </c>
      <c r="R23" s="158">
        <f t="shared" si="4"/>
        <v>228</v>
      </c>
      <c r="S23" s="158">
        <f t="shared" si="4"/>
        <v>101</v>
      </c>
      <c r="T23" s="158">
        <f t="shared" si="4"/>
        <v>765</v>
      </c>
      <c r="U23" s="264">
        <f t="shared" si="4"/>
        <v>29</v>
      </c>
      <c r="V23" s="180">
        <f t="shared" si="4"/>
        <v>13129</v>
      </c>
      <c r="W23" s="208">
        <f t="shared" si="4"/>
        <v>15876</v>
      </c>
      <c r="X23" s="273">
        <f t="shared" si="4"/>
        <v>258</v>
      </c>
      <c r="Y23" s="388">
        <f t="shared" si="4"/>
        <v>7</v>
      </c>
      <c r="Z23" s="274">
        <f t="shared" si="4"/>
        <v>60660</v>
      </c>
      <c r="AA23" s="208">
        <f t="shared" si="4"/>
        <v>30970</v>
      </c>
      <c r="AC23"/>
      <c r="AD23" s="520"/>
      <c r="AE23" s="520"/>
      <c r="AF23" s="520"/>
      <c r="AG23" s="520"/>
      <c r="AH23" s="520"/>
      <c r="AI23" s="520"/>
      <c r="AJ23" s="520"/>
      <c r="AK23" s="520"/>
      <c r="AL23" s="520"/>
      <c r="AM23" s="520"/>
      <c r="AN23" s="520"/>
      <c r="AO23"/>
    </row>
    <row r="24" spans="1:41" x14ac:dyDescent="0.25">
      <c r="A24" s="136" t="s">
        <v>72</v>
      </c>
      <c r="B24" s="137" t="s">
        <v>356</v>
      </c>
      <c r="C24" s="523">
        <v>843</v>
      </c>
      <c r="D24" s="523">
        <v>929</v>
      </c>
      <c r="E24" s="523">
        <v>259</v>
      </c>
      <c r="F24" s="523">
        <v>45</v>
      </c>
      <c r="G24" s="523">
        <v>18</v>
      </c>
      <c r="H24" s="523">
        <v>113</v>
      </c>
      <c r="I24" s="523">
        <v>0</v>
      </c>
      <c r="J24" s="523">
        <v>33</v>
      </c>
      <c r="K24" s="523">
        <v>54</v>
      </c>
      <c r="L24" s="439">
        <f>SUM(C24:K24)</f>
        <v>2294</v>
      </c>
      <c r="M24" s="523">
        <v>10</v>
      </c>
      <c r="N24" s="523">
        <v>17</v>
      </c>
      <c r="O24" s="523">
        <v>4</v>
      </c>
      <c r="P24" s="523">
        <v>0</v>
      </c>
      <c r="Q24" s="523">
        <v>0</v>
      </c>
      <c r="R24" s="523">
        <v>0</v>
      </c>
      <c r="S24" s="523">
        <v>0</v>
      </c>
      <c r="T24" s="523">
        <v>0</v>
      </c>
      <c r="U24" s="523">
        <v>0</v>
      </c>
      <c r="V24" s="256">
        <f>SUM(M24:U24)</f>
        <v>31</v>
      </c>
      <c r="W24" s="205"/>
      <c r="X24" s="204"/>
      <c r="Y24" s="204"/>
      <c r="Z24" s="214">
        <f t="shared" si="1"/>
        <v>2325</v>
      </c>
      <c r="AA24" s="215">
        <f>C24+D24+F24+K24+M24+N24+P24+U24</f>
        <v>1898</v>
      </c>
      <c r="AD24" s="520"/>
      <c r="AE24" s="520"/>
      <c r="AF24" s="520"/>
      <c r="AG24" s="520"/>
      <c r="AH24" s="520"/>
      <c r="AI24" s="520"/>
      <c r="AJ24" s="520"/>
      <c r="AK24" s="520"/>
      <c r="AL24" s="520"/>
      <c r="AM24" s="520"/>
      <c r="AN24" s="520"/>
      <c r="AO24" s="368"/>
    </row>
    <row r="25" spans="1:41" x14ac:dyDescent="0.25">
      <c r="A25" s="136" t="s">
        <v>85</v>
      </c>
      <c r="B25" s="137" t="s">
        <v>281</v>
      </c>
      <c r="C25" s="521">
        <v>1942</v>
      </c>
      <c r="D25" s="521">
        <v>1268</v>
      </c>
      <c r="E25" s="521">
        <v>317</v>
      </c>
      <c r="F25" s="521">
        <v>169</v>
      </c>
      <c r="G25" s="521">
        <v>134</v>
      </c>
      <c r="H25" s="521">
        <v>0</v>
      </c>
      <c r="I25" s="521">
        <v>0</v>
      </c>
      <c r="J25" s="521">
        <v>77</v>
      </c>
      <c r="K25" s="521">
        <v>0</v>
      </c>
      <c r="L25" s="440">
        <f t="shared" ref="L25:L36" si="5">SUM(C25:K25)</f>
        <v>3907</v>
      </c>
      <c r="M25" s="521">
        <v>972</v>
      </c>
      <c r="N25" s="521">
        <v>1007</v>
      </c>
      <c r="O25" s="521">
        <v>576</v>
      </c>
      <c r="P25" s="521">
        <v>46</v>
      </c>
      <c r="Q25" s="521">
        <v>79</v>
      </c>
      <c r="R25" s="521">
        <v>67</v>
      </c>
      <c r="S25" s="521">
        <v>0</v>
      </c>
      <c r="T25" s="521">
        <v>6</v>
      </c>
      <c r="U25" s="521">
        <v>0</v>
      </c>
      <c r="V25" s="229">
        <f>SUM(M25:U25)</f>
        <v>2753</v>
      </c>
      <c r="W25" s="204">
        <v>820</v>
      </c>
      <c r="X25" s="204"/>
      <c r="Y25" s="204"/>
      <c r="Z25" s="214">
        <f t="shared" si="1"/>
        <v>7480</v>
      </c>
      <c r="AA25" s="215">
        <f>C25+D25+F25+K25+M25+N25+P25+U25</f>
        <v>5404</v>
      </c>
      <c r="AD25" s="520"/>
      <c r="AE25" s="520"/>
      <c r="AF25" s="520"/>
      <c r="AG25" s="520"/>
      <c r="AH25" s="520"/>
      <c r="AI25" s="520"/>
      <c r="AJ25" s="520"/>
      <c r="AK25" s="520"/>
      <c r="AL25" s="520"/>
      <c r="AM25" s="520"/>
      <c r="AN25" s="520"/>
    </row>
    <row r="26" spans="1:41" x14ac:dyDescent="0.25">
      <c r="A26" s="136" t="s">
        <v>214</v>
      </c>
      <c r="B26" s="137" t="s">
        <v>282</v>
      </c>
      <c r="C26" s="521">
        <v>1046</v>
      </c>
      <c r="D26" s="521">
        <v>840</v>
      </c>
      <c r="E26" s="521">
        <v>211</v>
      </c>
      <c r="F26" s="521">
        <v>53</v>
      </c>
      <c r="G26" s="521">
        <v>17</v>
      </c>
      <c r="H26" s="521">
        <v>0</v>
      </c>
      <c r="I26" s="521">
        <v>0</v>
      </c>
      <c r="J26" s="521">
        <v>134</v>
      </c>
      <c r="K26" s="521">
        <v>0</v>
      </c>
      <c r="L26" s="440">
        <f t="shared" si="5"/>
        <v>2301</v>
      </c>
      <c r="M26" s="521">
        <v>0</v>
      </c>
      <c r="N26" s="521">
        <v>0</v>
      </c>
      <c r="O26" s="521">
        <v>15</v>
      </c>
      <c r="P26" s="521">
        <v>0</v>
      </c>
      <c r="Q26" s="521">
        <v>0</v>
      </c>
      <c r="R26" s="521">
        <v>0</v>
      </c>
      <c r="S26" s="521">
        <v>0</v>
      </c>
      <c r="T26" s="521">
        <v>25</v>
      </c>
      <c r="U26" s="521">
        <v>0</v>
      </c>
      <c r="V26" s="229">
        <f t="shared" ref="V26:V36" si="6">SUM(M26:U26)</f>
        <v>40</v>
      </c>
      <c r="W26" s="205"/>
      <c r="X26" s="204"/>
      <c r="Y26" s="204"/>
      <c r="Z26" s="214">
        <f t="shared" si="1"/>
        <v>2341</v>
      </c>
      <c r="AA26" s="215">
        <f t="shared" ref="AA26:AA36" si="7">C26+D26+F26+K26+M26+N26+P26+U26</f>
        <v>1939</v>
      </c>
      <c r="AD26" s="520"/>
      <c r="AE26" s="520"/>
      <c r="AF26" s="520"/>
      <c r="AG26" s="520"/>
      <c r="AH26" s="520"/>
      <c r="AI26" s="520"/>
      <c r="AJ26" s="520"/>
      <c r="AK26" s="520"/>
      <c r="AL26" s="520"/>
      <c r="AM26" s="520"/>
      <c r="AN26" s="520"/>
    </row>
    <row r="27" spans="1:41" x14ac:dyDescent="0.25">
      <c r="A27" s="136" t="s">
        <v>101</v>
      </c>
      <c r="B27" s="137" t="s">
        <v>283</v>
      </c>
      <c r="C27" s="521">
        <v>5141</v>
      </c>
      <c r="D27" s="521">
        <v>832</v>
      </c>
      <c r="E27" s="521">
        <v>1292</v>
      </c>
      <c r="F27" s="521">
        <v>82</v>
      </c>
      <c r="G27" s="521">
        <v>73</v>
      </c>
      <c r="H27" s="521">
        <v>0</v>
      </c>
      <c r="I27" s="521">
        <v>0</v>
      </c>
      <c r="J27" s="521">
        <v>148</v>
      </c>
      <c r="K27" s="521">
        <v>0</v>
      </c>
      <c r="L27" s="440">
        <f t="shared" si="5"/>
        <v>7568</v>
      </c>
      <c r="M27" s="521">
        <v>581</v>
      </c>
      <c r="N27" s="521">
        <v>590</v>
      </c>
      <c r="O27" s="521">
        <v>271</v>
      </c>
      <c r="P27" s="521">
        <v>13</v>
      </c>
      <c r="Q27" s="521">
        <v>79</v>
      </c>
      <c r="R27" s="521">
        <v>0</v>
      </c>
      <c r="S27" s="521">
        <v>0</v>
      </c>
      <c r="T27" s="521">
        <v>74</v>
      </c>
      <c r="U27" s="521">
        <v>0</v>
      </c>
      <c r="V27" s="229">
        <f t="shared" si="6"/>
        <v>1608</v>
      </c>
      <c r="W27" s="204">
        <v>694</v>
      </c>
      <c r="X27" s="204"/>
      <c r="Y27" s="204"/>
      <c r="Z27" s="214">
        <f t="shared" si="1"/>
        <v>9870</v>
      </c>
      <c r="AA27" s="215">
        <f t="shared" si="7"/>
        <v>7239</v>
      </c>
      <c r="AD27" s="520"/>
      <c r="AE27" s="520"/>
      <c r="AF27" s="520"/>
      <c r="AG27" s="520"/>
      <c r="AH27" s="520"/>
      <c r="AI27" s="520"/>
      <c r="AJ27" s="520"/>
      <c r="AK27" s="520"/>
      <c r="AL27" s="520"/>
      <c r="AM27" s="520"/>
      <c r="AN27" s="520"/>
    </row>
    <row r="28" spans="1:41" x14ac:dyDescent="0.25">
      <c r="A28" s="136" t="s">
        <v>114</v>
      </c>
      <c r="B28" s="137" t="s">
        <v>284</v>
      </c>
      <c r="C28" s="521">
        <v>1220</v>
      </c>
      <c r="D28" s="521">
        <v>311</v>
      </c>
      <c r="E28" s="521">
        <v>309</v>
      </c>
      <c r="F28" s="521">
        <v>78</v>
      </c>
      <c r="G28" s="521">
        <v>39</v>
      </c>
      <c r="H28" s="521">
        <v>0</v>
      </c>
      <c r="I28" s="521">
        <v>1143</v>
      </c>
      <c r="J28" s="521">
        <v>104</v>
      </c>
      <c r="K28" s="521">
        <v>0</v>
      </c>
      <c r="L28" s="440">
        <f t="shared" si="5"/>
        <v>3204</v>
      </c>
      <c r="M28" s="521">
        <v>458</v>
      </c>
      <c r="N28" s="521">
        <v>767</v>
      </c>
      <c r="O28" s="521">
        <v>399</v>
      </c>
      <c r="P28" s="521">
        <v>53</v>
      </c>
      <c r="Q28" s="521">
        <v>14</v>
      </c>
      <c r="R28" s="521">
        <v>44</v>
      </c>
      <c r="S28" s="521">
        <v>0</v>
      </c>
      <c r="T28" s="521">
        <v>68</v>
      </c>
      <c r="U28" s="521">
        <v>0</v>
      </c>
      <c r="V28" s="229">
        <f t="shared" si="6"/>
        <v>1803</v>
      </c>
      <c r="W28" s="204">
        <v>1016</v>
      </c>
      <c r="X28" s="204"/>
      <c r="Y28" s="204"/>
      <c r="Z28" s="214">
        <f t="shared" si="1"/>
        <v>6023</v>
      </c>
      <c r="AA28" s="215">
        <f t="shared" si="7"/>
        <v>2887</v>
      </c>
      <c r="AD28" s="520"/>
      <c r="AE28" s="520"/>
      <c r="AF28" s="520"/>
      <c r="AG28" s="520"/>
      <c r="AH28" s="520"/>
      <c r="AI28" s="520"/>
      <c r="AJ28" s="520"/>
      <c r="AK28" s="520"/>
      <c r="AL28" s="520"/>
      <c r="AM28" s="520"/>
      <c r="AN28" s="520"/>
    </row>
    <row r="29" spans="1:41" x14ac:dyDescent="0.25">
      <c r="A29" s="136" t="s">
        <v>115</v>
      </c>
      <c r="B29" s="137" t="s">
        <v>285</v>
      </c>
      <c r="C29" s="521">
        <v>1529</v>
      </c>
      <c r="D29" s="521">
        <v>2047</v>
      </c>
      <c r="E29" s="521">
        <v>172</v>
      </c>
      <c r="F29" s="521">
        <v>58</v>
      </c>
      <c r="G29" s="521">
        <v>141</v>
      </c>
      <c r="H29" s="521">
        <v>0</v>
      </c>
      <c r="I29" s="521">
        <v>23</v>
      </c>
      <c r="J29" s="521">
        <v>259</v>
      </c>
      <c r="K29" s="521">
        <v>0</v>
      </c>
      <c r="L29" s="440">
        <f t="shared" si="5"/>
        <v>4229</v>
      </c>
      <c r="M29" s="521">
        <v>676</v>
      </c>
      <c r="N29" s="521">
        <v>1569</v>
      </c>
      <c r="O29" s="521">
        <v>308</v>
      </c>
      <c r="P29" s="521">
        <v>96</v>
      </c>
      <c r="Q29" s="521">
        <v>40</v>
      </c>
      <c r="R29" s="521">
        <v>35</v>
      </c>
      <c r="S29" s="521">
        <v>0</v>
      </c>
      <c r="T29" s="521">
        <v>62</v>
      </c>
      <c r="U29" s="521">
        <v>0</v>
      </c>
      <c r="V29" s="229">
        <f t="shared" si="6"/>
        <v>2786</v>
      </c>
      <c r="W29" s="204">
        <v>1831</v>
      </c>
      <c r="X29" s="204"/>
      <c r="Y29" s="204"/>
      <c r="Z29" s="214">
        <f t="shared" si="1"/>
        <v>8846</v>
      </c>
      <c r="AA29" s="215">
        <f t="shared" si="7"/>
        <v>5975</v>
      </c>
      <c r="AD29" s="520"/>
      <c r="AE29" s="520"/>
      <c r="AF29" s="520"/>
      <c r="AG29" s="520"/>
      <c r="AH29" s="520"/>
      <c r="AI29" s="520"/>
      <c r="AJ29" s="520"/>
      <c r="AK29" s="520"/>
      <c r="AL29" s="520"/>
      <c r="AM29" s="520"/>
      <c r="AN29" s="520"/>
    </row>
    <row r="30" spans="1:41" x14ac:dyDescent="0.25">
      <c r="A30" s="136" t="s">
        <v>127</v>
      </c>
      <c r="B30" s="137" t="s">
        <v>286</v>
      </c>
      <c r="C30" s="521">
        <v>15398</v>
      </c>
      <c r="D30" s="521">
        <v>3605</v>
      </c>
      <c r="E30" s="521">
        <v>7074</v>
      </c>
      <c r="F30" s="521">
        <v>88</v>
      </c>
      <c r="G30" s="521">
        <v>198</v>
      </c>
      <c r="H30" s="521">
        <v>7</v>
      </c>
      <c r="I30" s="521">
        <v>54</v>
      </c>
      <c r="J30" s="521">
        <v>741</v>
      </c>
      <c r="K30" s="521">
        <v>0</v>
      </c>
      <c r="L30" s="440">
        <f t="shared" si="5"/>
        <v>27165</v>
      </c>
      <c r="M30" s="521">
        <v>375</v>
      </c>
      <c r="N30" s="521">
        <v>1144</v>
      </c>
      <c r="O30" s="521">
        <v>204</v>
      </c>
      <c r="P30" s="521">
        <v>5</v>
      </c>
      <c r="Q30" s="521">
        <v>44</v>
      </c>
      <c r="R30" s="521">
        <v>0</v>
      </c>
      <c r="S30" s="521">
        <v>0</v>
      </c>
      <c r="T30" s="521">
        <v>21</v>
      </c>
      <c r="U30" s="521">
        <v>0</v>
      </c>
      <c r="V30" s="229">
        <f t="shared" si="6"/>
        <v>1793</v>
      </c>
      <c r="W30" s="204">
        <v>13</v>
      </c>
      <c r="X30" s="204"/>
      <c r="Y30" s="204"/>
      <c r="Z30" s="214">
        <f t="shared" si="1"/>
        <v>28971</v>
      </c>
      <c r="AA30" s="215">
        <f t="shared" si="7"/>
        <v>20615</v>
      </c>
      <c r="AD30" s="520"/>
      <c r="AE30" s="520"/>
      <c r="AF30" s="520"/>
      <c r="AG30" s="520"/>
      <c r="AH30" s="520"/>
      <c r="AI30" s="520"/>
      <c r="AJ30" s="520"/>
      <c r="AK30" s="520"/>
      <c r="AL30" s="520"/>
      <c r="AM30" s="520"/>
      <c r="AN30" s="520"/>
    </row>
    <row r="31" spans="1:41" x14ac:dyDescent="0.25">
      <c r="A31" s="136" t="s">
        <v>129</v>
      </c>
      <c r="B31" s="137" t="s">
        <v>287</v>
      </c>
      <c r="C31" s="521">
        <v>5047</v>
      </c>
      <c r="D31" s="521">
        <v>2023</v>
      </c>
      <c r="E31" s="521">
        <v>2247</v>
      </c>
      <c r="F31" s="521">
        <v>110</v>
      </c>
      <c r="G31" s="521">
        <v>169</v>
      </c>
      <c r="H31" s="521">
        <v>0</v>
      </c>
      <c r="I31" s="521">
        <v>12</v>
      </c>
      <c r="J31" s="521">
        <v>163</v>
      </c>
      <c r="K31" s="521">
        <v>0</v>
      </c>
      <c r="L31" s="440">
        <f t="shared" si="5"/>
        <v>9771</v>
      </c>
      <c r="M31" s="521">
        <v>1195</v>
      </c>
      <c r="N31" s="521">
        <v>1876</v>
      </c>
      <c r="O31" s="521">
        <v>927</v>
      </c>
      <c r="P31" s="521">
        <v>104</v>
      </c>
      <c r="Q31" s="521">
        <v>72</v>
      </c>
      <c r="R31" s="521">
        <v>97</v>
      </c>
      <c r="S31" s="521">
        <v>0</v>
      </c>
      <c r="T31" s="521">
        <v>9</v>
      </c>
      <c r="U31" s="521">
        <v>0</v>
      </c>
      <c r="V31" s="229">
        <f t="shared" si="6"/>
        <v>4280</v>
      </c>
      <c r="W31" s="204">
        <v>400</v>
      </c>
      <c r="X31" s="204"/>
      <c r="Y31" s="204"/>
      <c r="Z31" s="214">
        <f t="shared" si="1"/>
        <v>14451</v>
      </c>
      <c r="AA31" s="215">
        <f t="shared" si="7"/>
        <v>10355</v>
      </c>
      <c r="AD31" s="520"/>
      <c r="AE31" s="520"/>
      <c r="AF31" s="520"/>
      <c r="AG31" s="520"/>
      <c r="AH31" s="520"/>
      <c r="AI31" s="520"/>
      <c r="AJ31" s="520"/>
      <c r="AK31" s="520"/>
      <c r="AL31" s="520"/>
      <c r="AM31" s="520"/>
      <c r="AN31" s="520"/>
    </row>
    <row r="32" spans="1:41" x14ac:dyDescent="0.25">
      <c r="A32" s="136" t="s">
        <v>139</v>
      </c>
      <c r="B32" s="137" t="s">
        <v>321</v>
      </c>
      <c r="C32" s="521">
        <v>1190</v>
      </c>
      <c r="D32" s="521">
        <v>1255</v>
      </c>
      <c r="E32" s="521">
        <v>590</v>
      </c>
      <c r="F32" s="521">
        <v>52</v>
      </c>
      <c r="G32" s="521">
        <v>50</v>
      </c>
      <c r="H32" s="521">
        <v>0</v>
      </c>
      <c r="I32" s="521">
        <v>288</v>
      </c>
      <c r="J32" s="521">
        <v>272</v>
      </c>
      <c r="K32" s="521">
        <v>141</v>
      </c>
      <c r="L32" s="440">
        <f t="shared" si="5"/>
        <v>3838</v>
      </c>
      <c r="M32" s="521">
        <v>238</v>
      </c>
      <c r="N32" s="521">
        <v>469</v>
      </c>
      <c r="O32" s="521">
        <v>190</v>
      </c>
      <c r="P32" s="521">
        <v>21</v>
      </c>
      <c r="Q32" s="521">
        <v>23</v>
      </c>
      <c r="R32" s="521">
        <v>0</v>
      </c>
      <c r="S32" s="521">
        <v>0</v>
      </c>
      <c r="T32" s="521">
        <v>2</v>
      </c>
      <c r="U32" s="521">
        <v>42</v>
      </c>
      <c r="V32" s="229">
        <f>SUM(M32:U32)</f>
        <v>985</v>
      </c>
      <c r="W32" s="204">
        <v>441</v>
      </c>
      <c r="X32" s="204"/>
      <c r="Y32" s="204"/>
      <c r="Z32" s="214">
        <f t="shared" si="1"/>
        <v>5264</v>
      </c>
      <c r="AA32" s="215">
        <f>C32+D32+F32+K32+M32+N32+P32+U32</f>
        <v>3408</v>
      </c>
      <c r="AD32" s="520"/>
      <c r="AE32" s="520"/>
      <c r="AF32" s="520"/>
      <c r="AG32" s="520"/>
      <c r="AH32" s="520"/>
      <c r="AI32" s="520"/>
      <c r="AJ32" s="520"/>
      <c r="AK32" s="520"/>
      <c r="AL32" s="520"/>
      <c r="AM32" s="520"/>
      <c r="AN32" s="520"/>
    </row>
    <row r="33" spans="1:41" x14ac:dyDescent="0.25">
      <c r="A33" s="140" t="s">
        <v>151</v>
      </c>
      <c r="B33" s="161" t="s">
        <v>323</v>
      </c>
      <c r="C33" s="521">
        <v>0</v>
      </c>
      <c r="D33" s="521">
        <v>0</v>
      </c>
      <c r="E33" s="521">
        <v>239</v>
      </c>
      <c r="F33" s="521">
        <v>0</v>
      </c>
      <c r="G33" s="521">
        <v>0</v>
      </c>
      <c r="H33" s="521">
        <v>0</v>
      </c>
      <c r="I33" s="521">
        <v>0</v>
      </c>
      <c r="J33" s="521">
        <v>1867</v>
      </c>
      <c r="K33" s="521">
        <v>0</v>
      </c>
      <c r="L33" s="441">
        <f t="shared" si="5"/>
        <v>2106</v>
      </c>
      <c r="M33" s="196"/>
      <c r="N33" s="147"/>
      <c r="O33" s="147"/>
      <c r="P33" s="147"/>
      <c r="Q33" s="147"/>
      <c r="R33" s="147"/>
      <c r="S33" s="147"/>
      <c r="T33" s="147"/>
      <c r="U33" s="189"/>
      <c r="V33" s="176"/>
      <c r="W33" s="206"/>
      <c r="X33" s="209"/>
      <c r="Y33" s="209"/>
      <c r="Z33" s="214">
        <f t="shared" si="1"/>
        <v>2106</v>
      </c>
      <c r="AA33" s="215">
        <f>C33+D33+F33+K33+M33+N33+P33+U33</f>
        <v>0</v>
      </c>
      <c r="AD33" s="520"/>
      <c r="AE33" s="520"/>
      <c r="AF33" s="520"/>
      <c r="AG33" s="520"/>
      <c r="AH33" s="520"/>
      <c r="AI33" s="520"/>
      <c r="AJ33" s="520"/>
      <c r="AK33" s="520"/>
      <c r="AL33" s="520"/>
      <c r="AM33" s="520"/>
      <c r="AN33" s="520"/>
    </row>
    <row r="34" spans="1:41" x14ac:dyDescent="0.25">
      <c r="A34" s="136" t="s">
        <v>170</v>
      </c>
      <c r="B34" s="137" t="s">
        <v>288</v>
      </c>
      <c r="C34" s="521">
        <v>2644</v>
      </c>
      <c r="D34" s="521">
        <v>1027</v>
      </c>
      <c r="E34" s="521">
        <v>833</v>
      </c>
      <c r="F34" s="521">
        <v>18</v>
      </c>
      <c r="G34" s="521">
        <v>118</v>
      </c>
      <c r="H34" s="521">
        <v>0</v>
      </c>
      <c r="I34" s="521">
        <v>85</v>
      </c>
      <c r="J34" s="521">
        <v>90</v>
      </c>
      <c r="K34" s="521">
        <v>0</v>
      </c>
      <c r="L34" s="440">
        <f t="shared" si="5"/>
        <v>4815</v>
      </c>
      <c r="M34" s="521">
        <v>0</v>
      </c>
      <c r="N34" s="521">
        <v>0</v>
      </c>
      <c r="O34" s="521">
        <v>0</v>
      </c>
      <c r="P34" s="521">
        <v>0</v>
      </c>
      <c r="Q34" s="521">
        <v>0</v>
      </c>
      <c r="R34" s="521">
        <v>0</v>
      </c>
      <c r="S34" s="521">
        <v>0</v>
      </c>
      <c r="T34" s="521">
        <v>0</v>
      </c>
      <c r="U34" s="385"/>
      <c r="V34" s="229">
        <f t="shared" si="6"/>
        <v>0</v>
      </c>
      <c r="W34" s="209">
        <v>148</v>
      </c>
      <c r="X34" s="209"/>
      <c r="Y34" s="209"/>
      <c r="Z34" s="214">
        <f t="shared" si="1"/>
        <v>4963</v>
      </c>
      <c r="AA34" s="217">
        <f t="shared" si="7"/>
        <v>3689</v>
      </c>
      <c r="AD34" s="520"/>
      <c r="AE34" s="520"/>
      <c r="AF34" s="520"/>
      <c r="AG34" s="520"/>
      <c r="AH34" s="520"/>
      <c r="AI34" s="520"/>
      <c r="AJ34" s="520"/>
      <c r="AK34" s="520"/>
      <c r="AL34" s="520"/>
      <c r="AM34" s="520"/>
      <c r="AN34" s="520"/>
      <c r="AO34" s="368"/>
    </row>
    <row r="35" spans="1:41" x14ac:dyDescent="0.25">
      <c r="A35" s="136" t="s">
        <v>171</v>
      </c>
      <c r="B35" s="137" t="s">
        <v>324</v>
      </c>
      <c r="C35" s="521">
        <v>1435</v>
      </c>
      <c r="D35" s="521">
        <v>870</v>
      </c>
      <c r="E35" s="521">
        <v>563</v>
      </c>
      <c r="F35" s="521">
        <v>84</v>
      </c>
      <c r="G35" s="521">
        <v>56</v>
      </c>
      <c r="H35" s="521">
        <v>0</v>
      </c>
      <c r="I35" s="521">
        <v>123</v>
      </c>
      <c r="J35" s="521">
        <v>150</v>
      </c>
      <c r="K35" s="521">
        <v>0</v>
      </c>
      <c r="L35" s="440">
        <f t="shared" si="5"/>
        <v>3281</v>
      </c>
      <c r="M35" s="521">
        <v>664</v>
      </c>
      <c r="N35" s="521">
        <v>632</v>
      </c>
      <c r="O35" s="521">
        <v>540</v>
      </c>
      <c r="P35" s="521">
        <v>36</v>
      </c>
      <c r="Q35" s="521">
        <v>25</v>
      </c>
      <c r="R35" s="521">
        <v>0</v>
      </c>
      <c r="S35" s="521">
        <v>0</v>
      </c>
      <c r="T35" s="521">
        <v>1</v>
      </c>
      <c r="U35" s="385"/>
      <c r="V35" s="229">
        <f>SUM(M35:U35)</f>
        <v>1898</v>
      </c>
      <c r="W35" s="204">
        <f>1393+2322</f>
        <v>3715</v>
      </c>
      <c r="X35" s="204"/>
      <c r="Y35" s="204"/>
      <c r="Z35" s="214">
        <f t="shared" si="1"/>
        <v>8894</v>
      </c>
      <c r="AA35" s="215">
        <f>C35+D35+F35+K35+M35+N35+P35+U35</f>
        <v>3721</v>
      </c>
      <c r="AD35" s="520"/>
      <c r="AE35" s="520"/>
      <c r="AF35" s="520"/>
      <c r="AG35" s="520"/>
      <c r="AH35" s="520"/>
      <c r="AI35" s="520"/>
      <c r="AJ35" s="520"/>
      <c r="AK35" s="520"/>
      <c r="AL35" s="520"/>
      <c r="AM35" s="520"/>
      <c r="AN35" s="520"/>
    </row>
    <row r="36" spans="1:41" ht="13.8" thickBot="1" x14ac:dyDescent="0.3">
      <c r="A36" s="136" t="s">
        <v>362</v>
      </c>
      <c r="B36" s="137" t="s">
        <v>289</v>
      </c>
      <c r="C36" s="522">
        <v>488</v>
      </c>
      <c r="D36" s="522">
        <v>251</v>
      </c>
      <c r="E36" s="522">
        <v>435</v>
      </c>
      <c r="F36" s="522">
        <v>37</v>
      </c>
      <c r="G36" s="522">
        <v>11</v>
      </c>
      <c r="H36" s="522">
        <v>0</v>
      </c>
      <c r="I36" s="522">
        <v>0</v>
      </c>
      <c r="J36" s="522">
        <v>201</v>
      </c>
      <c r="K36" s="522">
        <v>0</v>
      </c>
      <c r="L36" s="442">
        <f t="shared" si="5"/>
        <v>1423</v>
      </c>
      <c r="M36" s="522">
        <v>0</v>
      </c>
      <c r="N36" s="522">
        <v>0</v>
      </c>
      <c r="O36" s="522">
        <v>0</v>
      </c>
      <c r="P36" s="522">
        <v>0</v>
      </c>
      <c r="Q36" s="522">
        <v>0</v>
      </c>
      <c r="R36" s="522">
        <v>0</v>
      </c>
      <c r="S36" s="522">
        <v>0</v>
      </c>
      <c r="T36" s="522">
        <v>0</v>
      </c>
      <c r="U36" s="386"/>
      <c r="V36" s="231">
        <f t="shared" si="6"/>
        <v>0</v>
      </c>
      <c r="W36" s="206"/>
      <c r="X36" s="209"/>
      <c r="Y36" s="209"/>
      <c r="Z36" s="376">
        <f t="shared" si="1"/>
        <v>1423</v>
      </c>
      <c r="AA36" s="217">
        <f t="shared" si="7"/>
        <v>776</v>
      </c>
      <c r="AD36" s="520"/>
      <c r="AE36" s="520"/>
      <c r="AF36" s="520"/>
      <c r="AG36" s="520"/>
      <c r="AH36" s="520"/>
      <c r="AI36" s="520"/>
      <c r="AJ36" s="520"/>
      <c r="AK36" s="520"/>
      <c r="AL36" s="520"/>
      <c r="AM36" s="520"/>
      <c r="AN36" s="520"/>
    </row>
    <row r="37" spans="1:41" s="109" customFormat="1" ht="14.4" thickBot="1" x14ac:dyDescent="0.3">
      <c r="A37" s="134"/>
      <c r="B37" s="159" t="s">
        <v>458</v>
      </c>
      <c r="C37" s="258">
        <f t="shared" ref="C37:AA37" si="8">SUM(C24:C36)</f>
        <v>37923</v>
      </c>
      <c r="D37" s="157">
        <f t="shared" si="8"/>
        <v>15258</v>
      </c>
      <c r="E37" s="157">
        <f t="shared" si="8"/>
        <v>14541</v>
      </c>
      <c r="F37" s="157">
        <f t="shared" si="8"/>
        <v>874</v>
      </c>
      <c r="G37" s="157">
        <f t="shared" si="8"/>
        <v>1024</v>
      </c>
      <c r="H37" s="166">
        <f t="shared" si="8"/>
        <v>120</v>
      </c>
      <c r="I37" s="362">
        <f t="shared" si="8"/>
        <v>1728</v>
      </c>
      <c r="J37" s="157">
        <f t="shared" si="8"/>
        <v>4239</v>
      </c>
      <c r="K37" s="259">
        <f t="shared" si="8"/>
        <v>195</v>
      </c>
      <c r="L37" s="260">
        <f t="shared" si="8"/>
        <v>75902</v>
      </c>
      <c r="M37" s="262">
        <f t="shared" si="8"/>
        <v>5169</v>
      </c>
      <c r="N37" s="158">
        <f t="shared" si="8"/>
        <v>8071</v>
      </c>
      <c r="O37" s="264">
        <f t="shared" si="8"/>
        <v>3434</v>
      </c>
      <c r="P37" s="262">
        <f t="shared" si="8"/>
        <v>374</v>
      </c>
      <c r="Q37" s="158">
        <f t="shared" si="8"/>
        <v>376</v>
      </c>
      <c r="R37" s="158">
        <f t="shared" si="8"/>
        <v>243</v>
      </c>
      <c r="S37" s="158">
        <f t="shared" si="8"/>
        <v>0</v>
      </c>
      <c r="T37" s="264">
        <f t="shared" si="8"/>
        <v>268</v>
      </c>
      <c r="U37" s="485">
        <f t="shared" si="8"/>
        <v>42</v>
      </c>
      <c r="V37" s="180">
        <f t="shared" si="8"/>
        <v>17977</v>
      </c>
      <c r="W37" s="210">
        <f t="shared" si="8"/>
        <v>9078</v>
      </c>
      <c r="X37" s="210">
        <f t="shared" si="8"/>
        <v>0</v>
      </c>
      <c r="Y37" s="210">
        <f t="shared" si="8"/>
        <v>0</v>
      </c>
      <c r="Z37" s="210">
        <f t="shared" si="8"/>
        <v>102957</v>
      </c>
      <c r="AA37" s="210">
        <f t="shared" si="8"/>
        <v>67906</v>
      </c>
      <c r="AC37"/>
      <c r="AD37" s="520"/>
      <c r="AE37" s="520"/>
      <c r="AF37" s="520"/>
      <c r="AG37" s="520"/>
      <c r="AH37" s="520"/>
      <c r="AI37" s="520"/>
      <c r="AJ37" s="520"/>
      <c r="AK37" s="520"/>
      <c r="AL37" s="520"/>
      <c r="AM37" s="520"/>
      <c r="AN37" s="520"/>
      <c r="AO37"/>
    </row>
    <row r="38" spans="1:41" x14ac:dyDescent="0.25">
      <c r="A38" s="136" t="s">
        <v>70</v>
      </c>
      <c r="B38" s="137" t="s">
        <v>313</v>
      </c>
      <c r="C38" s="523">
        <v>1206</v>
      </c>
      <c r="D38" s="523">
        <v>1684</v>
      </c>
      <c r="E38" s="523">
        <v>395</v>
      </c>
      <c r="F38" s="523">
        <v>74</v>
      </c>
      <c r="G38" s="523">
        <v>62</v>
      </c>
      <c r="H38" s="523">
        <v>0</v>
      </c>
      <c r="I38" s="523">
        <v>54</v>
      </c>
      <c r="J38" s="523">
        <v>218</v>
      </c>
      <c r="K38" s="523">
        <v>123</v>
      </c>
      <c r="L38" s="234">
        <f t="shared" ref="L38:L54" si="9">SUM(C38:K38)</f>
        <v>3816</v>
      </c>
      <c r="M38" s="523">
        <v>1001</v>
      </c>
      <c r="N38" s="523">
        <v>1137</v>
      </c>
      <c r="O38" s="523">
        <v>600</v>
      </c>
      <c r="P38" s="523">
        <v>52</v>
      </c>
      <c r="Q38" s="523">
        <v>51</v>
      </c>
      <c r="R38" s="523">
        <v>19</v>
      </c>
      <c r="S38" s="523">
        <v>23</v>
      </c>
      <c r="T38" s="523">
        <v>0</v>
      </c>
      <c r="U38" s="521">
        <v>66</v>
      </c>
      <c r="V38" s="256">
        <f t="shared" ref="V38:V47" si="10">SUM(M38:U38)</f>
        <v>2949</v>
      </c>
      <c r="W38" s="211">
        <v>925</v>
      </c>
      <c r="X38" s="211">
        <v>0</v>
      </c>
      <c r="Y38" s="211">
        <v>0</v>
      </c>
      <c r="Z38" s="214">
        <f t="shared" si="1"/>
        <v>7690</v>
      </c>
      <c r="AA38" s="215">
        <f t="shared" ref="AA38:AA48" si="11">C38+D38+F38+K38+M38+N38+P38+U38</f>
        <v>5343</v>
      </c>
      <c r="AD38" s="520"/>
      <c r="AE38" s="520"/>
      <c r="AF38" s="520"/>
      <c r="AG38" s="520"/>
      <c r="AH38" s="520"/>
      <c r="AI38" s="520"/>
      <c r="AJ38" s="520"/>
      <c r="AK38" s="520"/>
      <c r="AL38" s="520"/>
      <c r="AM38" s="520"/>
      <c r="AN38" s="520"/>
    </row>
    <row r="39" spans="1:41" x14ac:dyDescent="0.25">
      <c r="A39" s="136" t="s">
        <v>75</v>
      </c>
      <c r="B39" s="137" t="s">
        <v>336</v>
      </c>
      <c r="C39" s="521">
        <v>2269</v>
      </c>
      <c r="D39" s="521">
        <v>1485</v>
      </c>
      <c r="E39" s="521">
        <v>1112</v>
      </c>
      <c r="F39" s="521">
        <v>105</v>
      </c>
      <c r="G39" s="521">
        <v>116</v>
      </c>
      <c r="H39" s="521">
        <v>0</v>
      </c>
      <c r="I39" s="521">
        <v>12</v>
      </c>
      <c r="J39" s="521">
        <v>305</v>
      </c>
      <c r="K39" s="521">
        <v>0</v>
      </c>
      <c r="L39" s="232">
        <f t="shared" si="9"/>
        <v>5404</v>
      </c>
      <c r="M39" s="521">
        <v>482</v>
      </c>
      <c r="N39" s="521">
        <v>1181</v>
      </c>
      <c r="O39" s="521">
        <v>372</v>
      </c>
      <c r="P39" s="521">
        <v>61</v>
      </c>
      <c r="Q39" s="521">
        <v>28</v>
      </c>
      <c r="R39" s="521">
        <v>0</v>
      </c>
      <c r="S39" s="521">
        <v>0</v>
      </c>
      <c r="T39" s="521">
        <v>104</v>
      </c>
      <c r="U39" s="521">
        <v>0</v>
      </c>
      <c r="V39" s="229">
        <f t="shared" si="10"/>
        <v>2228</v>
      </c>
      <c r="W39" s="204">
        <v>507</v>
      </c>
      <c r="X39" s="204"/>
      <c r="Y39" s="204"/>
      <c r="Z39" s="214">
        <f t="shared" si="1"/>
        <v>8139</v>
      </c>
      <c r="AA39" s="215">
        <f t="shared" si="11"/>
        <v>5583</v>
      </c>
      <c r="AD39" s="520"/>
      <c r="AE39" s="520"/>
      <c r="AF39" s="520"/>
      <c r="AG39" s="520"/>
      <c r="AH39" s="520"/>
      <c r="AI39" s="520"/>
      <c r="AJ39" s="520"/>
      <c r="AK39" s="520"/>
      <c r="AL39" s="520"/>
      <c r="AM39" s="520"/>
      <c r="AN39" s="520"/>
    </row>
    <row r="40" spans="1:41" x14ac:dyDescent="0.25">
      <c r="A40" s="136" t="s">
        <v>78</v>
      </c>
      <c r="B40" s="137" t="s">
        <v>314</v>
      </c>
      <c r="C40" s="521">
        <v>511</v>
      </c>
      <c r="D40" s="521">
        <v>777</v>
      </c>
      <c r="E40" s="521">
        <v>269</v>
      </c>
      <c r="F40" s="521">
        <v>20</v>
      </c>
      <c r="G40" s="521">
        <v>53</v>
      </c>
      <c r="H40" s="521">
        <v>10</v>
      </c>
      <c r="I40" s="521">
        <v>0</v>
      </c>
      <c r="J40" s="521">
        <v>110</v>
      </c>
      <c r="K40" s="521">
        <v>141</v>
      </c>
      <c r="L40" s="232">
        <f t="shared" si="9"/>
        <v>1891</v>
      </c>
      <c r="M40" s="521">
        <v>409</v>
      </c>
      <c r="N40" s="521">
        <v>634</v>
      </c>
      <c r="O40" s="521">
        <v>347</v>
      </c>
      <c r="P40" s="521">
        <v>34</v>
      </c>
      <c r="Q40" s="521">
        <v>34</v>
      </c>
      <c r="R40" s="521">
        <v>20</v>
      </c>
      <c r="S40" s="521">
        <v>0</v>
      </c>
      <c r="T40" s="521">
        <v>1</v>
      </c>
      <c r="U40" s="521">
        <v>69</v>
      </c>
      <c r="V40" s="229">
        <f t="shared" si="10"/>
        <v>1548</v>
      </c>
      <c r="W40" s="204">
        <v>698</v>
      </c>
      <c r="X40" s="204"/>
      <c r="Y40" s="204"/>
      <c r="Z40" s="214">
        <f t="shared" si="1"/>
        <v>4137</v>
      </c>
      <c r="AA40" s="215">
        <f t="shared" si="11"/>
        <v>2595</v>
      </c>
      <c r="AD40" s="520"/>
      <c r="AE40" s="520"/>
      <c r="AF40" s="520"/>
      <c r="AG40" s="520"/>
      <c r="AH40" s="520"/>
      <c r="AI40" s="520"/>
      <c r="AJ40" s="520"/>
      <c r="AK40" s="520"/>
      <c r="AL40" s="520"/>
      <c r="AM40" s="520"/>
      <c r="AN40" s="520"/>
    </row>
    <row r="41" spans="1:41" x14ac:dyDescent="0.25">
      <c r="A41" s="136" t="s">
        <v>88</v>
      </c>
      <c r="B41" s="137" t="s">
        <v>337</v>
      </c>
      <c r="C41" s="521">
        <v>2185</v>
      </c>
      <c r="D41" s="521">
        <v>859</v>
      </c>
      <c r="E41" s="521">
        <v>471</v>
      </c>
      <c r="F41" s="521">
        <v>63</v>
      </c>
      <c r="G41" s="521">
        <v>92</v>
      </c>
      <c r="H41" s="521">
        <v>2</v>
      </c>
      <c r="I41" s="521">
        <v>1</v>
      </c>
      <c r="J41" s="521">
        <v>92</v>
      </c>
      <c r="K41" s="521">
        <v>0</v>
      </c>
      <c r="L41" s="232">
        <f t="shared" si="9"/>
        <v>3765</v>
      </c>
      <c r="M41" s="521">
        <v>1270</v>
      </c>
      <c r="N41" s="521">
        <v>639</v>
      </c>
      <c r="O41" s="521">
        <v>529</v>
      </c>
      <c r="P41" s="521">
        <v>17</v>
      </c>
      <c r="Q41" s="521">
        <v>20</v>
      </c>
      <c r="R41" s="521">
        <v>93</v>
      </c>
      <c r="S41" s="521">
        <v>0</v>
      </c>
      <c r="T41" s="521">
        <v>3</v>
      </c>
      <c r="U41" s="521">
        <v>0</v>
      </c>
      <c r="V41" s="229">
        <f t="shared" si="10"/>
        <v>2571</v>
      </c>
      <c r="W41" s="204">
        <v>951</v>
      </c>
      <c r="X41" s="204"/>
      <c r="Y41" s="204"/>
      <c r="Z41" s="214">
        <f t="shared" si="1"/>
        <v>7287</v>
      </c>
      <c r="AA41" s="215">
        <f t="shared" si="11"/>
        <v>5033</v>
      </c>
      <c r="AD41" s="520"/>
      <c r="AE41" s="520"/>
      <c r="AF41" s="520"/>
      <c r="AG41" s="520"/>
      <c r="AH41" s="520"/>
      <c r="AI41" s="520"/>
      <c r="AJ41" s="520"/>
      <c r="AK41" s="520"/>
      <c r="AL41" s="520"/>
      <c r="AM41" s="520"/>
      <c r="AN41" s="520"/>
    </row>
    <row r="42" spans="1:41" x14ac:dyDescent="0.25">
      <c r="A42" s="136" t="s">
        <v>99</v>
      </c>
      <c r="B42" s="137" t="s">
        <v>338</v>
      </c>
      <c r="C42" s="521">
        <v>17134</v>
      </c>
      <c r="D42" s="521">
        <v>3521</v>
      </c>
      <c r="E42" s="521">
        <v>2758</v>
      </c>
      <c r="F42" s="521">
        <v>457</v>
      </c>
      <c r="G42" s="521">
        <v>223</v>
      </c>
      <c r="H42" s="521">
        <v>79</v>
      </c>
      <c r="I42" s="521">
        <v>718</v>
      </c>
      <c r="J42" s="521">
        <v>427</v>
      </c>
      <c r="K42" s="521">
        <v>1</v>
      </c>
      <c r="L42" s="232">
        <f t="shared" si="9"/>
        <v>25318</v>
      </c>
      <c r="M42" s="521">
        <v>1307</v>
      </c>
      <c r="N42" s="521">
        <v>584</v>
      </c>
      <c r="O42" s="521">
        <v>700</v>
      </c>
      <c r="P42" s="521">
        <v>20</v>
      </c>
      <c r="Q42" s="521">
        <v>12</v>
      </c>
      <c r="R42" s="521">
        <v>329</v>
      </c>
      <c r="S42" s="521">
        <v>0</v>
      </c>
      <c r="T42" s="521">
        <v>6</v>
      </c>
      <c r="U42" s="521">
        <v>0</v>
      </c>
      <c r="V42" s="229">
        <f t="shared" si="10"/>
        <v>2958</v>
      </c>
      <c r="W42" s="204">
        <v>3028</v>
      </c>
      <c r="X42" s="204"/>
      <c r="Y42" s="204"/>
      <c r="Z42" s="214">
        <f t="shared" si="1"/>
        <v>31304</v>
      </c>
      <c r="AA42" s="215">
        <f t="shared" si="11"/>
        <v>23024</v>
      </c>
      <c r="AD42" s="520"/>
      <c r="AE42" s="520"/>
      <c r="AF42" s="520"/>
      <c r="AG42" s="520"/>
      <c r="AH42" s="520"/>
      <c r="AI42" s="520"/>
      <c r="AJ42" s="520"/>
      <c r="AK42" s="520"/>
      <c r="AL42" s="520"/>
      <c r="AM42" s="520"/>
      <c r="AN42" s="520"/>
    </row>
    <row r="43" spans="1:41" x14ac:dyDescent="0.25">
      <c r="A43" s="136" t="s">
        <v>113</v>
      </c>
      <c r="B43" s="137" t="s">
        <v>339</v>
      </c>
      <c r="C43" s="521">
        <v>3525</v>
      </c>
      <c r="D43" s="521">
        <v>1571</v>
      </c>
      <c r="E43" s="521">
        <v>1136</v>
      </c>
      <c r="F43" s="521">
        <v>120</v>
      </c>
      <c r="G43" s="521">
        <v>83</v>
      </c>
      <c r="H43" s="521">
        <v>0</v>
      </c>
      <c r="I43" s="521">
        <v>0</v>
      </c>
      <c r="J43" s="521">
        <v>238</v>
      </c>
      <c r="K43" s="521">
        <v>0</v>
      </c>
      <c r="L43" s="232">
        <f t="shared" si="9"/>
        <v>6673</v>
      </c>
      <c r="M43" s="521">
        <v>5360</v>
      </c>
      <c r="N43" s="521">
        <v>5921</v>
      </c>
      <c r="O43" s="521">
        <v>3771</v>
      </c>
      <c r="P43" s="521">
        <v>93</v>
      </c>
      <c r="Q43" s="521">
        <v>171</v>
      </c>
      <c r="R43" s="521">
        <v>147</v>
      </c>
      <c r="S43" s="521">
        <v>0</v>
      </c>
      <c r="T43" s="521">
        <v>7</v>
      </c>
      <c r="U43" s="521">
        <v>0</v>
      </c>
      <c r="V43" s="229">
        <f t="shared" si="10"/>
        <v>15470</v>
      </c>
      <c r="W43" s="204">
        <v>704</v>
      </c>
      <c r="X43" s="204"/>
      <c r="Y43" s="204"/>
      <c r="Z43" s="214">
        <f t="shared" si="1"/>
        <v>22847</v>
      </c>
      <c r="AA43" s="215">
        <f t="shared" si="11"/>
        <v>16590</v>
      </c>
      <c r="AD43" s="520"/>
      <c r="AE43" s="520"/>
      <c r="AF43" s="520"/>
      <c r="AG43" s="520"/>
      <c r="AH43" s="520"/>
      <c r="AI43" s="520"/>
      <c r="AJ43" s="520"/>
      <c r="AK43" s="520"/>
      <c r="AL43" s="520"/>
      <c r="AM43" s="520"/>
      <c r="AN43" s="520"/>
    </row>
    <row r="44" spans="1:41" x14ac:dyDescent="0.25">
      <c r="A44" s="136" t="s">
        <v>116</v>
      </c>
      <c r="B44" s="137" t="s">
        <v>316</v>
      </c>
      <c r="C44" s="521">
        <v>2805</v>
      </c>
      <c r="D44" s="521">
        <v>2494</v>
      </c>
      <c r="E44" s="521">
        <v>1118</v>
      </c>
      <c r="F44" s="521">
        <v>45</v>
      </c>
      <c r="G44" s="521">
        <v>271</v>
      </c>
      <c r="H44" s="521">
        <v>1</v>
      </c>
      <c r="I44" s="521">
        <v>16</v>
      </c>
      <c r="J44" s="521">
        <v>222</v>
      </c>
      <c r="K44" s="521">
        <v>205</v>
      </c>
      <c r="L44" s="232">
        <f t="shared" si="9"/>
        <v>7177</v>
      </c>
      <c r="M44" s="521">
        <v>153</v>
      </c>
      <c r="N44" s="521">
        <v>124</v>
      </c>
      <c r="O44" s="521">
        <v>163</v>
      </c>
      <c r="P44" s="521">
        <v>0</v>
      </c>
      <c r="Q44" s="521">
        <v>6</v>
      </c>
      <c r="R44" s="521">
        <v>133</v>
      </c>
      <c r="S44" s="521">
        <v>0</v>
      </c>
      <c r="T44" s="521">
        <v>0</v>
      </c>
      <c r="U44" s="521">
        <v>3</v>
      </c>
      <c r="V44" s="229">
        <f t="shared" si="10"/>
        <v>582</v>
      </c>
      <c r="W44" s="204">
        <v>822</v>
      </c>
      <c r="X44" s="204"/>
      <c r="Y44" s="204"/>
      <c r="Z44" s="214">
        <f t="shared" si="1"/>
        <v>8581</v>
      </c>
      <c r="AA44" s="215">
        <f t="shared" si="11"/>
        <v>5829</v>
      </c>
      <c r="AD44" s="520"/>
      <c r="AE44" s="520"/>
      <c r="AF44" s="520"/>
      <c r="AG44" s="520"/>
      <c r="AH44" s="520"/>
      <c r="AI44" s="520"/>
      <c r="AJ44" s="520"/>
      <c r="AK44" s="520"/>
      <c r="AL44" s="520"/>
      <c r="AM44" s="520"/>
      <c r="AN44" s="520"/>
    </row>
    <row r="45" spans="1:41" x14ac:dyDescent="0.25">
      <c r="A45" s="136" t="s">
        <v>117</v>
      </c>
      <c r="B45" s="137" t="s">
        <v>317</v>
      </c>
      <c r="C45" s="521">
        <v>4103</v>
      </c>
      <c r="D45" s="521">
        <v>2699</v>
      </c>
      <c r="E45" s="521">
        <v>2080</v>
      </c>
      <c r="F45" s="521">
        <v>164</v>
      </c>
      <c r="G45" s="521">
        <v>208</v>
      </c>
      <c r="H45" s="521">
        <v>18</v>
      </c>
      <c r="I45" s="521">
        <v>1329</v>
      </c>
      <c r="J45" s="521">
        <v>340</v>
      </c>
      <c r="K45" s="521">
        <v>0</v>
      </c>
      <c r="L45" s="232">
        <f t="shared" si="9"/>
        <v>10941</v>
      </c>
      <c r="M45" s="521">
        <v>743</v>
      </c>
      <c r="N45" s="521">
        <v>1440</v>
      </c>
      <c r="O45" s="521">
        <v>590</v>
      </c>
      <c r="P45" s="521">
        <v>49</v>
      </c>
      <c r="Q45" s="521">
        <v>39</v>
      </c>
      <c r="R45" s="521">
        <v>60</v>
      </c>
      <c r="S45" s="521">
        <v>333</v>
      </c>
      <c r="T45" s="521">
        <v>11</v>
      </c>
      <c r="U45" s="521">
        <v>0</v>
      </c>
      <c r="V45" s="229">
        <f t="shared" si="10"/>
        <v>3265</v>
      </c>
      <c r="W45" s="204">
        <v>1288</v>
      </c>
      <c r="X45" s="204"/>
      <c r="Y45" s="204"/>
      <c r="Z45" s="214">
        <f t="shared" si="1"/>
        <v>15494</v>
      </c>
      <c r="AA45" s="215">
        <f t="shared" si="11"/>
        <v>9198</v>
      </c>
      <c r="AD45" s="520"/>
      <c r="AE45" s="520"/>
      <c r="AF45" s="520"/>
      <c r="AG45" s="520"/>
      <c r="AH45" s="520"/>
      <c r="AI45" s="520"/>
      <c r="AJ45" s="520"/>
      <c r="AK45" s="520"/>
      <c r="AL45" s="520"/>
      <c r="AM45" s="520"/>
      <c r="AN45" s="520"/>
    </row>
    <row r="46" spans="1:41" x14ac:dyDescent="0.25">
      <c r="A46" s="136" t="s">
        <v>118</v>
      </c>
      <c r="B46" s="137" t="s">
        <v>340</v>
      </c>
      <c r="C46" s="521">
        <v>340</v>
      </c>
      <c r="D46" s="521">
        <v>615</v>
      </c>
      <c r="E46" s="521">
        <v>73</v>
      </c>
      <c r="F46" s="521">
        <v>64</v>
      </c>
      <c r="G46" s="521">
        <v>16</v>
      </c>
      <c r="H46" s="521">
        <v>0</v>
      </c>
      <c r="I46" s="521">
        <v>0</v>
      </c>
      <c r="J46" s="521">
        <v>94</v>
      </c>
      <c r="K46" s="521">
        <v>0</v>
      </c>
      <c r="L46" s="232">
        <f t="shared" si="9"/>
        <v>1202</v>
      </c>
      <c r="M46" s="521">
        <v>241</v>
      </c>
      <c r="N46" s="521">
        <v>228</v>
      </c>
      <c r="O46" s="521">
        <v>87</v>
      </c>
      <c r="P46" s="521">
        <v>21</v>
      </c>
      <c r="Q46" s="521">
        <v>4</v>
      </c>
      <c r="R46" s="521">
        <v>0</v>
      </c>
      <c r="S46" s="521">
        <v>0</v>
      </c>
      <c r="T46" s="521">
        <v>28</v>
      </c>
      <c r="U46" s="521">
        <v>0</v>
      </c>
      <c r="V46" s="229">
        <f t="shared" si="10"/>
        <v>609</v>
      </c>
      <c r="W46" s="204">
        <v>256</v>
      </c>
      <c r="X46" s="204">
        <v>147</v>
      </c>
      <c r="Y46" s="204">
        <v>31</v>
      </c>
      <c r="Z46" s="214">
        <f t="shared" si="1"/>
        <v>2245</v>
      </c>
      <c r="AA46" s="215">
        <f t="shared" si="11"/>
        <v>1509</v>
      </c>
      <c r="AD46" s="520"/>
      <c r="AE46" s="520"/>
      <c r="AF46" s="520"/>
      <c r="AG46" s="520"/>
      <c r="AH46" s="520"/>
      <c r="AI46" s="520"/>
      <c r="AJ46" s="520"/>
      <c r="AK46" s="520"/>
      <c r="AL46" s="520"/>
      <c r="AM46" s="520"/>
      <c r="AN46" s="520"/>
    </row>
    <row r="47" spans="1:41" x14ac:dyDescent="0.25">
      <c r="A47" s="136" t="s">
        <v>122</v>
      </c>
      <c r="B47" s="137" t="s">
        <v>341</v>
      </c>
      <c r="C47" s="521">
        <v>3384</v>
      </c>
      <c r="D47" s="521">
        <v>2390</v>
      </c>
      <c r="E47" s="521">
        <v>1018</v>
      </c>
      <c r="F47" s="521">
        <v>207</v>
      </c>
      <c r="G47" s="521">
        <v>237</v>
      </c>
      <c r="H47" s="521">
        <v>44</v>
      </c>
      <c r="I47" s="521">
        <v>717</v>
      </c>
      <c r="J47" s="521">
        <v>979</v>
      </c>
      <c r="K47" s="521">
        <v>2</v>
      </c>
      <c r="L47" s="232">
        <f t="shared" si="9"/>
        <v>8978</v>
      </c>
      <c r="M47" s="521">
        <v>3150</v>
      </c>
      <c r="N47" s="521">
        <v>4308</v>
      </c>
      <c r="O47" s="521">
        <v>2464</v>
      </c>
      <c r="P47" s="521">
        <v>218</v>
      </c>
      <c r="Q47" s="521">
        <v>229</v>
      </c>
      <c r="R47" s="521">
        <v>112</v>
      </c>
      <c r="S47" s="521">
        <v>25</v>
      </c>
      <c r="T47" s="521">
        <v>27</v>
      </c>
      <c r="U47" s="521">
        <v>5</v>
      </c>
      <c r="V47" s="229">
        <f t="shared" si="10"/>
        <v>10538</v>
      </c>
      <c r="W47" s="204">
        <v>1293</v>
      </c>
      <c r="X47" s="204"/>
      <c r="Y47" s="204"/>
      <c r="Z47" s="214">
        <f t="shared" si="1"/>
        <v>20809</v>
      </c>
      <c r="AA47" s="215">
        <f t="shared" si="11"/>
        <v>13664</v>
      </c>
      <c r="AD47" s="520"/>
      <c r="AE47" s="520"/>
      <c r="AF47" s="520"/>
      <c r="AG47" s="520"/>
      <c r="AH47" s="520"/>
      <c r="AI47" s="520"/>
      <c r="AJ47" s="520"/>
      <c r="AK47" s="520"/>
      <c r="AL47" s="520"/>
      <c r="AM47" s="520"/>
      <c r="AN47" s="520"/>
    </row>
    <row r="48" spans="1:41" ht="17.25" customHeight="1" x14ac:dyDescent="0.25">
      <c r="A48" s="136" t="s">
        <v>140</v>
      </c>
      <c r="B48" s="137" t="s">
        <v>265</v>
      </c>
      <c r="C48" s="230"/>
      <c r="D48" s="128"/>
      <c r="E48" s="128"/>
      <c r="F48" s="128"/>
      <c r="G48" s="128"/>
      <c r="H48" s="128"/>
      <c r="I48" s="128"/>
      <c r="J48" s="128"/>
      <c r="K48" s="128"/>
      <c r="L48" s="232">
        <f t="shared" si="9"/>
        <v>0</v>
      </c>
      <c r="M48" s="147"/>
      <c r="N48" s="147"/>
      <c r="O48" s="147"/>
      <c r="P48" s="147"/>
      <c r="Q48" s="147"/>
      <c r="R48" s="147"/>
      <c r="S48" s="147"/>
      <c r="T48" s="147"/>
      <c r="U48" s="147"/>
      <c r="V48" s="229"/>
      <c r="W48" s="205"/>
      <c r="X48" s="204">
        <v>3484</v>
      </c>
      <c r="Y48" s="204">
        <v>731</v>
      </c>
      <c r="Z48" s="214">
        <f t="shared" si="1"/>
        <v>4215</v>
      </c>
      <c r="AA48" s="215">
        <f t="shared" si="11"/>
        <v>0</v>
      </c>
      <c r="AD48" s="520"/>
      <c r="AE48" s="520"/>
      <c r="AF48" s="520"/>
      <c r="AG48" s="520"/>
      <c r="AH48" s="520"/>
      <c r="AI48" s="520"/>
      <c r="AJ48" s="520"/>
      <c r="AK48" s="520"/>
      <c r="AL48" s="520"/>
      <c r="AM48" s="520"/>
      <c r="AN48" s="520"/>
    </row>
    <row r="49" spans="1:41" x14ac:dyDescent="0.25">
      <c r="A49" s="136" t="s">
        <v>141</v>
      </c>
      <c r="B49" s="137" t="s">
        <v>342</v>
      </c>
      <c r="C49" s="521">
        <v>1432</v>
      </c>
      <c r="D49" s="521">
        <v>997</v>
      </c>
      <c r="E49" s="521">
        <v>238</v>
      </c>
      <c r="F49" s="521">
        <v>129</v>
      </c>
      <c r="G49" s="521">
        <v>33</v>
      </c>
      <c r="H49" s="521">
        <v>1</v>
      </c>
      <c r="I49" s="521">
        <v>0</v>
      </c>
      <c r="J49" s="521">
        <v>108</v>
      </c>
      <c r="K49" s="521">
        <v>8</v>
      </c>
      <c r="L49" s="232">
        <f t="shared" si="9"/>
        <v>2946</v>
      </c>
      <c r="M49" s="521">
        <v>445</v>
      </c>
      <c r="N49" s="521">
        <v>1079</v>
      </c>
      <c r="O49" s="521">
        <v>289</v>
      </c>
      <c r="P49" s="521">
        <v>31</v>
      </c>
      <c r="Q49" s="521">
        <v>34</v>
      </c>
      <c r="R49" s="521">
        <v>8</v>
      </c>
      <c r="S49" s="521">
        <v>0</v>
      </c>
      <c r="T49" s="521">
        <v>33</v>
      </c>
      <c r="U49" s="385"/>
      <c r="V49" s="229">
        <f t="shared" ref="V49:V54" si="12">SUM(M49:U49)</f>
        <v>1919</v>
      </c>
      <c r="W49" s="204">
        <v>864</v>
      </c>
      <c r="X49" s="204"/>
      <c r="Y49" s="204"/>
      <c r="Z49" s="214">
        <f t="shared" si="1"/>
        <v>5729</v>
      </c>
      <c r="AA49" s="215">
        <f t="shared" ref="AA49:AA54" si="13">C49+D49+F49+K49+M49+N49+P49+U49</f>
        <v>4121</v>
      </c>
      <c r="AD49" s="520"/>
      <c r="AE49" s="520"/>
      <c r="AF49" s="520"/>
      <c r="AG49" s="520"/>
      <c r="AH49" s="520"/>
      <c r="AI49" s="520"/>
      <c r="AJ49" s="520"/>
      <c r="AK49" s="520"/>
      <c r="AL49" s="520"/>
      <c r="AM49" s="520"/>
      <c r="AN49" s="520"/>
    </row>
    <row r="50" spans="1:41" x14ac:dyDescent="0.25">
      <c r="A50" s="136" t="s">
        <v>142</v>
      </c>
      <c r="B50" s="137" t="s">
        <v>343</v>
      </c>
      <c r="C50" s="521">
        <v>0</v>
      </c>
      <c r="D50" s="521">
        <v>0</v>
      </c>
      <c r="E50" s="521">
        <v>1624</v>
      </c>
      <c r="F50" s="521">
        <v>0</v>
      </c>
      <c r="G50" s="521">
        <v>0</v>
      </c>
      <c r="H50" s="521">
        <v>0</v>
      </c>
      <c r="I50" s="521">
        <v>0</v>
      </c>
      <c r="J50" s="521">
        <v>15359</v>
      </c>
      <c r="K50" s="521">
        <v>0</v>
      </c>
      <c r="L50" s="232">
        <f t="shared" si="9"/>
        <v>16983</v>
      </c>
      <c r="M50" s="521">
        <v>0</v>
      </c>
      <c r="N50" s="521">
        <v>0</v>
      </c>
      <c r="O50" s="521">
        <v>0</v>
      </c>
      <c r="P50" s="521">
        <v>0</v>
      </c>
      <c r="Q50" s="521">
        <v>0</v>
      </c>
      <c r="R50" s="521">
        <v>0</v>
      </c>
      <c r="S50" s="521">
        <v>0</v>
      </c>
      <c r="T50" s="521">
        <v>2</v>
      </c>
      <c r="U50" s="385"/>
      <c r="V50" s="229">
        <f t="shared" si="12"/>
        <v>2</v>
      </c>
      <c r="W50" s="204">
        <f>587+562</f>
        <v>1149</v>
      </c>
      <c r="X50" s="204"/>
      <c r="Y50" s="204"/>
      <c r="Z50" s="214">
        <f t="shared" si="1"/>
        <v>18134</v>
      </c>
      <c r="AA50" s="215">
        <f t="shared" si="13"/>
        <v>0</v>
      </c>
      <c r="AD50" s="520"/>
      <c r="AE50" s="520"/>
      <c r="AF50" s="520"/>
      <c r="AG50" s="520"/>
      <c r="AH50" s="520"/>
      <c r="AI50" s="520"/>
      <c r="AJ50" s="520"/>
      <c r="AK50" s="520"/>
      <c r="AL50" s="520"/>
      <c r="AM50" s="520"/>
      <c r="AN50" s="520"/>
    </row>
    <row r="51" spans="1:41" x14ac:dyDescent="0.25">
      <c r="A51" s="136" t="s">
        <v>147</v>
      </c>
      <c r="B51" s="137" t="s">
        <v>322</v>
      </c>
      <c r="C51" s="521">
        <v>10884</v>
      </c>
      <c r="D51" s="521">
        <v>3780</v>
      </c>
      <c r="E51" s="521">
        <v>2085</v>
      </c>
      <c r="F51" s="521">
        <v>140</v>
      </c>
      <c r="G51" s="521">
        <v>175</v>
      </c>
      <c r="H51" s="521">
        <v>7</v>
      </c>
      <c r="I51" s="521">
        <v>778</v>
      </c>
      <c r="J51" s="521">
        <v>1140</v>
      </c>
      <c r="K51" s="521">
        <v>0</v>
      </c>
      <c r="L51" s="232">
        <f t="shared" si="9"/>
        <v>18989</v>
      </c>
      <c r="M51" s="521">
        <v>1721</v>
      </c>
      <c r="N51" s="521">
        <v>1892</v>
      </c>
      <c r="O51" s="521">
        <v>781</v>
      </c>
      <c r="P51" s="521">
        <v>57</v>
      </c>
      <c r="Q51" s="521">
        <v>57</v>
      </c>
      <c r="R51" s="521">
        <v>218</v>
      </c>
      <c r="S51" s="521">
        <v>0</v>
      </c>
      <c r="T51" s="521">
        <v>33</v>
      </c>
      <c r="U51" s="385"/>
      <c r="V51" s="229">
        <f t="shared" si="12"/>
        <v>4759</v>
      </c>
      <c r="W51" s="204">
        <v>382</v>
      </c>
      <c r="X51" s="204"/>
      <c r="Y51" s="204"/>
      <c r="Z51" s="214">
        <f t="shared" si="1"/>
        <v>24130</v>
      </c>
      <c r="AA51" s="215">
        <f t="shared" si="13"/>
        <v>18474</v>
      </c>
      <c r="AD51" s="520"/>
      <c r="AE51" s="520"/>
      <c r="AF51" s="520"/>
      <c r="AG51" s="520"/>
      <c r="AH51" s="520"/>
      <c r="AI51" s="520"/>
      <c r="AJ51" s="520"/>
      <c r="AK51" s="520"/>
      <c r="AL51" s="520"/>
      <c r="AM51" s="520"/>
      <c r="AN51" s="520"/>
    </row>
    <row r="52" spans="1:41" x14ac:dyDescent="0.25">
      <c r="A52" s="141" t="s">
        <v>365</v>
      </c>
      <c r="B52" s="228" t="s">
        <v>366</v>
      </c>
      <c r="C52" s="230"/>
      <c r="D52" s="128"/>
      <c r="E52" s="128"/>
      <c r="F52" s="128"/>
      <c r="G52" s="128"/>
      <c r="H52" s="128"/>
      <c r="I52" s="128"/>
      <c r="J52" s="128">
        <v>3307</v>
      </c>
      <c r="K52" s="128"/>
      <c r="L52" s="232">
        <f t="shared" si="9"/>
        <v>3307</v>
      </c>
      <c r="M52" s="147"/>
      <c r="N52" s="147"/>
      <c r="O52" s="147"/>
      <c r="P52" s="147"/>
      <c r="Q52" s="147"/>
      <c r="R52" s="147"/>
      <c r="S52" s="147"/>
      <c r="T52" s="147">
        <v>1401</v>
      </c>
      <c r="U52" s="147"/>
      <c r="V52" s="229">
        <f t="shared" si="12"/>
        <v>1401</v>
      </c>
      <c r="W52" s="205"/>
      <c r="X52" s="204"/>
      <c r="Y52" s="204"/>
      <c r="Z52" s="214">
        <f t="shared" si="1"/>
        <v>4708</v>
      </c>
      <c r="AA52" s="215">
        <f t="shared" si="13"/>
        <v>0</v>
      </c>
      <c r="AD52" s="520"/>
      <c r="AE52" s="520"/>
      <c r="AF52" s="520"/>
      <c r="AG52" s="520"/>
      <c r="AH52" s="520"/>
      <c r="AI52" s="520"/>
      <c r="AJ52" s="520"/>
      <c r="AK52" s="520"/>
      <c r="AL52" s="520"/>
      <c r="AM52" s="520"/>
      <c r="AN52" s="520"/>
    </row>
    <row r="53" spans="1:41" x14ac:dyDescent="0.25">
      <c r="A53" s="136" t="s">
        <v>174</v>
      </c>
      <c r="B53" s="137" t="s">
        <v>344</v>
      </c>
      <c r="C53" s="521">
        <v>7832</v>
      </c>
      <c r="D53" s="521">
        <v>3590</v>
      </c>
      <c r="E53" s="521">
        <v>1661</v>
      </c>
      <c r="F53" s="521">
        <v>219</v>
      </c>
      <c r="G53" s="521">
        <v>152</v>
      </c>
      <c r="H53" s="521">
        <v>3</v>
      </c>
      <c r="I53" s="521">
        <v>700</v>
      </c>
      <c r="J53" s="521">
        <v>452</v>
      </c>
      <c r="K53" s="521">
        <v>2</v>
      </c>
      <c r="L53" s="232">
        <f t="shared" si="9"/>
        <v>14611</v>
      </c>
      <c r="M53" s="521">
        <v>913</v>
      </c>
      <c r="N53" s="521">
        <v>1075</v>
      </c>
      <c r="O53" s="521">
        <v>482</v>
      </c>
      <c r="P53" s="521">
        <v>108</v>
      </c>
      <c r="Q53" s="521">
        <v>31</v>
      </c>
      <c r="R53" s="521">
        <v>108</v>
      </c>
      <c r="S53" s="521">
        <v>0</v>
      </c>
      <c r="T53" s="521">
        <v>37</v>
      </c>
      <c r="U53" s="385"/>
      <c r="V53" s="229">
        <f t="shared" si="12"/>
        <v>2754</v>
      </c>
      <c r="W53" s="204">
        <v>979</v>
      </c>
      <c r="X53" s="204"/>
      <c r="Y53" s="204"/>
      <c r="Z53" s="214">
        <f t="shared" si="1"/>
        <v>18344</v>
      </c>
      <c r="AA53" s="215">
        <f t="shared" si="13"/>
        <v>13739</v>
      </c>
      <c r="AD53" s="520"/>
      <c r="AE53" s="520"/>
      <c r="AF53" s="520"/>
      <c r="AG53" s="520"/>
      <c r="AH53" s="520"/>
      <c r="AI53" s="520"/>
      <c r="AJ53" s="520"/>
      <c r="AK53" s="520"/>
      <c r="AL53" s="520"/>
      <c r="AM53" s="520"/>
      <c r="AN53" s="520"/>
    </row>
    <row r="54" spans="1:41" ht="13.8" thickBot="1" x14ac:dyDescent="0.3">
      <c r="A54" s="136" t="s">
        <v>186</v>
      </c>
      <c r="B54" s="137" t="s">
        <v>345</v>
      </c>
      <c r="C54" s="522">
        <v>746</v>
      </c>
      <c r="D54" s="522">
        <v>750</v>
      </c>
      <c r="E54" s="522">
        <v>127</v>
      </c>
      <c r="F54" s="522">
        <v>68</v>
      </c>
      <c r="G54" s="522">
        <v>27</v>
      </c>
      <c r="H54" s="522">
        <v>5</v>
      </c>
      <c r="I54" s="522">
        <v>10</v>
      </c>
      <c r="J54" s="522">
        <v>284</v>
      </c>
      <c r="K54" s="522">
        <v>0</v>
      </c>
      <c r="L54" s="239">
        <f t="shared" si="9"/>
        <v>2017</v>
      </c>
      <c r="M54" s="522">
        <v>704</v>
      </c>
      <c r="N54" s="522">
        <v>2238</v>
      </c>
      <c r="O54" s="522">
        <v>299</v>
      </c>
      <c r="P54" s="522">
        <v>193</v>
      </c>
      <c r="Q54" s="522">
        <v>61</v>
      </c>
      <c r="R54" s="522">
        <v>0</v>
      </c>
      <c r="S54" s="522">
        <v>0</v>
      </c>
      <c r="T54" s="522">
        <v>48</v>
      </c>
      <c r="U54" s="386"/>
      <c r="V54" s="231">
        <f t="shared" si="12"/>
        <v>3543</v>
      </c>
      <c r="W54" s="209">
        <v>785</v>
      </c>
      <c r="X54" s="209"/>
      <c r="Y54" s="209"/>
      <c r="Z54" s="214">
        <f t="shared" si="1"/>
        <v>6345</v>
      </c>
      <c r="AA54" s="217">
        <f t="shared" si="13"/>
        <v>4699</v>
      </c>
      <c r="AD54" s="520"/>
      <c r="AE54" s="520"/>
      <c r="AF54" s="520"/>
      <c r="AG54" s="520"/>
      <c r="AH54" s="520"/>
      <c r="AI54" s="520"/>
      <c r="AJ54" s="520"/>
      <c r="AK54" s="520"/>
      <c r="AL54" s="520"/>
      <c r="AM54" s="520"/>
      <c r="AN54" s="520"/>
    </row>
    <row r="55" spans="1:41" s="109" customFormat="1" ht="14.4" thickBot="1" x14ac:dyDescent="0.3">
      <c r="A55" s="134"/>
      <c r="B55" s="159" t="s">
        <v>459</v>
      </c>
      <c r="C55" s="258">
        <f t="shared" ref="C55:AA55" si="14">SUM(C38:C54)</f>
        <v>58356</v>
      </c>
      <c r="D55" s="157">
        <f t="shared" si="14"/>
        <v>27212</v>
      </c>
      <c r="E55" s="157">
        <f t="shared" si="14"/>
        <v>16165</v>
      </c>
      <c r="F55" s="157">
        <f t="shared" si="14"/>
        <v>1875</v>
      </c>
      <c r="G55" s="157">
        <f t="shared" si="14"/>
        <v>1748</v>
      </c>
      <c r="H55" s="157">
        <f t="shared" si="14"/>
        <v>170</v>
      </c>
      <c r="I55" s="157">
        <f t="shared" si="14"/>
        <v>4335</v>
      </c>
      <c r="J55" s="157">
        <f t="shared" si="14"/>
        <v>23675</v>
      </c>
      <c r="K55" s="259">
        <f t="shared" si="14"/>
        <v>482</v>
      </c>
      <c r="L55" s="260">
        <f t="shared" si="14"/>
        <v>134018</v>
      </c>
      <c r="M55" s="262">
        <f t="shared" si="14"/>
        <v>17899</v>
      </c>
      <c r="N55" s="158">
        <f t="shared" si="14"/>
        <v>22480</v>
      </c>
      <c r="O55" s="264">
        <f t="shared" si="14"/>
        <v>11474</v>
      </c>
      <c r="P55" s="262">
        <f t="shared" si="14"/>
        <v>954</v>
      </c>
      <c r="Q55" s="158">
        <f t="shared" si="14"/>
        <v>777</v>
      </c>
      <c r="R55" s="158">
        <f t="shared" si="14"/>
        <v>1247</v>
      </c>
      <c r="S55" s="158">
        <f t="shared" si="14"/>
        <v>381</v>
      </c>
      <c r="T55" s="264">
        <f t="shared" si="14"/>
        <v>1741</v>
      </c>
      <c r="U55" s="401">
        <f t="shared" si="14"/>
        <v>143</v>
      </c>
      <c r="V55" s="180">
        <f t="shared" si="14"/>
        <v>57096</v>
      </c>
      <c r="W55" s="210">
        <f t="shared" si="14"/>
        <v>14631</v>
      </c>
      <c r="X55" s="210">
        <f t="shared" si="14"/>
        <v>3631</v>
      </c>
      <c r="Y55" s="210">
        <f t="shared" si="14"/>
        <v>762</v>
      </c>
      <c r="Z55" s="210">
        <f t="shared" si="14"/>
        <v>210138</v>
      </c>
      <c r="AA55" s="210">
        <f t="shared" si="14"/>
        <v>129401</v>
      </c>
      <c r="AC55"/>
      <c r="AD55" s="520"/>
      <c r="AE55" s="520"/>
      <c r="AF55" s="520"/>
      <c r="AG55" s="520"/>
      <c r="AH55" s="520"/>
      <c r="AI55" s="520"/>
      <c r="AJ55" s="520"/>
      <c r="AK55" s="520"/>
      <c r="AL55" s="520"/>
      <c r="AM55" s="520"/>
      <c r="AN55" s="520"/>
      <c r="AO55"/>
    </row>
    <row r="56" spans="1:41" x14ac:dyDescent="0.25">
      <c r="A56" s="136" t="s">
        <v>71</v>
      </c>
      <c r="B56" s="137" t="s">
        <v>305</v>
      </c>
      <c r="C56" s="523">
        <v>1</v>
      </c>
      <c r="D56" s="523">
        <v>0</v>
      </c>
      <c r="E56" s="523">
        <v>0</v>
      </c>
      <c r="F56" s="523">
        <v>0</v>
      </c>
      <c r="G56" s="523">
        <v>0</v>
      </c>
      <c r="H56" s="523">
        <v>0</v>
      </c>
      <c r="I56" s="523">
        <v>0</v>
      </c>
      <c r="J56" s="523">
        <v>3990</v>
      </c>
      <c r="K56" s="523">
        <v>0</v>
      </c>
      <c r="L56" s="232">
        <f t="shared" ref="L56:L71" si="15">SUM(C56:K56)</f>
        <v>3991</v>
      </c>
      <c r="M56" s="523">
        <v>0</v>
      </c>
      <c r="N56" s="523">
        <v>0</v>
      </c>
      <c r="O56" s="523">
        <v>0</v>
      </c>
      <c r="P56" s="523">
        <v>0</v>
      </c>
      <c r="Q56" s="523">
        <v>0</v>
      </c>
      <c r="R56" s="523">
        <v>0</v>
      </c>
      <c r="S56" s="523">
        <v>0</v>
      </c>
      <c r="T56" s="523">
        <v>0</v>
      </c>
      <c r="U56" s="192"/>
      <c r="V56" s="176">
        <f t="shared" ref="V56:V65" si="16">SUM(M56:U56)</f>
        <v>0</v>
      </c>
      <c r="W56" s="211">
        <f>14124+5330+11443</f>
        <v>30897</v>
      </c>
      <c r="X56" s="211"/>
      <c r="Y56" s="211"/>
      <c r="Z56" s="214">
        <f t="shared" si="1"/>
        <v>34888</v>
      </c>
      <c r="AA56" s="215">
        <f t="shared" ref="AA56:AA65" si="17">C56+D56+F56+K56+M56+N56+P56+U56</f>
        <v>1</v>
      </c>
      <c r="AB56" s="142">
        <f>L56</f>
        <v>3991</v>
      </c>
      <c r="AD56" s="520"/>
      <c r="AE56" s="520"/>
      <c r="AF56" s="520"/>
      <c r="AG56" s="520"/>
      <c r="AH56" s="520"/>
      <c r="AI56" s="520"/>
      <c r="AJ56" s="520"/>
      <c r="AK56" s="520"/>
      <c r="AL56" s="520"/>
      <c r="AM56" s="520"/>
      <c r="AN56" s="520"/>
    </row>
    <row r="57" spans="1:41" x14ac:dyDescent="0.25">
      <c r="A57" s="136" t="s">
        <v>77</v>
      </c>
      <c r="B57" s="137" t="s">
        <v>306</v>
      </c>
      <c r="C57" s="521">
        <v>11028</v>
      </c>
      <c r="D57" s="521">
        <v>4621</v>
      </c>
      <c r="E57" s="521">
        <v>4629</v>
      </c>
      <c r="F57" s="521">
        <v>416</v>
      </c>
      <c r="G57" s="521">
        <v>137</v>
      </c>
      <c r="H57" s="521">
        <v>0</v>
      </c>
      <c r="I57" s="521">
        <v>455</v>
      </c>
      <c r="J57" s="521">
        <v>1154</v>
      </c>
      <c r="K57" s="521">
        <v>52</v>
      </c>
      <c r="L57" s="232">
        <f t="shared" si="15"/>
        <v>22492</v>
      </c>
      <c r="M57" s="521">
        <v>1008</v>
      </c>
      <c r="N57" s="521">
        <v>1538</v>
      </c>
      <c r="O57" s="521">
        <v>1037</v>
      </c>
      <c r="P57" s="521">
        <v>34</v>
      </c>
      <c r="Q57" s="521">
        <v>34</v>
      </c>
      <c r="R57" s="521">
        <v>42</v>
      </c>
      <c r="S57" s="521">
        <v>0</v>
      </c>
      <c r="T57" s="521">
        <v>142</v>
      </c>
      <c r="U57" s="189"/>
      <c r="V57" s="176">
        <f t="shared" si="16"/>
        <v>3835</v>
      </c>
      <c r="W57" s="204">
        <v>1782</v>
      </c>
      <c r="X57" s="204"/>
      <c r="Y57" s="204"/>
      <c r="Z57" s="214">
        <f t="shared" si="1"/>
        <v>28109</v>
      </c>
      <c r="AA57" s="215">
        <f t="shared" si="17"/>
        <v>18697</v>
      </c>
      <c r="AD57" s="520"/>
      <c r="AE57" s="520"/>
      <c r="AF57" s="520"/>
      <c r="AG57" s="520"/>
      <c r="AH57" s="520"/>
      <c r="AI57" s="520"/>
      <c r="AJ57" s="520"/>
      <c r="AK57" s="520"/>
      <c r="AL57" s="520"/>
      <c r="AM57" s="520"/>
      <c r="AN57" s="520"/>
    </row>
    <row r="58" spans="1:41" x14ac:dyDescent="0.25">
      <c r="A58" s="136" t="s">
        <v>102</v>
      </c>
      <c r="B58" s="137" t="s">
        <v>315</v>
      </c>
      <c r="C58" s="521">
        <v>0</v>
      </c>
      <c r="D58" s="521">
        <v>0</v>
      </c>
      <c r="E58" s="521">
        <v>40</v>
      </c>
      <c r="F58" s="521">
        <v>0</v>
      </c>
      <c r="G58" s="521">
        <v>0</v>
      </c>
      <c r="H58" s="521">
        <v>0</v>
      </c>
      <c r="I58" s="521">
        <v>0</v>
      </c>
      <c r="J58" s="521">
        <v>219</v>
      </c>
      <c r="K58" s="521">
        <v>0</v>
      </c>
      <c r="L58" s="232">
        <f t="shared" si="15"/>
        <v>259</v>
      </c>
      <c r="M58" s="521">
        <v>0</v>
      </c>
      <c r="N58" s="521">
        <v>0</v>
      </c>
      <c r="O58" s="521">
        <v>0</v>
      </c>
      <c r="P58" s="521">
        <v>0</v>
      </c>
      <c r="Q58" s="521">
        <v>0</v>
      </c>
      <c r="R58" s="521">
        <v>0</v>
      </c>
      <c r="S58" s="521">
        <v>0</v>
      </c>
      <c r="T58" s="521">
        <v>0</v>
      </c>
      <c r="U58" s="189"/>
      <c r="V58" s="176">
        <f>SUM(M58:U58)</f>
        <v>0</v>
      </c>
      <c r="W58" s="205"/>
      <c r="X58" s="204"/>
      <c r="Y58" s="204"/>
      <c r="Z58" s="214">
        <f t="shared" si="1"/>
        <v>259</v>
      </c>
      <c r="AA58" s="215">
        <f>C58+D58+F58+K58+M58+N58+P58+U58</f>
        <v>0</v>
      </c>
      <c r="AD58" s="520"/>
      <c r="AE58" s="520"/>
      <c r="AF58" s="520"/>
      <c r="AG58" s="520"/>
      <c r="AH58" s="520"/>
      <c r="AI58" s="520"/>
      <c r="AJ58" s="520"/>
      <c r="AK58" s="520"/>
      <c r="AL58" s="520"/>
      <c r="AM58" s="520"/>
      <c r="AN58" s="520"/>
    </row>
    <row r="59" spans="1:41" x14ac:dyDescent="0.25">
      <c r="A59" s="136" t="s">
        <v>103</v>
      </c>
      <c r="B59" s="137" t="s">
        <v>297</v>
      </c>
      <c r="C59" s="521">
        <v>419</v>
      </c>
      <c r="D59" s="521">
        <v>109</v>
      </c>
      <c r="E59" s="521">
        <v>128</v>
      </c>
      <c r="F59" s="521">
        <v>15</v>
      </c>
      <c r="G59" s="521">
        <v>10</v>
      </c>
      <c r="H59" s="521">
        <v>0</v>
      </c>
      <c r="I59" s="521">
        <v>0</v>
      </c>
      <c r="J59" s="521">
        <v>10</v>
      </c>
      <c r="K59" s="521">
        <v>0</v>
      </c>
      <c r="L59" s="232">
        <f t="shared" si="15"/>
        <v>691</v>
      </c>
      <c r="M59" s="521">
        <v>51</v>
      </c>
      <c r="N59" s="521">
        <v>26</v>
      </c>
      <c r="O59" s="521">
        <v>31</v>
      </c>
      <c r="P59" s="521">
        <v>2</v>
      </c>
      <c r="Q59" s="521">
        <v>0</v>
      </c>
      <c r="R59" s="521">
        <v>0</v>
      </c>
      <c r="S59" s="521">
        <v>0</v>
      </c>
      <c r="T59" s="521">
        <v>0</v>
      </c>
      <c r="U59" s="189"/>
      <c r="V59" s="176">
        <f>SUM(M59:U59)</f>
        <v>110</v>
      </c>
      <c r="W59" s="204">
        <v>229</v>
      </c>
      <c r="X59" s="204"/>
      <c r="Y59" s="204"/>
      <c r="Z59" s="214">
        <f t="shared" si="1"/>
        <v>1030</v>
      </c>
      <c r="AA59" s="215">
        <f>C59+D59+F59+K59+M59+N59+P59+U59</f>
        <v>622</v>
      </c>
      <c r="AD59" s="520"/>
      <c r="AE59" s="520"/>
      <c r="AF59" s="520"/>
      <c r="AG59" s="520"/>
      <c r="AH59" s="520"/>
      <c r="AI59" s="520"/>
      <c r="AJ59" s="520"/>
      <c r="AK59" s="520"/>
      <c r="AL59" s="520"/>
      <c r="AM59" s="520"/>
      <c r="AN59" s="520"/>
    </row>
    <row r="60" spans="1:41" x14ac:dyDescent="0.25">
      <c r="A60" s="136" t="s">
        <v>112</v>
      </c>
      <c r="B60" s="137" t="s">
        <v>307</v>
      </c>
      <c r="C60" s="521">
        <v>3100</v>
      </c>
      <c r="D60" s="521">
        <v>1928</v>
      </c>
      <c r="E60" s="521">
        <v>1349</v>
      </c>
      <c r="F60" s="521">
        <v>73</v>
      </c>
      <c r="G60" s="521">
        <v>47</v>
      </c>
      <c r="H60" s="521">
        <v>0</v>
      </c>
      <c r="I60" s="521">
        <v>937</v>
      </c>
      <c r="J60" s="521">
        <v>524</v>
      </c>
      <c r="K60" s="521">
        <v>0</v>
      </c>
      <c r="L60" s="232">
        <f t="shared" si="15"/>
        <v>7958</v>
      </c>
      <c r="M60" s="521">
        <v>1492</v>
      </c>
      <c r="N60" s="521">
        <v>1632</v>
      </c>
      <c r="O60" s="521">
        <v>533</v>
      </c>
      <c r="P60" s="521">
        <v>65</v>
      </c>
      <c r="Q60" s="521">
        <v>45</v>
      </c>
      <c r="R60" s="521">
        <v>275</v>
      </c>
      <c r="S60" s="521">
        <v>0</v>
      </c>
      <c r="T60" s="521">
        <v>17</v>
      </c>
      <c r="U60" s="230"/>
      <c r="V60" s="229">
        <f t="shared" si="16"/>
        <v>4059</v>
      </c>
      <c r="W60" s="204">
        <v>266</v>
      </c>
      <c r="X60" s="204"/>
      <c r="Y60" s="204"/>
      <c r="Z60" s="214">
        <f t="shared" si="1"/>
        <v>12283</v>
      </c>
      <c r="AA60" s="215">
        <f t="shared" si="17"/>
        <v>8290</v>
      </c>
      <c r="AD60" s="520"/>
      <c r="AE60" s="520"/>
      <c r="AF60" s="520"/>
      <c r="AG60" s="520"/>
      <c r="AH60" s="520"/>
      <c r="AI60" s="520"/>
      <c r="AJ60" s="520"/>
      <c r="AK60" s="520"/>
      <c r="AL60" s="520"/>
      <c r="AM60" s="520"/>
      <c r="AN60" s="520"/>
    </row>
    <row r="61" spans="1:41" x14ac:dyDescent="0.25">
      <c r="A61" s="136" t="s">
        <v>120</v>
      </c>
      <c r="B61" s="137" t="s">
        <v>318</v>
      </c>
      <c r="C61" s="521">
        <v>7261</v>
      </c>
      <c r="D61" s="521">
        <v>2189</v>
      </c>
      <c r="E61" s="521">
        <v>1927</v>
      </c>
      <c r="F61" s="521">
        <v>105</v>
      </c>
      <c r="G61" s="521">
        <v>167</v>
      </c>
      <c r="H61" s="521">
        <v>0</v>
      </c>
      <c r="I61" s="521">
        <v>82</v>
      </c>
      <c r="J61" s="521">
        <v>1022</v>
      </c>
      <c r="K61" s="521">
        <v>565</v>
      </c>
      <c r="L61" s="232">
        <f t="shared" si="15"/>
        <v>13318</v>
      </c>
      <c r="M61" s="521">
        <v>2291</v>
      </c>
      <c r="N61" s="521">
        <v>1581</v>
      </c>
      <c r="O61" s="521">
        <v>1477</v>
      </c>
      <c r="P61" s="521">
        <v>80</v>
      </c>
      <c r="Q61" s="521">
        <v>61</v>
      </c>
      <c r="R61" s="521">
        <v>52</v>
      </c>
      <c r="S61" s="521">
        <v>0</v>
      </c>
      <c r="T61" s="521">
        <v>125</v>
      </c>
      <c r="U61" s="230"/>
      <c r="V61" s="229">
        <f>SUM(M61:U61)</f>
        <v>5667</v>
      </c>
      <c r="W61" s="204">
        <v>317</v>
      </c>
      <c r="X61" s="204"/>
      <c r="Y61" s="204"/>
      <c r="Z61" s="214">
        <f t="shared" si="1"/>
        <v>19302</v>
      </c>
      <c r="AA61" s="215">
        <f>C61+D61+F61+K61+M61+N61+P61+U61</f>
        <v>14072</v>
      </c>
      <c r="AD61" s="520"/>
      <c r="AE61" s="520"/>
      <c r="AF61" s="520"/>
      <c r="AG61" s="520"/>
      <c r="AH61" s="520"/>
      <c r="AI61" s="520"/>
      <c r="AJ61" s="520"/>
      <c r="AK61" s="520"/>
      <c r="AL61" s="520"/>
      <c r="AM61" s="520"/>
      <c r="AN61" s="520"/>
    </row>
    <row r="62" spans="1:41" x14ac:dyDescent="0.25">
      <c r="A62" s="136" t="s">
        <v>131</v>
      </c>
      <c r="B62" s="137" t="s">
        <v>308</v>
      </c>
      <c r="C62" s="521">
        <v>2937</v>
      </c>
      <c r="D62" s="521">
        <v>999</v>
      </c>
      <c r="E62" s="521">
        <v>1179</v>
      </c>
      <c r="F62" s="521">
        <v>119</v>
      </c>
      <c r="G62" s="521">
        <v>85</v>
      </c>
      <c r="H62" s="521">
        <v>0</v>
      </c>
      <c r="I62" s="521">
        <v>5</v>
      </c>
      <c r="J62" s="521">
        <v>407</v>
      </c>
      <c r="K62" s="521">
        <v>0</v>
      </c>
      <c r="L62" s="232">
        <f t="shared" si="15"/>
        <v>5731</v>
      </c>
      <c r="M62" s="521">
        <v>1675</v>
      </c>
      <c r="N62" s="521">
        <v>1911</v>
      </c>
      <c r="O62" s="521">
        <v>1671</v>
      </c>
      <c r="P62" s="521">
        <v>82</v>
      </c>
      <c r="Q62" s="521">
        <v>85</v>
      </c>
      <c r="R62" s="521">
        <v>34</v>
      </c>
      <c r="S62" s="521">
        <v>0</v>
      </c>
      <c r="T62" s="521">
        <v>26</v>
      </c>
      <c r="U62" s="230"/>
      <c r="V62" s="229">
        <f t="shared" si="16"/>
        <v>5484</v>
      </c>
      <c r="W62" s="204">
        <v>1401</v>
      </c>
      <c r="X62" s="204"/>
      <c r="Y62" s="204"/>
      <c r="Z62" s="214">
        <f t="shared" si="1"/>
        <v>12616</v>
      </c>
      <c r="AA62" s="215">
        <f t="shared" si="17"/>
        <v>7723</v>
      </c>
      <c r="AD62" s="520"/>
      <c r="AE62" s="520"/>
      <c r="AF62" s="520"/>
      <c r="AG62" s="520"/>
      <c r="AH62" s="520"/>
      <c r="AI62" s="520"/>
      <c r="AJ62" s="520"/>
      <c r="AK62" s="520"/>
      <c r="AL62" s="520"/>
      <c r="AM62" s="520"/>
      <c r="AN62" s="520"/>
    </row>
    <row r="63" spans="1:41" x14ac:dyDescent="0.25">
      <c r="A63" s="136" t="s">
        <v>133</v>
      </c>
      <c r="B63" s="137" t="s">
        <v>319</v>
      </c>
      <c r="C63" s="521">
        <v>1175</v>
      </c>
      <c r="D63" s="521">
        <v>999</v>
      </c>
      <c r="E63" s="521">
        <v>323</v>
      </c>
      <c r="F63" s="521">
        <v>69</v>
      </c>
      <c r="G63" s="521">
        <v>54</v>
      </c>
      <c r="H63" s="521">
        <v>20</v>
      </c>
      <c r="I63" s="521">
        <v>200</v>
      </c>
      <c r="J63" s="521">
        <v>93</v>
      </c>
      <c r="K63" s="521">
        <v>0</v>
      </c>
      <c r="L63" s="232">
        <f t="shared" si="15"/>
        <v>2933</v>
      </c>
      <c r="M63" s="521">
        <v>453</v>
      </c>
      <c r="N63" s="521">
        <v>605</v>
      </c>
      <c r="O63" s="521">
        <v>337</v>
      </c>
      <c r="P63" s="521">
        <v>7</v>
      </c>
      <c r="Q63" s="521">
        <v>12</v>
      </c>
      <c r="R63" s="521">
        <v>0</v>
      </c>
      <c r="S63" s="521">
        <v>0</v>
      </c>
      <c r="T63" s="521">
        <v>0</v>
      </c>
      <c r="U63" s="230"/>
      <c r="V63" s="229">
        <f>SUM(M63:U63)</f>
        <v>1414</v>
      </c>
      <c r="W63" s="204">
        <v>0</v>
      </c>
      <c r="X63" s="204"/>
      <c r="Y63" s="204"/>
      <c r="Z63" s="214">
        <f t="shared" si="1"/>
        <v>4347</v>
      </c>
      <c r="AA63" s="215">
        <f>C63+D63+F63+K63+M63+N63+P63+U63</f>
        <v>3308</v>
      </c>
      <c r="AD63" s="520"/>
      <c r="AE63" s="520"/>
      <c r="AF63" s="520"/>
      <c r="AG63" s="520"/>
      <c r="AH63" s="520"/>
      <c r="AI63" s="520"/>
      <c r="AJ63" s="520"/>
      <c r="AK63" s="520"/>
      <c r="AL63" s="520"/>
      <c r="AM63" s="520"/>
      <c r="AN63" s="520"/>
    </row>
    <row r="64" spans="1:41" x14ac:dyDescent="0.25">
      <c r="A64" s="136" t="s">
        <v>134</v>
      </c>
      <c r="B64" s="137" t="s">
        <v>320</v>
      </c>
      <c r="C64" s="521">
        <v>691</v>
      </c>
      <c r="D64" s="521">
        <v>408</v>
      </c>
      <c r="E64" s="521">
        <v>178</v>
      </c>
      <c r="F64" s="521">
        <v>40</v>
      </c>
      <c r="G64" s="521">
        <v>10</v>
      </c>
      <c r="H64" s="521">
        <v>0</v>
      </c>
      <c r="I64" s="521">
        <v>282</v>
      </c>
      <c r="J64" s="521">
        <v>86</v>
      </c>
      <c r="K64" s="521">
        <v>0</v>
      </c>
      <c r="L64" s="232">
        <f t="shared" si="15"/>
        <v>1695</v>
      </c>
      <c r="M64" s="521">
        <v>255</v>
      </c>
      <c r="N64" s="521">
        <v>185</v>
      </c>
      <c r="O64" s="521">
        <v>173</v>
      </c>
      <c r="P64" s="521">
        <v>4</v>
      </c>
      <c r="Q64" s="521">
        <v>0</v>
      </c>
      <c r="R64" s="521">
        <v>0</v>
      </c>
      <c r="S64" s="521">
        <v>0</v>
      </c>
      <c r="T64" s="521">
        <v>0</v>
      </c>
      <c r="U64" s="230"/>
      <c r="V64" s="229">
        <f>SUM(M64:U64)</f>
        <v>617</v>
      </c>
      <c r="W64" s="204">
        <v>501</v>
      </c>
      <c r="X64" s="204"/>
      <c r="Y64" s="204"/>
      <c r="Z64" s="214">
        <f t="shared" si="1"/>
        <v>2813</v>
      </c>
      <c r="AA64" s="215">
        <f>C64+D64+F64+K64+M64+N64+P64+U64</f>
        <v>1583</v>
      </c>
      <c r="AD64" s="520"/>
      <c r="AE64" s="520"/>
      <c r="AF64" s="520"/>
      <c r="AG64" s="520"/>
      <c r="AH64" s="520"/>
      <c r="AI64" s="520"/>
      <c r="AJ64" s="520"/>
      <c r="AK64" s="520"/>
      <c r="AL64" s="520"/>
      <c r="AM64" s="520"/>
      <c r="AN64" s="520"/>
    </row>
    <row r="65" spans="1:41" x14ac:dyDescent="0.25">
      <c r="A65" s="136" t="s">
        <v>145</v>
      </c>
      <c r="B65" s="137" t="s">
        <v>309</v>
      </c>
      <c r="C65" s="521">
        <v>1169</v>
      </c>
      <c r="D65" s="521">
        <v>518</v>
      </c>
      <c r="E65" s="521">
        <v>345</v>
      </c>
      <c r="F65" s="521">
        <v>83</v>
      </c>
      <c r="G65" s="521">
        <v>47</v>
      </c>
      <c r="H65" s="521">
        <v>0</v>
      </c>
      <c r="I65" s="521">
        <v>0</v>
      </c>
      <c r="J65" s="521">
        <v>303</v>
      </c>
      <c r="K65" s="521">
        <v>0</v>
      </c>
      <c r="L65" s="232">
        <f t="shared" si="15"/>
        <v>2465</v>
      </c>
      <c r="M65" s="521">
        <v>1861</v>
      </c>
      <c r="N65" s="521">
        <v>1397</v>
      </c>
      <c r="O65" s="521">
        <v>1157</v>
      </c>
      <c r="P65" s="521">
        <v>63</v>
      </c>
      <c r="Q65" s="521">
        <v>78</v>
      </c>
      <c r="R65" s="521">
        <v>147</v>
      </c>
      <c r="S65" s="521">
        <v>7</v>
      </c>
      <c r="T65" s="521">
        <v>266</v>
      </c>
      <c r="U65" s="230"/>
      <c r="V65" s="229">
        <f t="shared" si="16"/>
        <v>4976</v>
      </c>
      <c r="W65" s="204">
        <v>133</v>
      </c>
      <c r="X65" s="204"/>
      <c r="Y65" s="204"/>
      <c r="Z65" s="214">
        <f t="shared" si="1"/>
        <v>7574</v>
      </c>
      <c r="AA65" s="215">
        <f t="shared" si="17"/>
        <v>5091</v>
      </c>
      <c r="AD65" s="520"/>
      <c r="AE65" s="520"/>
      <c r="AF65" s="520"/>
      <c r="AG65" s="520"/>
      <c r="AH65" s="520"/>
      <c r="AI65" s="520"/>
      <c r="AJ65" s="520"/>
      <c r="AK65" s="520"/>
      <c r="AL65" s="520"/>
      <c r="AM65" s="520"/>
      <c r="AN65" s="520"/>
    </row>
    <row r="66" spans="1:41" x14ac:dyDescent="0.25">
      <c r="A66" s="136" t="s">
        <v>149</v>
      </c>
      <c r="B66" s="137" t="s">
        <v>353</v>
      </c>
      <c r="C66" s="521">
        <v>182</v>
      </c>
      <c r="D66" s="521">
        <v>90</v>
      </c>
      <c r="E66" s="521">
        <v>63</v>
      </c>
      <c r="F66" s="521">
        <v>30</v>
      </c>
      <c r="G66" s="521">
        <v>16</v>
      </c>
      <c r="H66" s="521">
        <v>0</v>
      </c>
      <c r="I66" s="521">
        <v>47</v>
      </c>
      <c r="J66" s="521">
        <v>29</v>
      </c>
      <c r="K66" s="521">
        <v>0</v>
      </c>
      <c r="L66" s="232">
        <f t="shared" si="15"/>
        <v>457</v>
      </c>
      <c r="M66" s="521">
        <v>199</v>
      </c>
      <c r="N66" s="521">
        <v>248</v>
      </c>
      <c r="O66" s="521">
        <v>141</v>
      </c>
      <c r="P66" s="521">
        <v>9</v>
      </c>
      <c r="Q66" s="521">
        <v>14</v>
      </c>
      <c r="R66" s="521">
        <v>0</v>
      </c>
      <c r="S66" s="521">
        <v>0</v>
      </c>
      <c r="T66" s="521">
        <v>0</v>
      </c>
      <c r="U66" s="230"/>
      <c r="V66" s="229">
        <f t="shared" ref="V66:V71" si="18">SUM(M66:U66)</f>
        <v>611</v>
      </c>
      <c r="W66" s="204">
        <v>223</v>
      </c>
      <c r="X66" s="204"/>
      <c r="Y66" s="204"/>
      <c r="Z66" s="214">
        <f t="shared" si="1"/>
        <v>1291</v>
      </c>
      <c r="AA66" s="215">
        <f t="shared" ref="AA66:AA71" si="19">C66+D66+F66+K66+M66+N66+P66+U66</f>
        <v>758</v>
      </c>
      <c r="AD66" s="520"/>
      <c r="AE66" s="520"/>
      <c r="AF66" s="520"/>
      <c r="AG66" s="520"/>
      <c r="AH66" s="520"/>
      <c r="AI66" s="520"/>
      <c r="AJ66" s="520"/>
      <c r="AK66" s="520"/>
      <c r="AL66" s="520"/>
      <c r="AM66" s="520"/>
      <c r="AN66" s="520"/>
    </row>
    <row r="67" spans="1:41" x14ac:dyDescent="0.25">
      <c r="A67" s="136" t="s">
        <v>182</v>
      </c>
      <c r="B67" s="137" t="s">
        <v>357</v>
      </c>
      <c r="C67" s="521">
        <v>1836</v>
      </c>
      <c r="D67" s="521">
        <v>469</v>
      </c>
      <c r="E67" s="521">
        <v>626</v>
      </c>
      <c r="F67" s="521">
        <v>66</v>
      </c>
      <c r="G67" s="521">
        <v>30</v>
      </c>
      <c r="H67" s="521">
        <v>0</v>
      </c>
      <c r="I67" s="521">
        <v>0</v>
      </c>
      <c r="J67" s="521">
        <v>144</v>
      </c>
      <c r="K67" s="521">
        <v>0</v>
      </c>
      <c r="L67" s="232">
        <f t="shared" si="15"/>
        <v>3171</v>
      </c>
      <c r="M67" s="521">
        <v>356</v>
      </c>
      <c r="N67" s="521">
        <v>550</v>
      </c>
      <c r="O67" s="521">
        <v>152</v>
      </c>
      <c r="P67" s="521">
        <v>13</v>
      </c>
      <c r="Q67" s="521">
        <v>29</v>
      </c>
      <c r="R67" s="521">
        <v>60</v>
      </c>
      <c r="S67" s="521">
        <v>0</v>
      </c>
      <c r="T67" s="521">
        <v>10</v>
      </c>
      <c r="U67" s="230"/>
      <c r="V67" s="229">
        <f t="shared" si="18"/>
        <v>1170</v>
      </c>
      <c r="W67" s="204">
        <v>754</v>
      </c>
      <c r="X67" s="204"/>
      <c r="Y67" s="204"/>
      <c r="Z67" s="214">
        <f t="shared" si="1"/>
        <v>5095</v>
      </c>
      <c r="AA67" s="215">
        <f t="shared" si="19"/>
        <v>3290</v>
      </c>
      <c r="AB67" s="142">
        <f>L67+V67</f>
        <v>4341</v>
      </c>
      <c r="AD67" s="520"/>
      <c r="AE67" s="520"/>
      <c r="AF67" s="520"/>
      <c r="AG67" s="520"/>
      <c r="AH67" s="520"/>
      <c r="AI67" s="520"/>
      <c r="AJ67" s="520"/>
      <c r="AK67" s="520"/>
      <c r="AL67" s="520"/>
      <c r="AM67" s="520"/>
      <c r="AN67" s="520"/>
    </row>
    <row r="68" spans="1:41" x14ac:dyDescent="0.25">
      <c r="A68" s="136" t="s">
        <v>185</v>
      </c>
      <c r="B68" s="137" t="s">
        <v>310</v>
      </c>
      <c r="C68" s="385"/>
      <c r="D68" s="385"/>
      <c r="E68" s="385"/>
      <c r="F68" s="385"/>
      <c r="G68" s="385"/>
      <c r="H68" s="385"/>
      <c r="I68" s="385"/>
      <c r="J68" s="385"/>
      <c r="K68" s="385"/>
      <c r="L68" s="232">
        <f t="shared" si="15"/>
        <v>0</v>
      </c>
      <c r="M68" s="385"/>
      <c r="N68" s="385"/>
      <c r="O68" s="385"/>
      <c r="P68" s="385"/>
      <c r="Q68" s="385"/>
      <c r="R68" s="385"/>
      <c r="S68" s="385"/>
      <c r="T68" s="385"/>
      <c r="U68" s="385"/>
      <c r="V68" s="229">
        <f t="shared" si="18"/>
        <v>0</v>
      </c>
      <c r="W68" s="204">
        <v>756</v>
      </c>
      <c r="X68" s="204"/>
      <c r="Y68" s="204"/>
      <c r="Z68" s="214">
        <f t="shared" si="1"/>
        <v>756</v>
      </c>
      <c r="AA68" s="215">
        <f t="shared" si="19"/>
        <v>0</v>
      </c>
      <c r="AD68" s="520"/>
      <c r="AE68" s="520"/>
      <c r="AF68" s="520"/>
      <c r="AG68" s="520"/>
      <c r="AH68" s="520"/>
      <c r="AI68" s="520"/>
      <c r="AJ68" s="520"/>
      <c r="AK68" s="520"/>
      <c r="AL68" s="520"/>
      <c r="AM68" s="520"/>
      <c r="AN68" s="520"/>
    </row>
    <row r="69" spans="1:41" x14ac:dyDescent="0.25">
      <c r="A69" s="136" t="s">
        <v>188</v>
      </c>
      <c r="B69" s="137" t="s">
        <v>311</v>
      </c>
      <c r="C69" s="521">
        <v>808</v>
      </c>
      <c r="D69" s="521">
        <v>606</v>
      </c>
      <c r="E69" s="521">
        <v>420</v>
      </c>
      <c r="F69" s="521">
        <v>22</v>
      </c>
      <c r="G69" s="521">
        <v>10</v>
      </c>
      <c r="H69" s="521">
        <v>0</v>
      </c>
      <c r="I69" s="521">
        <v>0</v>
      </c>
      <c r="J69" s="521">
        <v>272</v>
      </c>
      <c r="K69" s="521">
        <v>0</v>
      </c>
      <c r="L69" s="232">
        <f t="shared" si="15"/>
        <v>2138</v>
      </c>
      <c r="M69" s="521">
        <v>547</v>
      </c>
      <c r="N69" s="521">
        <v>649</v>
      </c>
      <c r="O69" s="521">
        <v>423</v>
      </c>
      <c r="P69" s="521">
        <v>9</v>
      </c>
      <c r="Q69" s="521">
        <v>36</v>
      </c>
      <c r="R69" s="521">
        <v>10</v>
      </c>
      <c r="S69" s="521">
        <v>0</v>
      </c>
      <c r="T69" s="521">
        <v>16</v>
      </c>
      <c r="U69" s="230"/>
      <c r="V69" s="229">
        <f t="shared" si="18"/>
        <v>1690</v>
      </c>
      <c r="W69" s="209">
        <v>341</v>
      </c>
      <c r="X69" s="209"/>
      <c r="Y69" s="209"/>
      <c r="Z69" s="214">
        <f t="shared" si="1"/>
        <v>4169</v>
      </c>
      <c r="AA69" s="215">
        <f t="shared" si="19"/>
        <v>2641</v>
      </c>
      <c r="AD69" s="520"/>
      <c r="AE69" s="520"/>
      <c r="AF69" s="520"/>
      <c r="AG69" s="520"/>
      <c r="AH69" s="520"/>
      <c r="AI69" s="520"/>
      <c r="AJ69" s="520"/>
      <c r="AK69" s="520"/>
      <c r="AL69" s="520"/>
      <c r="AM69" s="520"/>
      <c r="AN69" s="520"/>
    </row>
    <row r="70" spans="1:41" x14ac:dyDescent="0.25">
      <c r="A70" s="136" t="s">
        <v>192</v>
      </c>
      <c r="B70" s="137" t="s">
        <v>312</v>
      </c>
      <c r="C70" s="521">
        <v>22</v>
      </c>
      <c r="D70" s="521">
        <v>17</v>
      </c>
      <c r="E70" s="521">
        <v>5</v>
      </c>
      <c r="F70" s="521">
        <v>0</v>
      </c>
      <c r="G70" s="521">
        <v>0</v>
      </c>
      <c r="H70" s="521">
        <v>0</v>
      </c>
      <c r="I70" s="521">
        <v>0</v>
      </c>
      <c r="J70" s="521">
        <v>2</v>
      </c>
      <c r="K70" s="521">
        <v>0</v>
      </c>
      <c r="L70" s="232">
        <f t="shared" si="15"/>
        <v>46</v>
      </c>
      <c r="M70" s="521">
        <v>216</v>
      </c>
      <c r="N70" s="521">
        <v>252</v>
      </c>
      <c r="O70" s="521">
        <v>49</v>
      </c>
      <c r="P70" s="521">
        <v>29</v>
      </c>
      <c r="Q70" s="521">
        <v>45</v>
      </c>
      <c r="R70" s="521">
        <v>0</v>
      </c>
      <c r="S70" s="521">
        <v>0</v>
      </c>
      <c r="T70" s="521">
        <v>0</v>
      </c>
      <c r="U70" s="230"/>
      <c r="V70" s="229">
        <f t="shared" si="18"/>
        <v>591</v>
      </c>
      <c r="W70" s="209">
        <v>570</v>
      </c>
      <c r="X70" s="209"/>
      <c r="Y70" s="209"/>
      <c r="Z70" s="214">
        <f t="shared" si="1"/>
        <v>1207</v>
      </c>
      <c r="AA70" s="217">
        <f t="shared" si="19"/>
        <v>536</v>
      </c>
      <c r="AD70" s="520"/>
      <c r="AE70" s="520"/>
      <c r="AF70" s="520"/>
      <c r="AG70" s="520"/>
      <c r="AH70" s="520"/>
      <c r="AI70" s="520"/>
      <c r="AJ70" s="520"/>
      <c r="AK70" s="520"/>
      <c r="AL70" s="520"/>
      <c r="AM70" s="520"/>
      <c r="AN70" s="520"/>
    </row>
    <row r="71" spans="1:41" ht="13.8" thickBot="1" x14ac:dyDescent="0.3">
      <c r="A71" s="136" t="s">
        <v>193</v>
      </c>
      <c r="B71" s="137" t="s">
        <v>325</v>
      </c>
      <c r="C71" s="522">
        <v>0</v>
      </c>
      <c r="D71" s="522">
        <v>0</v>
      </c>
      <c r="E71" s="522">
        <v>0</v>
      </c>
      <c r="F71" s="522">
        <v>0</v>
      </c>
      <c r="G71" s="522">
        <v>0</v>
      </c>
      <c r="H71" s="522">
        <v>0</v>
      </c>
      <c r="I71" s="522">
        <v>1426</v>
      </c>
      <c r="J71" s="522">
        <v>471</v>
      </c>
      <c r="K71" s="522">
        <v>0</v>
      </c>
      <c r="L71" s="239">
        <f t="shared" si="15"/>
        <v>1897</v>
      </c>
      <c r="M71" s="522">
        <v>0</v>
      </c>
      <c r="N71" s="522">
        <v>0</v>
      </c>
      <c r="O71" s="522">
        <v>0</v>
      </c>
      <c r="P71" s="522">
        <v>0</v>
      </c>
      <c r="Q71" s="522">
        <v>0</v>
      </c>
      <c r="R71" s="522">
        <v>0</v>
      </c>
      <c r="S71" s="522">
        <v>0</v>
      </c>
      <c r="T71" s="522">
        <v>0</v>
      </c>
      <c r="U71" s="265"/>
      <c r="V71" s="231">
        <f t="shared" si="18"/>
        <v>0</v>
      </c>
      <c r="W71" s="209">
        <v>11356</v>
      </c>
      <c r="X71" s="209"/>
      <c r="Y71" s="209"/>
      <c r="Z71" s="214">
        <f t="shared" ref="Z71" si="20">L71+V71+W71+X71+Y71</f>
        <v>13253</v>
      </c>
      <c r="AA71" s="217">
        <f t="shared" si="19"/>
        <v>0</v>
      </c>
      <c r="AB71" s="142">
        <f>L71+V71</f>
        <v>1897</v>
      </c>
      <c r="AD71" s="520"/>
      <c r="AE71" s="520"/>
      <c r="AF71" s="520"/>
      <c r="AG71" s="520"/>
      <c r="AH71" s="520"/>
      <c r="AI71" s="520"/>
      <c r="AJ71" s="520"/>
      <c r="AK71" s="520"/>
      <c r="AL71" s="520"/>
      <c r="AM71" s="520"/>
      <c r="AN71" s="520"/>
    </row>
    <row r="72" spans="1:41" s="109" customFormat="1" ht="14.4" thickBot="1" x14ac:dyDescent="0.3">
      <c r="A72" s="134"/>
      <c r="B72" s="159" t="s">
        <v>460</v>
      </c>
      <c r="C72" s="258">
        <f t="shared" ref="C72:AA72" si="21">SUM(C56:C71)</f>
        <v>30629</v>
      </c>
      <c r="D72" s="157">
        <f t="shared" si="21"/>
        <v>12953</v>
      </c>
      <c r="E72" s="157">
        <f t="shared" si="21"/>
        <v>11212</v>
      </c>
      <c r="F72" s="157">
        <f t="shared" si="21"/>
        <v>1038</v>
      </c>
      <c r="G72" s="157">
        <f t="shared" si="21"/>
        <v>613</v>
      </c>
      <c r="H72" s="157">
        <f t="shared" si="21"/>
        <v>20</v>
      </c>
      <c r="I72" s="157">
        <f t="shared" si="21"/>
        <v>3434</v>
      </c>
      <c r="J72" s="157">
        <f t="shared" si="21"/>
        <v>8726</v>
      </c>
      <c r="K72" s="259">
        <f t="shared" si="21"/>
        <v>617</v>
      </c>
      <c r="L72" s="260">
        <f t="shared" si="21"/>
        <v>69242</v>
      </c>
      <c r="M72" s="262">
        <f t="shared" si="21"/>
        <v>10404</v>
      </c>
      <c r="N72" s="158">
        <f t="shared" si="21"/>
        <v>10574</v>
      </c>
      <c r="O72" s="264">
        <f t="shared" si="21"/>
        <v>7181</v>
      </c>
      <c r="P72" s="262">
        <f t="shared" si="21"/>
        <v>397</v>
      </c>
      <c r="Q72" s="158">
        <f t="shared" si="21"/>
        <v>439</v>
      </c>
      <c r="R72" s="158">
        <f t="shared" si="21"/>
        <v>620</v>
      </c>
      <c r="S72" s="158">
        <f t="shared" si="21"/>
        <v>7</v>
      </c>
      <c r="T72" s="264">
        <f t="shared" si="21"/>
        <v>602</v>
      </c>
      <c r="U72" s="401">
        <f t="shared" si="21"/>
        <v>0</v>
      </c>
      <c r="V72" s="180">
        <f t="shared" si="21"/>
        <v>30224</v>
      </c>
      <c r="W72" s="210">
        <f t="shared" si="21"/>
        <v>49526</v>
      </c>
      <c r="X72" s="210">
        <f t="shared" si="21"/>
        <v>0</v>
      </c>
      <c r="Y72" s="210">
        <f t="shared" si="21"/>
        <v>0</v>
      </c>
      <c r="Z72" s="210">
        <f t="shared" si="21"/>
        <v>148992</v>
      </c>
      <c r="AA72" s="210">
        <f t="shared" si="21"/>
        <v>66612</v>
      </c>
      <c r="AC72"/>
      <c r="AD72" s="520"/>
      <c r="AE72" s="520"/>
      <c r="AF72" s="520"/>
      <c r="AG72" s="520"/>
      <c r="AH72" s="520"/>
      <c r="AI72" s="520"/>
      <c r="AJ72" s="520"/>
      <c r="AK72" s="520"/>
      <c r="AL72" s="520"/>
      <c r="AM72" s="520"/>
      <c r="AN72" s="520"/>
      <c r="AO72"/>
    </row>
    <row r="73" spans="1:41" x14ac:dyDescent="0.25">
      <c r="A73" s="136" t="s">
        <v>65</v>
      </c>
      <c r="B73" s="137" t="s">
        <v>326</v>
      </c>
      <c r="C73" s="523">
        <v>896</v>
      </c>
      <c r="D73" s="523">
        <v>639</v>
      </c>
      <c r="E73" s="523">
        <v>429</v>
      </c>
      <c r="F73" s="523">
        <v>22</v>
      </c>
      <c r="G73" s="523">
        <v>78</v>
      </c>
      <c r="H73" s="523">
        <v>0</v>
      </c>
      <c r="I73" s="523">
        <v>200</v>
      </c>
      <c r="J73" s="523">
        <v>100</v>
      </c>
      <c r="K73" s="523">
        <v>99</v>
      </c>
      <c r="L73" s="234">
        <f>SUM(C73:K73)</f>
        <v>2463</v>
      </c>
      <c r="M73" s="523">
        <v>871</v>
      </c>
      <c r="N73" s="523">
        <v>994</v>
      </c>
      <c r="O73" s="523">
        <v>510</v>
      </c>
      <c r="P73" s="523">
        <v>52</v>
      </c>
      <c r="Q73" s="523">
        <v>82</v>
      </c>
      <c r="R73" s="523">
        <v>0</v>
      </c>
      <c r="S73" s="523">
        <v>0</v>
      </c>
      <c r="T73" s="523">
        <v>0</v>
      </c>
      <c r="U73" s="280"/>
      <c r="V73" s="256">
        <f>SUM(M73:U73)</f>
        <v>2509</v>
      </c>
      <c r="W73" s="211">
        <v>1995</v>
      </c>
      <c r="X73" s="211"/>
      <c r="Y73" s="211"/>
      <c r="Z73" s="214">
        <f t="shared" ref="Z73:Z105" si="22">L73+V73+W73+X73+Y73</f>
        <v>6967</v>
      </c>
      <c r="AA73" s="218">
        <f>C73+D73+F73+K73+M73+N73+P73+U73</f>
        <v>3573</v>
      </c>
      <c r="AD73" s="520"/>
      <c r="AE73" s="520"/>
      <c r="AF73" s="520"/>
      <c r="AG73" s="520"/>
      <c r="AH73" s="520"/>
      <c r="AI73" s="520"/>
      <c r="AJ73" s="520"/>
      <c r="AK73" s="520"/>
      <c r="AL73" s="520"/>
      <c r="AM73" s="520"/>
      <c r="AN73" s="520"/>
    </row>
    <row r="74" spans="1:41" x14ac:dyDescent="0.25">
      <c r="A74" s="136" t="s">
        <v>81</v>
      </c>
      <c r="B74" s="137" t="s">
        <v>327</v>
      </c>
      <c r="C74" s="521">
        <v>1719</v>
      </c>
      <c r="D74" s="521">
        <v>505</v>
      </c>
      <c r="E74" s="521">
        <v>216</v>
      </c>
      <c r="F74" s="521">
        <v>82</v>
      </c>
      <c r="G74" s="521">
        <v>40</v>
      </c>
      <c r="H74" s="521">
        <v>0</v>
      </c>
      <c r="I74" s="521">
        <v>222</v>
      </c>
      <c r="J74" s="521">
        <v>43</v>
      </c>
      <c r="K74" s="521">
        <v>76</v>
      </c>
      <c r="L74" s="232">
        <f>SUM(C74:K74)</f>
        <v>2903</v>
      </c>
      <c r="M74" s="521">
        <v>1576</v>
      </c>
      <c r="N74" s="521">
        <v>1291</v>
      </c>
      <c r="O74" s="521">
        <v>253</v>
      </c>
      <c r="P74" s="521">
        <v>122</v>
      </c>
      <c r="Q74" s="521">
        <v>63</v>
      </c>
      <c r="R74" s="521">
        <v>0</v>
      </c>
      <c r="S74" s="521">
        <v>14</v>
      </c>
      <c r="T74" s="521">
        <v>134</v>
      </c>
      <c r="U74" s="230"/>
      <c r="V74" s="229">
        <f>SUM(M74:U74)</f>
        <v>3453</v>
      </c>
      <c r="W74" s="204">
        <v>3934</v>
      </c>
      <c r="X74" s="204"/>
      <c r="Y74" s="204"/>
      <c r="Z74" s="214">
        <f t="shared" si="22"/>
        <v>10290</v>
      </c>
      <c r="AA74" s="215">
        <f>C74+D74+F74+K74+M74+N74+P74+U74</f>
        <v>5371</v>
      </c>
      <c r="AD74" s="520"/>
      <c r="AE74" s="520"/>
      <c r="AF74" s="520"/>
      <c r="AG74" s="520"/>
      <c r="AH74" s="520"/>
      <c r="AI74" s="520"/>
      <c r="AJ74" s="520"/>
      <c r="AK74" s="520"/>
      <c r="AL74" s="520"/>
      <c r="AM74" s="520"/>
      <c r="AN74" s="520"/>
    </row>
    <row r="75" spans="1:41" x14ac:dyDescent="0.25">
      <c r="A75" s="136" t="s">
        <v>87</v>
      </c>
      <c r="B75" s="137" t="s">
        <v>292</v>
      </c>
      <c r="C75" s="521">
        <v>2379</v>
      </c>
      <c r="D75" s="521">
        <v>1573</v>
      </c>
      <c r="E75" s="521">
        <v>962</v>
      </c>
      <c r="F75" s="521">
        <v>62</v>
      </c>
      <c r="G75" s="521">
        <v>51</v>
      </c>
      <c r="H75" s="521">
        <v>45</v>
      </c>
      <c r="I75" s="521">
        <v>164</v>
      </c>
      <c r="J75" s="521">
        <v>358</v>
      </c>
      <c r="K75" s="521">
        <v>0</v>
      </c>
      <c r="L75" s="232">
        <f t="shared" ref="L75:L88" si="23">SUM(C75:K75)</f>
        <v>5594</v>
      </c>
      <c r="M75" s="521">
        <v>732</v>
      </c>
      <c r="N75" s="521">
        <v>923</v>
      </c>
      <c r="O75" s="521">
        <v>668</v>
      </c>
      <c r="P75" s="521">
        <v>105</v>
      </c>
      <c r="Q75" s="521">
        <v>27</v>
      </c>
      <c r="R75" s="521">
        <v>0</v>
      </c>
      <c r="S75" s="521">
        <v>0</v>
      </c>
      <c r="T75" s="521">
        <v>218</v>
      </c>
      <c r="U75" s="230"/>
      <c r="V75" s="229">
        <f t="shared" ref="V75:V88" si="24">SUM(M75:U75)</f>
        <v>2673</v>
      </c>
      <c r="W75" s="204">
        <v>343</v>
      </c>
      <c r="X75" s="204"/>
      <c r="Y75" s="204"/>
      <c r="Z75" s="214">
        <f t="shared" si="22"/>
        <v>8610</v>
      </c>
      <c r="AA75" s="215">
        <f t="shared" ref="AA75:AA88" si="25">C75+D75+F75+K75+M75+N75+P75+U75</f>
        <v>5774</v>
      </c>
      <c r="AD75" s="520"/>
      <c r="AE75" s="520"/>
      <c r="AF75" s="520"/>
      <c r="AG75" s="520"/>
      <c r="AH75" s="520"/>
      <c r="AI75" s="520"/>
      <c r="AJ75" s="520"/>
      <c r="AK75" s="520"/>
      <c r="AL75" s="520"/>
      <c r="AM75" s="520"/>
      <c r="AN75" s="520"/>
    </row>
    <row r="76" spans="1:41" x14ac:dyDescent="0.25">
      <c r="A76" s="136" t="s">
        <v>92</v>
      </c>
      <c r="B76" s="137" t="s">
        <v>328</v>
      </c>
      <c r="C76" s="521">
        <v>457</v>
      </c>
      <c r="D76" s="521">
        <v>72</v>
      </c>
      <c r="E76" s="521">
        <v>140</v>
      </c>
      <c r="F76" s="521">
        <v>8</v>
      </c>
      <c r="G76" s="521">
        <v>5</v>
      </c>
      <c r="H76" s="521">
        <v>0</v>
      </c>
      <c r="I76" s="521">
        <v>0</v>
      </c>
      <c r="J76" s="521">
        <v>35</v>
      </c>
      <c r="K76" s="521">
        <v>0</v>
      </c>
      <c r="L76" s="232">
        <f t="shared" si="23"/>
        <v>717</v>
      </c>
      <c r="M76" s="521">
        <v>493</v>
      </c>
      <c r="N76" s="521">
        <v>452</v>
      </c>
      <c r="O76" s="521">
        <v>255</v>
      </c>
      <c r="P76" s="521">
        <v>21</v>
      </c>
      <c r="Q76" s="521">
        <v>18</v>
      </c>
      <c r="R76" s="521">
        <v>0</v>
      </c>
      <c r="S76" s="521">
        <v>0</v>
      </c>
      <c r="T76" s="521">
        <v>0</v>
      </c>
      <c r="U76" s="230"/>
      <c r="V76" s="229">
        <f t="shared" si="24"/>
        <v>1239</v>
      </c>
      <c r="W76" s="204">
        <v>469</v>
      </c>
      <c r="X76" s="204"/>
      <c r="Y76" s="204"/>
      <c r="Z76" s="214">
        <f t="shared" si="22"/>
        <v>2425</v>
      </c>
      <c r="AA76" s="215">
        <f t="shared" si="25"/>
        <v>1503</v>
      </c>
      <c r="AD76" s="520"/>
      <c r="AE76" s="520"/>
      <c r="AF76" s="520"/>
      <c r="AG76" s="520"/>
      <c r="AH76" s="520"/>
      <c r="AI76" s="520"/>
      <c r="AJ76" s="520"/>
      <c r="AK76" s="520"/>
      <c r="AL76" s="520"/>
      <c r="AM76" s="520"/>
      <c r="AN76" s="520"/>
    </row>
    <row r="77" spans="1:41" x14ac:dyDescent="0.25">
      <c r="A77" s="136" t="s">
        <v>96</v>
      </c>
      <c r="B77" s="137" t="s">
        <v>293</v>
      </c>
      <c r="C77" s="521">
        <v>6102</v>
      </c>
      <c r="D77" s="521">
        <v>1871</v>
      </c>
      <c r="E77" s="521">
        <v>2759</v>
      </c>
      <c r="F77" s="521">
        <v>153</v>
      </c>
      <c r="G77" s="521">
        <v>130</v>
      </c>
      <c r="H77" s="521">
        <v>0</v>
      </c>
      <c r="I77" s="521">
        <v>255</v>
      </c>
      <c r="J77" s="521">
        <v>229</v>
      </c>
      <c r="K77" s="521">
        <v>4</v>
      </c>
      <c r="L77" s="232">
        <f t="shared" si="23"/>
        <v>11503</v>
      </c>
      <c r="M77" s="521">
        <v>849</v>
      </c>
      <c r="N77" s="521">
        <v>846</v>
      </c>
      <c r="O77" s="521">
        <v>1034</v>
      </c>
      <c r="P77" s="521">
        <v>28</v>
      </c>
      <c r="Q77" s="521">
        <v>38</v>
      </c>
      <c r="R77" s="521">
        <v>42</v>
      </c>
      <c r="S77" s="521">
        <v>775</v>
      </c>
      <c r="T77" s="521">
        <v>145</v>
      </c>
      <c r="U77" s="230"/>
      <c r="V77" s="229">
        <f t="shared" si="24"/>
        <v>3757</v>
      </c>
      <c r="W77" s="204">
        <v>546</v>
      </c>
      <c r="X77" s="204"/>
      <c r="Y77" s="204"/>
      <c r="Z77" s="214">
        <f t="shared" si="22"/>
        <v>15806</v>
      </c>
      <c r="AA77" s="215">
        <f t="shared" si="25"/>
        <v>9853</v>
      </c>
      <c r="AD77" s="520"/>
      <c r="AE77" s="520"/>
      <c r="AF77" s="520"/>
      <c r="AG77" s="520"/>
      <c r="AH77" s="520"/>
      <c r="AI77" s="520"/>
      <c r="AJ77" s="520"/>
      <c r="AK77" s="520"/>
      <c r="AL77" s="520"/>
      <c r="AM77" s="520"/>
      <c r="AN77" s="520"/>
    </row>
    <row r="78" spans="1:41" x14ac:dyDescent="0.25">
      <c r="A78" s="136" t="s">
        <v>100</v>
      </c>
      <c r="B78" s="137" t="s">
        <v>295</v>
      </c>
      <c r="C78" s="521">
        <v>1764</v>
      </c>
      <c r="D78" s="521">
        <v>420</v>
      </c>
      <c r="E78" s="521">
        <v>324</v>
      </c>
      <c r="F78" s="521">
        <v>63</v>
      </c>
      <c r="G78" s="521">
        <v>29</v>
      </c>
      <c r="H78" s="521">
        <v>0</v>
      </c>
      <c r="I78" s="521">
        <v>0</v>
      </c>
      <c r="J78" s="521">
        <v>64</v>
      </c>
      <c r="K78" s="521">
        <v>0</v>
      </c>
      <c r="L78" s="232">
        <f t="shared" si="23"/>
        <v>2664</v>
      </c>
      <c r="M78" s="521">
        <v>965</v>
      </c>
      <c r="N78" s="521">
        <v>1064</v>
      </c>
      <c r="O78" s="521">
        <v>578</v>
      </c>
      <c r="P78" s="521">
        <v>82</v>
      </c>
      <c r="Q78" s="521">
        <v>44</v>
      </c>
      <c r="R78" s="521">
        <v>44</v>
      </c>
      <c r="S78" s="521">
        <v>0</v>
      </c>
      <c r="T78" s="521">
        <v>17</v>
      </c>
      <c r="U78" s="230"/>
      <c r="V78" s="229">
        <f t="shared" si="24"/>
        <v>2794</v>
      </c>
      <c r="W78" s="204">
        <v>838</v>
      </c>
      <c r="X78" s="204"/>
      <c r="Y78" s="204"/>
      <c r="Z78" s="214">
        <f t="shared" si="22"/>
        <v>6296</v>
      </c>
      <c r="AA78" s="215">
        <f t="shared" si="25"/>
        <v>4358</v>
      </c>
      <c r="AD78" s="520"/>
      <c r="AE78" s="520"/>
      <c r="AF78" s="520"/>
      <c r="AG78" s="520"/>
      <c r="AH78" s="520"/>
      <c r="AI78" s="520"/>
      <c r="AJ78" s="520"/>
      <c r="AK78" s="520"/>
      <c r="AL78" s="520"/>
      <c r="AM78" s="520"/>
      <c r="AN78" s="520"/>
    </row>
    <row r="79" spans="1:41" x14ac:dyDescent="0.25">
      <c r="A79" s="136" t="s">
        <v>108</v>
      </c>
      <c r="B79" s="137" t="s">
        <v>296</v>
      </c>
      <c r="C79" s="521">
        <v>815</v>
      </c>
      <c r="D79" s="521">
        <v>383</v>
      </c>
      <c r="E79" s="521">
        <v>327</v>
      </c>
      <c r="F79" s="521">
        <v>73</v>
      </c>
      <c r="G79" s="521">
        <v>37</v>
      </c>
      <c r="H79" s="521">
        <v>0</v>
      </c>
      <c r="I79" s="521">
        <v>0</v>
      </c>
      <c r="J79" s="521">
        <v>123</v>
      </c>
      <c r="K79" s="521">
        <v>0</v>
      </c>
      <c r="L79" s="232">
        <f t="shared" si="23"/>
        <v>1758</v>
      </c>
      <c r="M79" s="521">
        <v>472</v>
      </c>
      <c r="N79" s="521">
        <v>442</v>
      </c>
      <c r="O79" s="521">
        <v>290</v>
      </c>
      <c r="P79" s="521">
        <v>61</v>
      </c>
      <c r="Q79" s="521">
        <v>28</v>
      </c>
      <c r="R79" s="521">
        <v>0</v>
      </c>
      <c r="S79" s="521">
        <v>0</v>
      </c>
      <c r="T79" s="521">
        <v>258</v>
      </c>
      <c r="U79" s="230"/>
      <c r="V79" s="229">
        <f t="shared" si="24"/>
        <v>1551</v>
      </c>
      <c r="W79" s="204">
        <v>495</v>
      </c>
      <c r="X79" s="204"/>
      <c r="Y79" s="204"/>
      <c r="Z79" s="214">
        <f t="shared" si="22"/>
        <v>3804</v>
      </c>
      <c r="AA79" s="215">
        <f t="shared" si="25"/>
        <v>2246</v>
      </c>
      <c r="AD79" s="520"/>
      <c r="AE79" s="520"/>
      <c r="AF79" s="520"/>
      <c r="AG79" s="520"/>
      <c r="AH79" s="520"/>
      <c r="AI79" s="520"/>
      <c r="AJ79" s="520"/>
      <c r="AK79" s="520"/>
      <c r="AL79" s="520"/>
      <c r="AM79" s="520"/>
      <c r="AN79" s="520"/>
    </row>
    <row r="80" spans="1:41" x14ac:dyDescent="0.25">
      <c r="A80" s="136" t="s">
        <v>109</v>
      </c>
      <c r="B80" s="137" t="s">
        <v>329</v>
      </c>
      <c r="C80" s="521">
        <v>700</v>
      </c>
      <c r="D80" s="521">
        <v>421</v>
      </c>
      <c r="E80" s="521">
        <v>381</v>
      </c>
      <c r="F80" s="521">
        <v>36</v>
      </c>
      <c r="G80" s="521">
        <v>45</v>
      </c>
      <c r="H80" s="521">
        <v>0</v>
      </c>
      <c r="I80" s="521">
        <v>1757</v>
      </c>
      <c r="J80" s="521">
        <v>267</v>
      </c>
      <c r="K80" s="521">
        <v>0</v>
      </c>
      <c r="L80" s="232">
        <f t="shared" si="23"/>
        <v>3607</v>
      </c>
      <c r="M80" s="521">
        <v>756</v>
      </c>
      <c r="N80" s="521">
        <v>742</v>
      </c>
      <c r="O80" s="521">
        <v>560</v>
      </c>
      <c r="P80" s="521">
        <v>53</v>
      </c>
      <c r="Q80" s="521">
        <v>42</v>
      </c>
      <c r="R80" s="521">
        <v>17</v>
      </c>
      <c r="S80" s="521">
        <v>0</v>
      </c>
      <c r="T80" s="521">
        <v>1</v>
      </c>
      <c r="U80" s="230"/>
      <c r="V80" s="229">
        <f t="shared" si="24"/>
        <v>2171</v>
      </c>
      <c r="W80" s="204">
        <v>283</v>
      </c>
      <c r="X80" s="204"/>
      <c r="Y80" s="204"/>
      <c r="Z80" s="214">
        <f t="shared" si="22"/>
        <v>6061</v>
      </c>
      <c r="AA80" s="215">
        <f t="shared" si="25"/>
        <v>2708</v>
      </c>
      <c r="AD80" s="520"/>
      <c r="AE80" s="520"/>
      <c r="AF80" s="520"/>
      <c r="AG80" s="520"/>
      <c r="AH80" s="520"/>
      <c r="AI80" s="520"/>
      <c r="AJ80" s="520"/>
      <c r="AK80" s="520"/>
      <c r="AL80" s="520"/>
      <c r="AM80" s="520"/>
      <c r="AN80" s="520"/>
    </row>
    <row r="81" spans="1:41" x14ac:dyDescent="0.25">
      <c r="A81" s="136" t="s">
        <v>124</v>
      </c>
      <c r="B81" s="137" t="s">
        <v>330</v>
      </c>
      <c r="C81" s="521">
        <v>2478</v>
      </c>
      <c r="D81" s="521">
        <v>1406</v>
      </c>
      <c r="E81" s="521">
        <v>586</v>
      </c>
      <c r="F81" s="521">
        <v>164</v>
      </c>
      <c r="G81" s="521">
        <v>148</v>
      </c>
      <c r="H81" s="521">
        <v>0</v>
      </c>
      <c r="I81" s="521">
        <v>13</v>
      </c>
      <c r="J81" s="521">
        <v>57</v>
      </c>
      <c r="K81" s="521">
        <v>0</v>
      </c>
      <c r="L81" s="232">
        <f t="shared" si="23"/>
        <v>4852</v>
      </c>
      <c r="M81" s="521">
        <v>618</v>
      </c>
      <c r="N81" s="521">
        <v>1053</v>
      </c>
      <c r="O81" s="521">
        <v>277</v>
      </c>
      <c r="P81" s="521">
        <v>57</v>
      </c>
      <c r="Q81" s="521">
        <v>80</v>
      </c>
      <c r="R81" s="521">
        <v>20</v>
      </c>
      <c r="S81" s="521">
        <v>0</v>
      </c>
      <c r="T81" s="521">
        <v>0</v>
      </c>
      <c r="U81" s="230"/>
      <c r="V81" s="229">
        <f t="shared" si="24"/>
        <v>2105</v>
      </c>
      <c r="W81" s="204">
        <v>576</v>
      </c>
      <c r="X81" s="204"/>
      <c r="Y81" s="204"/>
      <c r="Z81" s="214">
        <f t="shared" si="22"/>
        <v>7533</v>
      </c>
      <c r="AA81" s="215">
        <f t="shared" si="25"/>
        <v>5776</v>
      </c>
      <c r="AD81" s="520"/>
      <c r="AE81" s="520"/>
      <c r="AF81" s="520"/>
      <c r="AG81" s="520"/>
      <c r="AH81" s="520"/>
      <c r="AI81" s="520"/>
      <c r="AJ81" s="520"/>
      <c r="AK81" s="520"/>
      <c r="AL81" s="520"/>
      <c r="AM81" s="520"/>
      <c r="AN81" s="520"/>
    </row>
    <row r="82" spans="1:41" x14ac:dyDescent="0.25">
      <c r="A82" s="136" t="s">
        <v>126</v>
      </c>
      <c r="B82" s="137" t="s">
        <v>331</v>
      </c>
      <c r="C82" s="521">
        <v>1169</v>
      </c>
      <c r="D82" s="521">
        <v>392</v>
      </c>
      <c r="E82" s="521">
        <v>340</v>
      </c>
      <c r="F82" s="521">
        <v>45</v>
      </c>
      <c r="G82" s="521">
        <v>47</v>
      </c>
      <c r="H82" s="521">
        <v>0</v>
      </c>
      <c r="I82" s="521">
        <v>0</v>
      </c>
      <c r="J82" s="521">
        <v>230</v>
      </c>
      <c r="K82" s="521">
        <v>0</v>
      </c>
      <c r="L82" s="232">
        <f t="shared" si="23"/>
        <v>2223</v>
      </c>
      <c r="M82" s="521">
        <v>1205</v>
      </c>
      <c r="N82" s="521">
        <v>1140</v>
      </c>
      <c r="O82" s="521">
        <v>567</v>
      </c>
      <c r="P82" s="521">
        <v>166</v>
      </c>
      <c r="Q82" s="521">
        <v>94</v>
      </c>
      <c r="R82" s="521">
        <v>0</v>
      </c>
      <c r="S82" s="521">
        <v>0</v>
      </c>
      <c r="T82" s="521">
        <v>140</v>
      </c>
      <c r="U82" s="230">
        <v>0</v>
      </c>
      <c r="V82" s="229">
        <f t="shared" si="24"/>
        <v>3312</v>
      </c>
      <c r="W82" s="204">
        <v>1825</v>
      </c>
      <c r="X82" s="204"/>
      <c r="Y82" s="204"/>
      <c r="Z82" s="214">
        <f t="shared" si="22"/>
        <v>7360</v>
      </c>
      <c r="AA82" s="215">
        <f t="shared" si="25"/>
        <v>4117</v>
      </c>
      <c r="AD82" s="520"/>
      <c r="AE82" s="520"/>
      <c r="AF82" s="520"/>
      <c r="AG82" s="520"/>
      <c r="AH82" s="520"/>
      <c r="AI82" s="520"/>
      <c r="AJ82" s="520"/>
      <c r="AK82" s="520"/>
      <c r="AL82" s="520"/>
      <c r="AM82" s="520"/>
      <c r="AN82" s="520"/>
    </row>
    <row r="83" spans="1:41" x14ac:dyDescent="0.25">
      <c r="A83" s="136" t="s">
        <v>132</v>
      </c>
      <c r="B83" s="137" t="s">
        <v>298</v>
      </c>
      <c r="C83" s="521">
        <v>2228</v>
      </c>
      <c r="D83" s="521">
        <v>2664</v>
      </c>
      <c r="E83" s="521">
        <v>989</v>
      </c>
      <c r="F83" s="521">
        <v>86</v>
      </c>
      <c r="G83" s="521">
        <v>126</v>
      </c>
      <c r="H83" s="521">
        <v>0</v>
      </c>
      <c r="I83" s="521">
        <v>87</v>
      </c>
      <c r="J83" s="521">
        <v>339</v>
      </c>
      <c r="K83" s="521">
        <v>0</v>
      </c>
      <c r="L83" s="232">
        <f t="shared" si="23"/>
        <v>6519</v>
      </c>
      <c r="M83" s="521">
        <v>1311</v>
      </c>
      <c r="N83" s="521">
        <v>1582</v>
      </c>
      <c r="O83" s="521">
        <v>1054</v>
      </c>
      <c r="P83" s="521">
        <v>58</v>
      </c>
      <c r="Q83" s="521">
        <v>39</v>
      </c>
      <c r="R83" s="521">
        <v>32</v>
      </c>
      <c r="S83" s="521">
        <v>24</v>
      </c>
      <c r="T83" s="521">
        <v>84</v>
      </c>
      <c r="U83" s="230">
        <v>0</v>
      </c>
      <c r="V83" s="229">
        <f t="shared" si="24"/>
        <v>4184</v>
      </c>
      <c r="W83" s="204">
        <v>1319</v>
      </c>
      <c r="X83" s="204"/>
      <c r="Y83" s="204"/>
      <c r="Z83" s="214">
        <f t="shared" si="22"/>
        <v>12022</v>
      </c>
      <c r="AA83" s="215">
        <f t="shared" si="25"/>
        <v>7929</v>
      </c>
      <c r="AD83" s="520"/>
      <c r="AE83" s="520"/>
      <c r="AF83" s="520"/>
      <c r="AG83" s="520"/>
      <c r="AH83" s="520"/>
      <c r="AI83" s="520"/>
      <c r="AJ83" s="520"/>
      <c r="AK83" s="520"/>
      <c r="AL83" s="520"/>
      <c r="AM83" s="520"/>
      <c r="AN83" s="520"/>
    </row>
    <row r="84" spans="1:41" x14ac:dyDescent="0.25">
      <c r="A84" s="136" t="s">
        <v>137</v>
      </c>
      <c r="B84" s="137" t="s">
        <v>299</v>
      </c>
      <c r="C84" s="521">
        <v>919</v>
      </c>
      <c r="D84" s="521">
        <v>657</v>
      </c>
      <c r="E84" s="521">
        <v>305</v>
      </c>
      <c r="F84" s="521">
        <v>79</v>
      </c>
      <c r="G84" s="521">
        <v>68</v>
      </c>
      <c r="H84" s="521">
        <v>0</v>
      </c>
      <c r="I84" s="521">
        <v>0</v>
      </c>
      <c r="J84" s="521">
        <v>190</v>
      </c>
      <c r="K84" s="521">
        <v>0</v>
      </c>
      <c r="L84" s="232">
        <f t="shared" si="23"/>
        <v>2218</v>
      </c>
      <c r="M84" s="521">
        <v>1531</v>
      </c>
      <c r="N84" s="521">
        <v>1681</v>
      </c>
      <c r="O84" s="521">
        <v>814</v>
      </c>
      <c r="P84" s="521">
        <v>90</v>
      </c>
      <c r="Q84" s="521">
        <v>68</v>
      </c>
      <c r="R84" s="521">
        <v>0</v>
      </c>
      <c r="S84" s="521">
        <v>0</v>
      </c>
      <c r="T84" s="521">
        <v>8</v>
      </c>
      <c r="U84" s="230">
        <v>0</v>
      </c>
      <c r="V84" s="229">
        <f t="shared" si="24"/>
        <v>4192</v>
      </c>
      <c r="W84" s="204">
        <v>704</v>
      </c>
      <c r="X84" s="204"/>
      <c r="Y84" s="204"/>
      <c r="Z84" s="214">
        <f t="shared" si="22"/>
        <v>7114</v>
      </c>
      <c r="AA84" s="215">
        <f t="shared" si="25"/>
        <v>4957</v>
      </c>
      <c r="AD84" s="520"/>
      <c r="AE84" s="520"/>
      <c r="AF84" s="520"/>
      <c r="AG84" s="520"/>
      <c r="AH84" s="520"/>
      <c r="AI84" s="520"/>
      <c r="AJ84" s="520"/>
      <c r="AK84" s="520"/>
      <c r="AL84" s="520"/>
      <c r="AM84" s="520"/>
      <c r="AN84" s="520"/>
    </row>
    <row r="85" spans="1:41" x14ac:dyDescent="0.25">
      <c r="A85" s="136" t="s">
        <v>148</v>
      </c>
      <c r="B85" s="137" t="s">
        <v>300</v>
      </c>
      <c r="C85" s="521">
        <v>632</v>
      </c>
      <c r="D85" s="521">
        <v>556</v>
      </c>
      <c r="E85" s="521">
        <v>282</v>
      </c>
      <c r="F85" s="521">
        <v>50</v>
      </c>
      <c r="G85" s="521">
        <v>31</v>
      </c>
      <c r="H85" s="521">
        <v>0</v>
      </c>
      <c r="I85" s="521">
        <v>19</v>
      </c>
      <c r="J85" s="521">
        <v>91</v>
      </c>
      <c r="K85" s="521">
        <v>0</v>
      </c>
      <c r="L85" s="232">
        <f t="shared" si="23"/>
        <v>1661</v>
      </c>
      <c r="M85" s="521">
        <v>700</v>
      </c>
      <c r="N85" s="521">
        <v>645</v>
      </c>
      <c r="O85" s="521">
        <v>341</v>
      </c>
      <c r="P85" s="521">
        <v>38</v>
      </c>
      <c r="Q85" s="521">
        <v>17</v>
      </c>
      <c r="R85" s="521">
        <v>30</v>
      </c>
      <c r="S85" s="521">
        <v>0</v>
      </c>
      <c r="T85" s="521">
        <v>21</v>
      </c>
      <c r="U85" s="230">
        <v>0</v>
      </c>
      <c r="V85" s="229">
        <f t="shared" si="24"/>
        <v>1792</v>
      </c>
      <c r="W85" s="204">
        <v>288</v>
      </c>
      <c r="X85" s="204"/>
      <c r="Y85" s="204"/>
      <c r="Z85" s="214">
        <f t="shared" si="22"/>
        <v>3741</v>
      </c>
      <c r="AA85" s="215">
        <f t="shared" si="25"/>
        <v>2621</v>
      </c>
      <c r="AD85" s="520"/>
      <c r="AE85" s="520"/>
      <c r="AF85" s="520"/>
      <c r="AG85" s="520"/>
      <c r="AH85" s="520"/>
      <c r="AI85" s="520"/>
      <c r="AJ85" s="520"/>
      <c r="AK85" s="520"/>
      <c r="AL85" s="520"/>
      <c r="AM85" s="520"/>
      <c r="AN85" s="520"/>
    </row>
    <row r="86" spans="1:41" x14ac:dyDescent="0.25">
      <c r="A86" s="136" t="s">
        <v>169</v>
      </c>
      <c r="B86" s="137" t="s">
        <v>301</v>
      </c>
      <c r="C86" s="521">
        <v>728</v>
      </c>
      <c r="D86" s="521">
        <v>300</v>
      </c>
      <c r="E86" s="521">
        <v>321</v>
      </c>
      <c r="F86" s="521">
        <v>29</v>
      </c>
      <c r="G86" s="521">
        <v>71</v>
      </c>
      <c r="H86" s="521">
        <v>0</v>
      </c>
      <c r="I86" s="521">
        <v>416</v>
      </c>
      <c r="J86" s="521">
        <v>169</v>
      </c>
      <c r="K86" s="521">
        <v>0</v>
      </c>
      <c r="L86" s="232">
        <f t="shared" si="23"/>
        <v>2034</v>
      </c>
      <c r="M86" s="521">
        <v>210</v>
      </c>
      <c r="N86" s="521">
        <v>522</v>
      </c>
      <c r="O86" s="521">
        <v>167</v>
      </c>
      <c r="P86" s="521">
        <v>49</v>
      </c>
      <c r="Q86" s="521">
        <v>28</v>
      </c>
      <c r="R86" s="521">
        <v>6</v>
      </c>
      <c r="S86" s="521">
        <v>0</v>
      </c>
      <c r="T86" s="521">
        <v>0</v>
      </c>
      <c r="U86" s="230">
        <v>0</v>
      </c>
      <c r="V86" s="229">
        <f t="shared" si="24"/>
        <v>982</v>
      </c>
      <c r="W86" s="205"/>
      <c r="X86" s="204"/>
      <c r="Y86" s="204"/>
      <c r="Z86" s="214">
        <f t="shared" si="22"/>
        <v>3016</v>
      </c>
      <c r="AA86" s="215">
        <f t="shared" si="25"/>
        <v>1838</v>
      </c>
      <c r="AD86" s="520"/>
      <c r="AE86" s="520"/>
      <c r="AF86" s="520"/>
      <c r="AG86" s="520"/>
      <c r="AH86" s="520"/>
      <c r="AI86" s="520"/>
      <c r="AJ86" s="520"/>
      <c r="AK86" s="520"/>
      <c r="AL86" s="520"/>
      <c r="AM86" s="520"/>
      <c r="AN86" s="520"/>
    </row>
    <row r="87" spans="1:41" x14ac:dyDescent="0.25">
      <c r="A87" s="136" t="s">
        <v>172</v>
      </c>
      <c r="B87" s="137" t="s">
        <v>333</v>
      </c>
      <c r="C87" s="521">
        <v>15180</v>
      </c>
      <c r="D87" s="521">
        <v>3540</v>
      </c>
      <c r="E87" s="521">
        <v>2132</v>
      </c>
      <c r="F87" s="521">
        <v>285</v>
      </c>
      <c r="G87" s="521">
        <v>178</v>
      </c>
      <c r="H87" s="521">
        <v>0</v>
      </c>
      <c r="I87" s="521">
        <v>1615</v>
      </c>
      <c r="J87" s="521">
        <v>555</v>
      </c>
      <c r="K87" s="521">
        <v>4</v>
      </c>
      <c r="L87" s="232">
        <f t="shared" si="23"/>
        <v>23489</v>
      </c>
      <c r="M87" s="521">
        <v>3280</v>
      </c>
      <c r="N87" s="521">
        <v>2345</v>
      </c>
      <c r="O87" s="521">
        <v>840</v>
      </c>
      <c r="P87" s="521">
        <v>134</v>
      </c>
      <c r="Q87" s="521">
        <v>57</v>
      </c>
      <c r="R87" s="521">
        <v>0</v>
      </c>
      <c r="S87" s="521">
        <v>0</v>
      </c>
      <c r="T87" s="521">
        <v>11</v>
      </c>
      <c r="U87" s="230">
        <v>0</v>
      </c>
      <c r="V87" s="229">
        <f t="shared" si="24"/>
        <v>6667</v>
      </c>
      <c r="W87" s="209">
        <v>225</v>
      </c>
      <c r="X87" s="209"/>
      <c r="Y87" s="209"/>
      <c r="Z87" s="214">
        <f t="shared" si="22"/>
        <v>30381</v>
      </c>
      <c r="AA87" s="215">
        <f t="shared" si="25"/>
        <v>24768</v>
      </c>
      <c r="AD87" s="520"/>
      <c r="AE87" s="520"/>
      <c r="AF87" s="520"/>
      <c r="AG87" s="520"/>
      <c r="AH87" s="520"/>
      <c r="AI87" s="520"/>
      <c r="AJ87" s="520"/>
      <c r="AK87" s="520"/>
      <c r="AL87" s="520"/>
      <c r="AM87" s="520"/>
      <c r="AN87" s="520"/>
    </row>
    <row r="88" spans="1:41" ht="13.8" thickBot="1" x14ac:dyDescent="0.3">
      <c r="A88" s="136" t="s">
        <v>175</v>
      </c>
      <c r="B88" s="137" t="s">
        <v>334</v>
      </c>
      <c r="C88" s="522">
        <v>287</v>
      </c>
      <c r="D88" s="522">
        <v>113</v>
      </c>
      <c r="E88" s="522">
        <v>63</v>
      </c>
      <c r="F88" s="522">
        <v>3</v>
      </c>
      <c r="G88" s="522">
        <v>10</v>
      </c>
      <c r="H88" s="522">
        <v>48</v>
      </c>
      <c r="I88" s="522">
        <v>0</v>
      </c>
      <c r="J88" s="522">
        <v>71</v>
      </c>
      <c r="K88" s="522">
        <v>0</v>
      </c>
      <c r="L88" s="239">
        <f t="shared" si="23"/>
        <v>595</v>
      </c>
      <c r="M88" s="522">
        <v>1476</v>
      </c>
      <c r="N88" s="522">
        <v>798</v>
      </c>
      <c r="O88" s="522">
        <v>666</v>
      </c>
      <c r="P88" s="522">
        <v>21</v>
      </c>
      <c r="Q88" s="522">
        <v>52</v>
      </c>
      <c r="R88" s="522">
        <v>0</v>
      </c>
      <c r="S88" s="522">
        <v>0</v>
      </c>
      <c r="T88" s="522">
        <v>10</v>
      </c>
      <c r="U88" s="265">
        <v>0</v>
      </c>
      <c r="V88" s="231">
        <f t="shared" si="24"/>
        <v>3023</v>
      </c>
      <c r="W88" s="209">
        <v>699</v>
      </c>
      <c r="X88" s="209"/>
      <c r="Y88" s="209"/>
      <c r="Z88" s="214">
        <f t="shared" si="22"/>
        <v>4317</v>
      </c>
      <c r="AA88" s="215">
        <f t="shared" si="25"/>
        <v>2698</v>
      </c>
      <c r="AD88" s="520"/>
      <c r="AE88" s="520"/>
      <c r="AF88" s="520"/>
      <c r="AG88" s="520"/>
      <c r="AH88" s="520"/>
      <c r="AI88" s="520"/>
      <c r="AJ88" s="520"/>
      <c r="AK88" s="520"/>
      <c r="AL88" s="520"/>
      <c r="AM88" s="520"/>
      <c r="AN88" s="520"/>
    </row>
    <row r="89" spans="1:41" s="109" customFormat="1" ht="14.4" thickBot="1" x14ac:dyDescent="0.3">
      <c r="A89" s="134"/>
      <c r="B89" s="159" t="s">
        <v>461</v>
      </c>
      <c r="C89" s="258">
        <f t="shared" ref="C89:AA89" si="26">SUM(C73:C88)</f>
        <v>38453</v>
      </c>
      <c r="D89" s="157">
        <f t="shared" si="26"/>
        <v>15512</v>
      </c>
      <c r="E89" s="157">
        <f t="shared" si="26"/>
        <v>10556</v>
      </c>
      <c r="F89" s="157">
        <f t="shared" si="26"/>
        <v>1240</v>
      </c>
      <c r="G89" s="157">
        <f t="shared" si="26"/>
        <v>1094</v>
      </c>
      <c r="H89" s="157">
        <f t="shared" si="26"/>
        <v>93</v>
      </c>
      <c r="I89" s="157">
        <f t="shared" si="26"/>
        <v>4748</v>
      </c>
      <c r="J89" s="157">
        <f t="shared" si="26"/>
        <v>2921</v>
      </c>
      <c r="K89" s="259">
        <f t="shared" si="26"/>
        <v>183</v>
      </c>
      <c r="L89" s="260">
        <f t="shared" si="26"/>
        <v>74800</v>
      </c>
      <c r="M89" s="262">
        <f t="shared" si="26"/>
        <v>17045</v>
      </c>
      <c r="N89" s="158">
        <f t="shared" si="26"/>
        <v>16520</v>
      </c>
      <c r="O89" s="264">
        <f t="shared" si="26"/>
        <v>8874</v>
      </c>
      <c r="P89" s="262">
        <f t="shared" si="26"/>
        <v>1137</v>
      </c>
      <c r="Q89" s="158">
        <f t="shared" si="26"/>
        <v>777</v>
      </c>
      <c r="R89" s="158">
        <f t="shared" si="26"/>
        <v>191</v>
      </c>
      <c r="S89" s="158">
        <f t="shared" si="26"/>
        <v>813</v>
      </c>
      <c r="T89" s="264">
        <f t="shared" si="26"/>
        <v>1047</v>
      </c>
      <c r="U89" s="401">
        <f t="shared" si="26"/>
        <v>0</v>
      </c>
      <c r="V89" s="180">
        <f t="shared" si="26"/>
        <v>46404</v>
      </c>
      <c r="W89" s="210">
        <f t="shared" si="26"/>
        <v>14539</v>
      </c>
      <c r="X89" s="210">
        <f t="shared" si="26"/>
        <v>0</v>
      </c>
      <c r="Y89" s="210">
        <f t="shared" si="26"/>
        <v>0</v>
      </c>
      <c r="Z89" s="210">
        <f t="shared" si="26"/>
        <v>135743</v>
      </c>
      <c r="AA89" s="219">
        <f t="shared" si="26"/>
        <v>90090</v>
      </c>
      <c r="AC89"/>
      <c r="AD89" s="520"/>
      <c r="AE89" s="520"/>
      <c r="AF89" s="520"/>
      <c r="AG89" s="520"/>
      <c r="AH89" s="520"/>
      <c r="AI89" s="520"/>
      <c r="AJ89" s="520"/>
      <c r="AK89" s="520"/>
      <c r="AL89" s="520"/>
      <c r="AM89" s="520"/>
      <c r="AN89" s="520"/>
      <c r="AO89"/>
    </row>
    <row r="90" spans="1:41" x14ac:dyDescent="0.25">
      <c r="A90" s="136" t="s">
        <v>67</v>
      </c>
      <c r="B90" s="137" t="s">
        <v>346</v>
      </c>
      <c r="C90" s="523">
        <v>525</v>
      </c>
      <c r="D90" s="523">
        <v>180</v>
      </c>
      <c r="E90" s="523">
        <v>115</v>
      </c>
      <c r="F90" s="523">
        <v>26</v>
      </c>
      <c r="G90" s="523">
        <v>7</v>
      </c>
      <c r="H90" s="523">
        <v>0</v>
      </c>
      <c r="I90" s="523">
        <v>0</v>
      </c>
      <c r="J90" s="523">
        <v>124</v>
      </c>
      <c r="K90" s="523">
        <v>0</v>
      </c>
      <c r="L90" s="234">
        <f t="shared" ref="L90:L105" si="27">SUM(C90:K90)</f>
        <v>977</v>
      </c>
      <c r="M90" s="523">
        <v>480</v>
      </c>
      <c r="N90" s="523">
        <v>618</v>
      </c>
      <c r="O90" s="523">
        <v>153</v>
      </c>
      <c r="P90" s="523">
        <v>23</v>
      </c>
      <c r="Q90" s="523">
        <v>66</v>
      </c>
      <c r="R90" s="523">
        <v>0</v>
      </c>
      <c r="S90" s="523">
        <v>0</v>
      </c>
      <c r="T90" s="523">
        <v>13</v>
      </c>
      <c r="U90" s="334"/>
      <c r="V90" s="174">
        <f t="shared" ref="V90:V105" si="28">SUM(M90:U90)</f>
        <v>1353</v>
      </c>
      <c r="W90" s="211">
        <v>0</v>
      </c>
      <c r="X90" s="211"/>
      <c r="Y90" s="211"/>
      <c r="Z90" s="214">
        <f t="shared" si="22"/>
        <v>2330</v>
      </c>
      <c r="AA90" s="215">
        <f t="shared" ref="AA90:AA103" si="29">C90+D90+F90+K90+M90+N90+P90+U90</f>
        <v>1852</v>
      </c>
      <c r="AD90" s="520"/>
      <c r="AE90" s="520"/>
      <c r="AF90" s="520"/>
      <c r="AG90" s="520"/>
      <c r="AH90" s="520"/>
      <c r="AI90" s="520"/>
      <c r="AJ90" s="520"/>
      <c r="AK90" s="520"/>
      <c r="AL90" s="520"/>
      <c r="AM90" s="520"/>
      <c r="AN90" s="520"/>
    </row>
    <row r="91" spans="1:41" x14ac:dyDescent="0.25">
      <c r="A91" s="136" t="s">
        <v>76</v>
      </c>
      <c r="B91" s="137" t="s">
        <v>290</v>
      </c>
      <c r="C91" s="521">
        <v>570</v>
      </c>
      <c r="D91" s="521">
        <v>224</v>
      </c>
      <c r="E91" s="521">
        <v>296</v>
      </c>
      <c r="F91" s="521">
        <v>19</v>
      </c>
      <c r="G91" s="521">
        <v>31</v>
      </c>
      <c r="H91" s="521">
        <v>0</v>
      </c>
      <c r="I91" s="521">
        <v>51</v>
      </c>
      <c r="J91" s="521">
        <v>102</v>
      </c>
      <c r="K91" s="521">
        <v>0</v>
      </c>
      <c r="L91" s="232">
        <f t="shared" si="27"/>
        <v>1293</v>
      </c>
      <c r="M91" s="521">
        <v>209</v>
      </c>
      <c r="N91" s="521">
        <v>351</v>
      </c>
      <c r="O91" s="521">
        <v>239</v>
      </c>
      <c r="P91" s="521">
        <v>5</v>
      </c>
      <c r="Q91" s="521">
        <v>15</v>
      </c>
      <c r="R91" s="521">
        <v>0</v>
      </c>
      <c r="S91" s="521">
        <v>0</v>
      </c>
      <c r="T91" s="521">
        <v>270</v>
      </c>
      <c r="U91" s="381"/>
      <c r="V91" s="176">
        <f t="shared" si="28"/>
        <v>1089</v>
      </c>
      <c r="W91" s="204">
        <v>3837</v>
      </c>
      <c r="X91" s="204"/>
      <c r="Y91" s="204"/>
      <c r="Z91" s="214">
        <f t="shared" si="22"/>
        <v>6219</v>
      </c>
      <c r="AA91" s="215">
        <f t="shared" si="29"/>
        <v>1378</v>
      </c>
      <c r="AB91" s="142">
        <f>L91+V91</f>
        <v>2382</v>
      </c>
    </row>
    <row r="92" spans="1:41" x14ac:dyDescent="0.25">
      <c r="A92" s="136" t="s">
        <v>79</v>
      </c>
      <c r="B92" s="137" t="s">
        <v>347</v>
      </c>
      <c r="C92" s="521">
        <v>1093</v>
      </c>
      <c r="D92" s="521">
        <v>283</v>
      </c>
      <c r="E92" s="521">
        <v>210</v>
      </c>
      <c r="F92" s="521">
        <v>48</v>
      </c>
      <c r="G92" s="521">
        <v>25</v>
      </c>
      <c r="H92" s="521">
        <v>0</v>
      </c>
      <c r="I92" s="521">
        <v>7</v>
      </c>
      <c r="J92" s="521">
        <v>576</v>
      </c>
      <c r="K92" s="521">
        <v>0</v>
      </c>
      <c r="L92" s="232">
        <f t="shared" si="27"/>
        <v>2242</v>
      </c>
      <c r="M92" s="521">
        <v>846</v>
      </c>
      <c r="N92" s="521">
        <v>571</v>
      </c>
      <c r="O92" s="521">
        <v>244</v>
      </c>
      <c r="P92" s="521">
        <v>34</v>
      </c>
      <c r="Q92" s="521">
        <v>44</v>
      </c>
      <c r="R92" s="521">
        <v>0</v>
      </c>
      <c r="S92" s="521">
        <v>7</v>
      </c>
      <c r="T92" s="521">
        <v>6</v>
      </c>
      <c r="U92" s="381"/>
      <c r="V92" s="176">
        <f t="shared" si="28"/>
        <v>1752</v>
      </c>
      <c r="W92" s="204">
        <v>723</v>
      </c>
      <c r="X92" s="204"/>
      <c r="Y92" s="204"/>
      <c r="Z92" s="214">
        <f t="shared" si="22"/>
        <v>4717</v>
      </c>
      <c r="AA92" s="215">
        <f t="shared" si="29"/>
        <v>2875</v>
      </c>
    </row>
    <row r="93" spans="1:41" x14ac:dyDescent="0.25">
      <c r="A93" s="136" t="s">
        <v>83</v>
      </c>
      <c r="B93" s="137" t="s">
        <v>291</v>
      </c>
      <c r="C93" s="521">
        <v>7245</v>
      </c>
      <c r="D93" s="521">
        <v>6032</v>
      </c>
      <c r="E93" s="521">
        <v>2504</v>
      </c>
      <c r="F93" s="521">
        <v>119</v>
      </c>
      <c r="G93" s="521">
        <v>403</v>
      </c>
      <c r="H93" s="521">
        <v>0</v>
      </c>
      <c r="I93" s="521">
        <v>88</v>
      </c>
      <c r="J93" s="521">
        <v>423</v>
      </c>
      <c r="K93" s="521">
        <v>0</v>
      </c>
      <c r="L93" s="232">
        <f t="shared" si="27"/>
        <v>16814</v>
      </c>
      <c r="M93" s="521">
        <v>1784</v>
      </c>
      <c r="N93" s="521">
        <v>2909</v>
      </c>
      <c r="O93" s="521">
        <v>1185</v>
      </c>
      <c r="P93" s="521">
        <v>32</v>
      </c>
      <c r="Q93" s="521">
        <v>98</v>
      </c>
      <c r="R93" s="521">
        <v>0</v>
      </c>
      <c r="S93" s="521">
        <v>35</v>
      </c>
      <c r="T93" s="521">
        <v>1</v>
      </c>
      <c r="U93" s="381"/>
      <c r="V93" s="176">
        <f t="shared" si="28"/>
        <v>6044</v>
      </c>
      <c r="W93" s="205"/>
      <c r="X93" s="204"/>
      <c r="Y93" s="204"/>
      <c r="Z93" s="214">
        <f t="shared" si="22"/>
        <v>22858</v>
      </c>
      <c r="AA93" s="215">
        <f t="shared" si="29"/>
        <v>18121</v>
      </c>
    </row>
    <row r="94" spans="1:41" x14ac:dyDescent="0.25">
      <c r="A94" s="136" t="s">
        <v>89</v>
      </c>
      <c r="B94" s="137" t="s">
        <v>348</v>
      </c>
      <c r="C94" s="521">
        <v>94</v>
      </c>
      <c r="D94" s="521">
        <v>78</v>
      </c>
      <c r="E94" s="521">
        <v>38</v>
      </c>
      <c r="F94" s="521">
        <v>0</v>
      </c>
      <c r="G94" s="521">
        <v>1</v>
      </c>
      <c r="H94" s="521">
        <v>0</v>
      </c>
      <c r="I94" s="521">
        <v>0</v>
      </c>
      <c r="J94" s="521">
        <v>38</v>
      </c>
      <c r="K94" s="521">
        <v>0</v>
      </c>
      <c r="L94" s="232">
        <f t="shared" si="27"/>
        <v>249</v>
      </c>
      <c r="M94" s="521">
        <v>88</v>
      </c>
      <c r="N94" s="521">
        <v>67</v>
      </c>
      <c r="O94" s="521">
        <v>55</v>
      </c>
      <c r="P94" s="521">
        <v>6</v>
      </c>
      <c r="Q94" s="521">
        <v>8</v>
      </c>
      <c r="R94" s="521">
        <v>0</v>
      </c>
      <c r="S94" s="521">
        <v>0</v>
      </c>
      <c r="T94" s="521">
        <v>0</v>
      </c>
      <c r="U94" s="381"/>
      <c r="V94" s="176">
        <f t="shared" si="28"/>
        <v>224</v>
      </c>
      <c r="W94" s="204">
        <v>235</v>
      </c>
      <c r="X94" s="204"/>
      <c r="Y94" s="204"/>
      <c r="Z94" s="214">
        <f t="shared" si="22"/>
        <v>708</v>
      </c>
      <c r="AA94" s="215">
        <f t="shared" si="29"/>
        <v>333</v>
      </c>
    </row>
    <row r="95" spans="1:41" x14ac:dyDescent="0.25">
      <c r="A95" s="136" t="s">
        <v>90</v>
      </c>
      <c r="B95" s="137" t="s">
        <v>349</v>
      </c>
      <c r="C95" s="521">
        <v>801</v>
      </c>
      <c r="D95" s="521">
        <v>620</v>
      </c>
      <c r="E95" s="521">
        <v>313</v>
      </c>
      <c r="F95" s="521">
        <v>24</v>
      </c>
      <c r="G95" s="521">
        <v>26</v>
      </c>
      <c r="H95" s="521">
        <v>0</v>
      </c>
      <c r="I95" s="521">
        <v>60</v>
      </c>
      <c r="J95" s="521">
        <v>231</v>
      </c>
      <c r="K95" s="521">
        <v>0</v>
      </c>
      <c r="L95" s="232">
        <f t="shared" si="27"/>
        <v>2075</v>
      </c>
      <c r="M95" s="521">
        <v>1164</v>
      </c>
      <c r="N95" s="521">
        <v>1116</v>
      </c>
      <c r="O95" s="521">
        <v>645</v>
      </c>
      <c r="P95" s="521">
        <v>51</v>
      </c>
      <c r="Q95" s="521">
        <v>22</v>
      </c>
      <c r="R95" s="521">
        <v>0</v>
      </c>
      <c r="S95" s="521">
        <v>0</v>
      </c>
      <c r="T95" s="521">
        <v>8</v>
      </c>
      <c r="U95" s="381"/>
      <c r="V95" s="176">
        <f t="shared" si="28"/>
        <v>3006</v>
      </c>
      <c r="W95" s="204">
        <v>682</v>
      </c>
      <c r="X95" s="204"/>
      <c r="Y95" s="204"/>
      <c r="Z95" s="214">
        <f t="shared" si="22"/>
        <v>5763</v>
      </c>
      <c r="AA95" s="215">
        <f t="shared" si="29"/>
        <v>3776</v>
      </c>
    </row>
    <row r="96" spans="1:41" x14ac:dyDescent="0.25">
      <c r="A96" s="136" t="s">
        <v>93</v>
      </c>
      <c r="B96" s="137" t="s">
        <v>359</v>
      </c>
      <c r="C96" s="521">
        <v>879</v>
      </c>
      <c r="D96" s="521">
        <v>710</v>
      </c>
      <c r="E96" s="521">
        <v>387</v>
      </c>
      <c r="F96" s="521">
        <v>64</v>
      </c>
      <c r="G96" s="521">
        <v>33</v>
      </c>
      <c r="H96" s="521">
        <v>0</v>
      </c>
      <c r="I96" s="521">
        <v>22</v>
      </c>
      <c r="J96" s="521">
        <v>273</v>
      </c>
      <c r="K96" s="521">
        <v>0</v>
      </c>
      <c r="L96" s="232">
        <f t="shared" si="27"/>
        <v>2368</v>
      </c>
      <c r="M96" s="521">
        <v>593</v>
      </c>
      <c r="N96" s="521">
        <v>763</v>
      </c>
      <c r="O96" s="521">
        <v>396</v>
      </c>
      <c r="P96" s="521">
        <v>107</v>
      </c>
      <c r="Q96" s="521">
        <v>8</v>
      </c>
      <c r="R96" s="521">
        <v>0</v>
      </c>
      <c r="S96" s="521">
        <v>0</v>
      </c>
      <c r="T96" s="521">
        <v>0</v>
      </c>
      <c r="U96" s="381"/>
      <c r="V96" s="176">
        <f t="shared" si="28"/>
        <v>1867</v>
      </c>
      <c r="W96" s="204">
        <v>1594</v>
      </c>
      <c r="X96" s="204"/>
      <c r="Y96" s="204"/>
      <c r="Z96" s="214">
        <f t="shared" si="22"/>
        <v>5829</v>
      </c>
      <c r="AA96" s="215">
        <f t="shared" si="29"/>
        <v>3116</v>
      </c>
      <c r="AC96" s="383"/>
    </row>
    <row r="97" spans="1:27" x14ac:dyDescent="0.25">
      <c r="A97" s="136" t="s">
        <v>97</v>
      </c>
      <c r="B97" s="137" t="s">
        <v>294</v>
      </c>
      <c r="C97" s="521">
        <v>1659</v>
      </c>
      <c r="D97" s="521">
        <v>905</v>
      </c>
      <c r="E97" s="521">
        <v>514</v>
      </c>
      <c r="F97" s="521">
        <v>45</v>
      </c>
      <c r="G97" s="521">
        <v>46</v>
      </c>
      <c r="H97" s="521">
        <v>83</v>
      </c>
      <c r="I97" s="521">
        <v>0</v>
      </c>
      <c r="J97" s="521">
        <v>312</v>
      </c>
      <c r="K97" s="521">
        <v>1</v>
      </c>
      <c r="L97" s="232">
        <f t="shared" si="27"/>
        <v>3565</v>
      </c>
      <c r="M97" s="521">
        <v>1930</v>
      </c>
      <c r="N97" s="521">
        <v>1165</v>
      </c>
      <c r="O97" s="521">
        <v>1380</v>
      </c>
      <c r="P97" s="521">
        <v>34</v>
      </c>
      <c r="Q97" s="521">
        <v>56</v>
      </c>
      <c r="R97" s="521">
        <v>0</v>
      </c>
      <c r="S97" s="521">
        <v>0</v>
      </c>
      <c r="T97" s="521">
        <v>0</v>
      </c>
      <c r="U97" s="381"/>
      <c r="V97" s="176">
        <f t="shared" si="28"/>
        <v>4565</v>
      </c>
      <c r="W97" s="204">
        <v>2283</v>
      </c>
      <c r="X97" s="204"/>
      <c r="Y97" s="204"/>
      <c r="Z97" s="214">
        <f t="shared" si="22"/>
        <v>10413</v>
      </c>
      <c r="AA97" s="215">
        <f t="shared" si="29"/>
        <v>5739</v>
      </c>
    </row>
    <row r="98" spans="1:27" x14ac:dyDescent="0.25">
      <c r="A98" s="136" t="s">
        <v>125</v>
      </c>
      <c r="B98" s="137" t="s">
        <v>350</v>
      </c>
      <c r="C98" s="521">
        <v>1017</v>
      </c>
      <c r="D98" s="521">
        <v>437</v>
      </c>
      <c r="E98" s="521">
        <v>286</v>
      </c>
      <c r="F98" s="521">
        <v>57</v>
      </c>
      <c r="G98" s="521">
        <v>48</v>
      </c>
      <c r="H98" s="521">
        <v>0</v>
      </c>
      <c r="I98" s="521">
        <v>41</v>
      </c>
      <c r="J98" s="521">
        <v>259</v>
      </c>
      <c r="K98" s="521">
        <v>0</v>
      </c>
      <c r="L98" s="232">
        <f t="shared" si="27"/>
        <v>2145</v>
      </c>
      <c r="M98" s="521">
        <v>900</v>
      </c>
      <c r="N98" s="521">
        <v>976</v>
      </c>
      <c r="O98" s="521">
        <v>593</v>
      </c>
      <c r="P98" s="521">
        <v>49</v>
      </c>
      <c r="Q98" s="521">
        <v>47</v>
      </c>
      <c r="R98" s="521">
        <v>0</v>
      </c>
      <c r="S98" s="521">
        <v>0</v>
      </c>
      <c r="T98" s="521">
        <v>36</v>
      </c>
      <c r="U98" s="381"/>
      <c r="V98" s="176">
        <f t="shared" si="28"/>
        <v>2601</v>
      </c>
      <c r="W98" s="204">
        <v>193</v>
      </c>
      <c r="X98" s="204"/>
      <c r="Y98" s="204"/>
      <c r="Z98" s="214">
        <f t="shared" si="22"/>
        <v>4939</v>
      </c>
      <c r="AA98" s="215">
        <f t="shared" si="29"/>
        <v>3436</v>
      </c>
    </row>
    <row r="99" spans="1:27" x14ac:dyDescent="0.25">
      <c r="A99" s="136" t="s">
        <v>135</v>
      </c>
      <c r="B99" s="137" t="s">
        <v>351</v>
      </c>
      <c r="C99" s="521">
        <v>1439</v>
      </c>
      <c r="D99" s="521">
        <v>1132</v>
      </c>
      <c r="E99" s="521">
        <v>412</v>
      </c>
      <c r="F99" s="521">
        <v>49</v>
      </c>
      <c r="G99" s="521">
        <v>40</v>
      </c>
      <c r="H99" s="521">
        <v>0</v>
      </c>
      <c r="I99" s="521">
        <v>0</v>
      </c>
      <c r="J99" s="521">
        <v>146</v>
      </c>
      <c r="K99" s="521">
        <v>0</v>
      </c>
      <c r="L99" s="232">
        <f t="shared" si="27"/>
        <v>3218</v>
      </c>
      <c r="M99" s="521">
        <v>594</v>
      </c>
      <c r="N99" s="521">
        <v>1241</v>
      </c>
      <c r="O99" s="521">
        <v>443</v>
      </c>
      <c r="P99" s="521">
        <v>49</v>
      </c>
      <c r="Q99" s="521">
        <v>46</v>
      </c>
      <c r="R99" s="521">
        <v>0</v>
      </c>
      <c r="S99" s="521">
        <v>0</v>
      </c>
      <c r="T99" s="521">
        <v>0</v>
      </c>
      <c r="U99" s="381"/>
      <c r="V99" s="176">
        <f t="shared" si="28"/>
        <v>2373</v>
      </c>
      <c r="W99" s="204">
        <v>245</v>
      </c>
      <c r="X99" s="204"/>
      <c r="Y99" s="204"/>
      <c r="Z99" s="214">
        <f t="shared" si="22"/>
        <v>5836</v>
      </c>
      <c r="AA99" s="215">
        <f t="shared" si="29"/>
        <v>4504</v>
      </c>
    </row>
    <row r="100" spans="1:27" x14ac:dyDescent="0.25">
      <c r="A100" s="136" t="s">
        <v>144</v>
      </c>
      <c r="B100" s="137" t="s">
        <v>352</v>
      </c>
      <c r="C100" s="521">
        <v>1773</v>
      </c>
      <c r="D100" s="521">
        <v>541</v>
      </c>
      <c r="E100" s="521">
        <v>465</v>
      </c>
      <c r="F100" s="521">
        <v>101</v>
      </c>
      <c r="G100" s="521">
        <v>55</v>
      </c>
      <c r="H100" s="521">
        <v>0</v>
      </c>
      <c r="I100" s="521">
        <v>94</v>
      </c>
      <c r="J100" s="521">
        <v>196</v>
      </c>
      <c r="K100" s="521">
        <v>0</v>
      </c>
      <c r="L100" s="232">
        <f t="shared" si="27"/>
        <v>3225</v>
      </c>
      <c r="M100" s="521">
        <v>825</v>
      </c>
      <c r="N100" s="521">
        <v>762</v>
      </c>
      <c r="O100" s="521">
        <v>442</v>
      </c>
      <c r="P100" s="521">
        <v>43</v>
      </c>
      <c r="Q100" s="521">
        <v>27</v>
      </c>
      <c r="R100" s="521">
        <v>0</v>
      </c>
      <c r="S100" s="521">
        <v>0</v>
      </c>
      <c r="T100" s="521">
        <v>16</v>
      </c>
      <c r="U100" s="381"/>
      <c r="V100" s="176">
        <f t="shared" si="28"/>
        <v>2115</v>
      </c>
      <c r="W100" s="204">
        <v>337</v>
      </c>
      <c r="X100" s="204"/>
      <c r="Y100" s="204"/>
      <c r="Z100" s="214">
        <f t="shared" si="22"/>
        <v>5677</v>
      </c>
      <c r="AA100" s="215">
        <f t="shared" si="29"/>
        <v>4045</v>
      </c>
    </row>
    <row r="101" spans="1:27" x14ac:dyDescent="0.25">
      <c r="A101" s="136" t="s">
        <v>176</v>
      </c>
      <c r="B101" s="137" t="s">
        <v>354</v>
      </c>
      <c r="C101" s="521">
        <v>1392</v>
      </c>
      <c r="D101" s="521">
        <v>827</v>
      </c>
      <c r="E101" s="521">
        <v>554</v>
      </c>
      <c r="F101" s="521">
        <v>67</v>
      </c>
      <c r="G101" s="521">
        <v>52</v>
      </c>
      <c r="H101" s="521">
        <v>0</v>
      </c>
      <c r="I101" s="521">
        <v>40</v>
      </c>
      <c r="J101" s="521">
        <v>219</v>
      </c>
      <c r="K101" s="521">
        <v>0</v>
      </c>
      <c r="L101" s="232">
        <f t="shared" si="27"/>
        <v>3151</v>
      </c>
      <c r="M101" s="521">
        <v>707</v>
      </c>
      <c r="N101" s="521">
        <v>906</v>
      </c>
      <c r="O101" s="521">
        <v>507</v>
      </c>
      <c r="P101" s="521">
        <v>56</v>
      </c>
      <c r="Q101" s="521">
        <v>50</v>
      </c>
      <c r="R101" s="521">
        <v>0</v>
      </c>
      <c r="S101" s="521">
        <v>0</v>
      </c>
      <c r="T101" s="521">
        <v>0</v>
      </c>
      <c r="U101" s="381"/>
      <c r="V101" s="176">
        <f t="shared" si="28"/>
        <v>2226</v>
      </c>
      <c r="W101" s="204">
        <v>459</v>
      </c>
      <c r="X101" s="204"/>
      <c r="Y101" s="204"/>
      <c r="Z101" s="214">
        <f t="shared" si="22"/>
        <v>5836</v>
      </c>
      <c r="AA101" s="215">
        <f t="shared" si="29"/>
        <v>3955</v>
      </c>
    </row>
    <row r="102" spans="1:27" x14ac:dyDescent="0.25">
      <c r="A102" s="136" t="s">
        <v>363</v>
      </c>
      <c r="B102" s="137" t="s">
        <v>303</v>
      </c>
      <c r="C102" s="230"/>
      <c r="D102" s="128"/>
      <c r="E102" s="128"/>
      <c r="F102" s="128"/>
      <c r="G102" s="128"/>
      <c r="H102" s="128"/>
      <c r="I102" s="128"/>
      <c r="J102" s="128"/>
      <c r="K102" s="128"/>
      <c r="L102" s="232">
        <f t="shared" si="27"/>
        <v>0</v>
      </c>
      <c r="M102" s="147"/>
      <c r="N102" s="147"/>
      <c r="O102" s="147"/>
      <c r="P102" s="147"/>
      <c r="Q102" s="147"/>
      <c r="R102" s="147"/>
      <c r="S102" s="147"/>
      <c r="T102" s="147"/>
      <c r="U102" s="257"/>
      <c r="V102" s="229">
        <f t="shared" si="28"/>
        <v>0</v>
      </c>
      <c r="W102" s="204">
        <f>0+2025+3981+3702+9847+8035+2644+3236+2719</f>
        <v>36189</v>
      </c>
      <c r="X102" s="204"/>
      <c r="Y102" s="204"/>
      <c r="Z102" s="214">
        <f t="shared" si="22"/>
        <v>36189</v>
      </c>
      <c r="AA102" s="215">
        <f t="shared" si="29"/>
        <v>0</v>
      </c>
    </row>
    <row r="103" spans="1:27" x14ac:dyDescent="0.25">
      <c r="A103" s="136" t="s">
        <v>177</v>
      </c>
      <c r="B103" s="137" t="s">
        <v>302</v>
      </c>
      <c r="C103" s="521">
        <v>5835</v>
      </c>
      <c r="D103" s="521">
        <v>4462</v>
      </c>
      <c r="E103" s="521">
        <v>2514</v>
      </c>
      <c r="F103" s="521">
        <v>150</v>
      </c>
      <c r="G103" s="521">
        <v>113</v>
      </c>
      <c r="H103" s="521">
        <v>0</v>
      </c>
      <c r="I103" s="521">
        <v>47</v>
      </c>
      <c r="J103" s="521">
        <v>371</v>
      </c>
      <c r="K103" s="521">
        <v>0</v>
      </c>
      <c r="L103" s="232">
        <f t="shared" si="27"/>
        <v>13492</v>
      </c>
      <c r="M103" s="521">
        <v>1417</v>
      </c>
      <c r="N103" s="521">
        <v>2223</v>
      </c>
      <c r="O103" s="521">
        <v>1418</v>
      </c>
      <c r="P103" s="521">
        <v>27</v>
      </c>
      <c r="Q103" s="521">
        <v>25</v>
      </c>
      <c r="R103" s="521">
        <v>92</v>
      </c>
      <c r="S103" s="521">
        <v>39</v>
      </c>
      <c r="T103" s="521">
        <v>37</v>
      </c>
      <c r="U103" s="525"/>
      <c r="V103" s="229">
        <f t="shared" si="28"/>
        <v>5278</v>
      </c>
      <c r="W103" s="204">
        <v>877</v>
      </c>
      <c r="X103" s="204"/>
      <c r="Y103" s="204"/>
      <c r="Z103" s="214">
        <f t="shared" si="22"/>
        <v>19647</v>
      </c>
      <c r="AA103" s="215">
        <f t="shared" si="29"/>
        <v>14114</v>
      </c>
    </row>
    <row r="104" spans="1:27" x14ac:dyDescent="0.25">
      <c r="A104" s="136" t="s">
        <v>178</v>
      </c>
      <c r="B104" s="137" t="s">
        <v>304</v>
      </c>
      <c r="C104" s="521">
        <v>2810</v>
      </c>
      <c r="D104" s="521">
        <v>1494</v>
      </c>
      <c r="E104" s="521">
        <v>787</v>
      </c>
      <c r="F104" s="521">
        <v>127</v>
      </c>
      <c r="G104" s="521">
        <v>21</v>
      </c>
      <c r="H104" s="521">
        <v>0</v>
      </c>
      <c r="I104" s="521">
        <v>7</v>
      </c>
      <c r="J104" s="521">
        <v>166</v>
      </c>
      <c r="K104" s="521">
        <v>0</v>
      </c>
      <c r="L104" s="232">
        <f t="shared" si="27"/>
        <v>5412</v>
      </c>
      <c r="M104" s="521">
        <v>870</v>
      </c>
      <c r="N104" s="521">
        <v>1837</v>
      </c>
      <c r="O104" s="521">
        <v>731</v>
      </c>
      <c r="P104" s="521">
        <v>12</v>
      </c>
      <c r="Q104" s="521">
        <v>39</v>
      </c>
      <c r="R104" s="521">
        <v>0</v>
      </c>
      <c r="S104" s="521">
        <v>17</v>
      </c>
      <c r="T104" s="521">
        <v>5</v>
      </c>
      <c r="U104" s="525"/>
      <c r="V104" s="229">
        <f t="shared" si="28"/>
        <v>3511</v>
      </c>
      <c r="W104" s="209">
        <v>605</v>
      </c>
      <c r="X104" s="209"/>
      <c r="Y104" s="209"/>
      <c r="Z104" s="214">
        <f t="shared" si="22"/>
        <v>9528</v>
      </c>
      <c r="AA104" s="217">
        <f>C104+D104+F104+K104+M104+N104+P104+U104</f>
        <v>7150</v>
      </c>
    </row>
    <row r="105" spans="1:27" ht="13.8" thickBot="1" x14ac:dyDescent="0.3">
      <c r="A105" s="136" t="s">
        <v>190</v>
      </c>
      <c r="B105" s="143" t="s">
        <v>364</v>
      </c>
      <c r="C105" s="522">
        <v>3166</v>
      </c>
      <c r="D105" s="522">
        <v>1874</v>
      </c>
      <c r="E105" s="522">
        <v>1143</v>
      </c>
      <c r="F105" s="522">
        <v>68</v>
      </c>
      <c r="G105" s="522">
        <v>94</v>
      </c>
      <c r="H105" s="522">
        <v>35</v>
      </c>
      <c r="I105" s="522">
        <v>236</v>
      </c>
      <c r="J105" s="522">
        <v>535</v>
      </c>
      <c r="K105" s="522">
        <v>0</v>
      </c>
      <c r="L105" s="239">
        <f t="shared" si="27"/>
        <v>7151</v>
      </c>
      <c r="M105" s="522">
        <v>1417</v>
      </c>
      <c r="N105" s="522">
        <v>2295</v>
      </c>
      <c r="O105" s="522">
        <v>1286</v>
      </c>
      <c r="P105" s="522">
        <v>142</v>
      </c>
      <c r="Q105" s="522">
        <v>65</v>
      </c>
      <c r="R105" s="522">
        <v>0</v>
      </c>
      <c r="S105" s="522">
        <v>0</v>
      </c>
      <c r="T105" s="522">
        <v>6</v>
      </c>
      <c r="U105" s="526"/>
      <c r="V105" s="361">
        <f t="shared" si="28"/>
        <v>5211</v>
      </c>
      <c r="W105" s="209">
        <v>1213</v>
      </c>
      <c r="X105" s="209"/>
      <c r="Y105" s="209"/>
      <c r="Z105" s="214">
        <f t="shared" si="22"/>
        <v>13575</v>
      </c>
      <c r="AA105" s="217">
        <f>C105+D105+F105+K105+M105+N105+P105+U105</f>
        <v>8962</v>
      </c>
    </row>
    <row r="106" spans="1:27" s="109" customFormat="1" ht="14.4" thickBot="1" x14ac:dyDescent="0.3">
      <c r="A106" s="134"/>
      <c r="B106" s="159" t="s">
        <v>462</v>
      </c>
      <c r="C106" s="293">
        <f t="shared" ref="C106:AA106" si="30">SUM(C90:C105)</f>
        <v>30298</v>
      </c>
      <c r="D106" s="157">
        <f t="shared" si="30"/>
        <v>19799</v>
      </c>
      <c r="E106" s="157">
        <f t="shared" si="30"/>
        <v>10538</v>
      </c>
      <c r="F106" s="157">
        <f t="shared" si="30"/>
        <v>964</v>
      </c>
      <c r="G106" s="157">
        <f t="shared" si="30"/>
        <v>995</v>
      </c>
      <c r="H106" s="157">
        <f t="shared" si="30"/>
        <v>118</v>
      </c>
      <c r="I106" s="157">
        <f t="shared" si="30"/>
        <v>693</v>
      </c>
      <c r="J106" s="157">
        <f t="shared" si="30"/>
        <v>3971</v>
      </c>
      <c r="K106" s="259">
        <f t="shared" si="30"/>
        <v>1</v>
      </c>
      <c r="L106" s="260">
        <f t="shared" ref="L106" si="31">SUM(L90:L105)</f>
        <v>67377</v>
      </c>
      <c r="M106" s="262">
        <f t="shared" si="30"/>
        <v>13824</v>
      </c>
      <c r="N106" s="158">
        <f t="shared" si="30"/>
        <v>17800</v>
      </c>
      <c r="O106" s="264">
        <f t="shared" si="30"/>
        <v>9717</v>
      </c>
      <c r="P106" s="262">
        <f t="shared" si="30"/>
        <v>670</v>
      </c>
      <c r="Q106" s="158">
        <f t="shared" si="30"/>
        <v>616</v>
      </c>
      <c r="R106" s="158">
        <f t="shared" si="30"/>
        <v>92</v>
      </c>
      <c r="S106" s="158">
        <f t="shared" si="30"/>
        <v>98</v>
      </c>
      <c r="T106" s="158">
        <f t="shared" si="30"/>
        <v>398</v>
      </c>
      <c r="U106" s="264">
        <f t="shared" si="30"/>
        <v>0</v>
      </c>
      <c r="V106" s="387">
        <f t="shared" si="30"/>
        <v>43215</v>
      </c>
      <c r="W106" s="210">
        <f t="shared" si="30"/>
        <v>49472</v>
      </c>
      <c r="X106" s="210">
        <f>SUM(X90:X105)</f>
        <v>0</v>
      </c>
      <c r="Y106" s="210">
        <f>SUM(Y90:Y105)</f>
        <v>0</v>
      </c>
      <c r="Z106" s="210">
        <f t="shared" si="30"/>
        <v>160064</v>
      </c>
      <c r="AA106" s="210">
        <f t="shared" si="30"/>
        <v>83356</v>
      </c>
    </row>
    <row r="107" spans="1:27" ht="18" thickBot="1" x14ac:dyDescent="0.35">
      <c r="A107" s="135"/>
      <c r="B107" s="169" t="s">
        <v>463</v>
      </c>
      <c r="C107" s="186">
        <f t="shared" ref="C107:AA107" si="32">C106+C89+C72+C55+C37+C23</f>
        <v>210052</v>
      </c>
      <c r="D107" s="162">
        <f t="shared" si="32"/>
        <v>96114</v>
      </c>
      <c r="E107" s="162">
        <f t="shared" si="32"/>
        <v>67027</v>
      </c>
      <c r="F107" s="162">
        <f t="shared" si="32"/>
        <v>6437</v>
      </c>
      <c r="G107" s="162">
        <f t="shared" si="32"/>
        <v>5819</v>
      </c>
      <c r="H107" s="162">
        <f t="shared" si="32"/>
        <v>572</v>
      </c>
      <c r="I107" s="162">
        <f t="shared" si="32"/>
        <v>15490</v>
      </c>
      <c r="J107" s="162">
        <f t="shared" si="32"/>
        <v>49613</v>
      </c>
      <c r="K107" s="163">
        <f t="shared" si="32"/>
        <v>1605</v>
      </c>
      <c r="L107" s="187">
        <f t="shared" si="32"/>
        <v>452729</v>
      </c>
      <c r="M107" s="186">
        <f t="shared" si="32"/>
        <v>68597</v>
      </c>
      <c r="N107" s="162">
        <f t="shared" si="32"/>
        <v>81457</v>
      </c>
      <c r="O107" s="162">
        <f t="shared" si="32"/>
        <v>41882</v>
      </c>
      <c r="P107" s="162">
        <f t="shared" si="32"/>
        <v>3859</v>
      </c>
      <c r="Q107" s="162">
        <f t="shared" si="32"/>
        <v>3194</v>
      </c>
      <c r="R107" s="162">
        <f t="shared" si="32"/>
        <v>2621</v>
      </c>
      <c r="S107" s="162">
        <f t="shared" si="32"/>
        <v>1400</v>
      </c>
      <c r="T107" s="162">
        <f t="shared" si="32"/>
        <v>4821</v>
      </c>
      <c r="U107" s="163">
        <f t="shared" si="32"/>
        <v>214</v>
      </c>
      <c r="V107" s="187">
        <f t="shared" si="32"/>
        <v>208045</v>
      </c>
      <c r="W107" s="212">
        <f t="shared" si="32"/>
        <v>153122</v>
      </c>
      <c r="X107" s="212">
        <f t="shared" si="32"/>
        <v>3889</v>
      </c>
      <c r="Y107" s="212">
        <f t="shared" si="32"/>
        <v>769</v>
      </c>
      <c r="Z107" s="212">
        <f t="shared" si="32"/>
        <v>818554</v>
      </c>
      <c r="AA107" s="212">
        <f t="shared" si="32"/>
        <v>468335</v>
      </c>
    </row>
    <row r="109" spans="1:27" x14ac:dyDescent="0.25">
      <c r="C109" s="122">
        <f>C107</f>
        <v>210052</v>
      </c>
      <c r="D109" s="122">
        <f t="shared" ref="D109:AA109" si="33">D107</f>
        <v>96114</v>
      </c>
      <c r="E109" s="122">
        <f t="shared" si="33"/>
        <v>67027</v>
      </c>
      <c r="F109" s="122">
        <f t="shared" si="33"/>
        <v>6437</v>
      </c>
      <c r="G109" s="122">
        <f t="shared" si="33"/>
        <v>5819</v>
      </c>
      <c r="H109" s="122">
        <f t="shared" si="33"/>
        <v>572</v>
      </c>
      <c r="I109" s="122">
        <f t="shared" si="33"/>
        <v>15490</v>
      </c>
      <c r="J109" s="122">
        <f t="shared" si="33"/>
        <v>49613</v>
      </c>
      <c r="K109" s="122">
        <f t="shared" si="33"/>
        <v>1605</v>
      </c>
      <c r="L109" s="122">
        <f t="shared" si="33"/>
        <v>452729</v>
      </c>
      <c r="M109" s="122">
        <f t="shared" si="33"/>
        <v>68597</v>
      </c>
      <c r="N109" s="122">
        <f t="shared" si="33"/>
        <v>81457</v>
      </c>
      <c r="O109" s="122">
        <f t="shared" si="33"/>
        <v>41882</v>
      </c>
      <c r="P109" s="122">
        <f t="shared" si="33"/>
        <v>3859</v>
      </c>
      <c r="Q109" s="122">
        <f t="shared" si="33"/>
        <v>3194</v>
      </c>
      <c r="R109" s="122">
        <f t="shared" si="33"/>
        <v>2621</v>
      </c>
      <c r="S109" s="122">
        <f t="shared" si="33"/>
        <v>1400</v>
      </c>
      <c r="T109" s="122">
        <f t="shared" si="33"/>
        <v>4821</v>
      </c>
      <c r="U109" s="122">
        <f t="shared" si="33"/>
        <v>214</v>
      </c>
      <c r="V109" s="122">
        <f t="shared" si="33"/>
        <v>208045</v>
      </c>
      <c r="W109" s="122">
        <f t="shared" si="33"/>
        <v>153122</v>
      </c>
      <c r="X109" s="122">
        <f t="shared" si="33"/>
        <v>3889</v>
      </c>
      <c r="Y109" s="122">
        <f t="shared" si="33"/>
        <v>769</v>
      </c>
      <c r="Z109" s="122">
        <f t="shared" si="33"/>
        <v>818554</v>
      </c>
      <c r="AA109" s="122">
        <f t="shared" si="33"/>
        <v>468335</v>
      </c>
    </row>
    <row r="125" spans="13:13" x14ac:dyDescent="0.25">
      <c r="M125">
        <f>8.95-10</f>
        <v>-1.0500000000000007</v>
      </c>
    </row>
  </sheetData>
  <mergeCells count="5">
    <mergeCell ref="B1:B3"/>
    <mergeCell ref="C4:L4"/>
    <mergeCell ref="M4:V4"/>
    <mergeCell ref="C1:Z1"/>
    <mergeCell ref="C2:Z2"/>
  </mergeCells>
  <conditionalFormatting sqref="W6:Y22 W24:Y36 W38:Y54 W56:Y71 W73:Y88">
    <cfRule type="cellIs" dxfId="32" priority="1" stopIfTrue="1" operator="notBetween">
      <formula>-2000</formula>
      <formula>2000</formula>
    </cfRule>
  </conditionalFormatting>
  <conditionalFormatting sqref="V3">
    <cfRule type="cellIs" dxfId="31" priority="4" stopIfTrue="1" operator="greaterThan">
      <formula>10</formula>
    </cfRule>
    <cfRule type="cellIs" dxfId="30" priority="5" stopIfTrue="1" operator="lessThan">
      <formula>10</formula>
    </cfRule>
  </conditionalFormatting>
  <conditionalFormatting sqref="W90:Y105">
    <cfRule type="cellIs" dxfId="29" priority="3" stopIfTrue="1" operator="notBetween">
      <formula>-2000</formula>
      <formula>2000</formula>
    </cfRule>
  </conditionalFormatting>
  <conditionalFormatting sqref="W18:Y18">
    <cfRule type="cellIs" dxfId="28" priority="2" stopIfTrue="1" operator="notBetween">
      <formula>-2000</formula>
      <formula>2000</formula>
    </cfRule>
  </conditionalFormatting>
  <pageMargins left="0.5" right="0.28999999999999998" top="0.41" bottom="0.49" header="0.21" footer="0.16"/>
  <pageSetup paperSize="5" scale="47" fitToHeight="4" orientation="landscape" r:id="rId1"/>
  <headerFooter alignWithMargins="0">
    <oddFooter xml:space="preserve">&amp;L&amp;8&amp;Z&amp;F&amp;A&amp;10
</oddFooter>
  </headerFooter>
  <ignoredErrors>
    <ignoredError sqref="L55 L72 L106 V89 V72 V55 V23 L23 Z23 Z37:AA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29</vt:i4>
      </vt:variant>
    </vt:vector>
  </HeadingPairs>
  <TitlesOfParts>
    <vt:vector size="45" baseType="lpstr">
      <vt:lpstr>template</vt:lpstr>
      <vt:lpstr>September</vt:lpstr>
      <vt:lpstr>October</vt:lpstr>
      <vt:lpstr>November</vt:lpstr>
      <vt:lpstr>December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Adj</vt:lpstr>
      <vt:lpstr>YTD</vt:lpstr>
      <vt:lpstr>Current month working copy-Sep</vt:lpstr>
      <vt:lpstr>April!ert</vt:lpstr>
      <vt:lpstr>August!ert</vt:lpstr>
      <vt:lpstr>December!ert</vt:lpstr>
      <vt:lpstr>February!ert</vt:lpstr>
      <vt:lpstr>January!ert</vt:lpstr>
      <vt:lpstr>July!ert</vt:lpstr>
      <vt:lpstr>June!ert</vt:lpstr>
      <vt:lpstr>March!ert</vt:lpstr>
      <vt:lpstr>May!ert</vt:lpstr>
      <vt:lpstr>November!ert</vt:lpstr>
      <vt:lpstr>October!ert</vt:lpstr>
      <vt:lpstr>September!ert</vt:lpstr>
      <vt:lpstr>YTD!ert</vt:lpstr>
      <vt:lpstr>September!Print_Area</vt:lpstr>
      <vt:lpstr>template!Print_Area</vt:lpstr>
      <vt:lpstr>April!Print_Titles</vt:lpstr>
      <vt:lpstr>August!Print_Titles</vt:lpstr>
      <vt:lpstr>December!Print_Titles</vt:lpstr>
      <vt:lpstr>February!Print_Titles</vt:lpstr>
      <vt:lpstr>January!Print_Titles</vt:lpstr>
      <vt:lpstr>July!Print_Titles</vt:lpstr>
      <vt:lpstr>June!Print_Titles</vt:lpstr>
      <vt:lpstr>March!Print_Titles</vt:lpstr>
      <vt:lpstr>May!Print_Titles</vt:lpstr>
      <vt:lpstr>November!Print_Titles</vt:lpstr>
      <vt:lpstr>October!Print_Titles</vt:lpstr>
      <vt:lpstr>September!Print_Titles</vt:lpstr>
      <vt:lpstr>template!Print_Titles</vt:lpstr>
      <vt:lpstr>YTD!Print_Titles</vt:lpstr>
    </vt:vector>
  </TitlesOfParts>
  <Company>TPWD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Kotara</dc:creator>
  <cp:lastModifiedBy>Jacky Lambeth</cp:lastModifiedBy>
  <cp:lastPrinted>2018-01-02T20:17:10Z</cp:lastPrinted>
  <dcterms:created xsi:type="dcterms:W3CDTF">2005-03-11T22:45:27Z</dcterms:created>
  <dcterms:modified xsi:type="dcterms:W3CDTF">2021-10-06T15:48:18Z</dcterms:modified>
</cp:coreProperties>
</file>