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cil\Documents\Office\"/>
    </mc:Choice>
  </mc:AlternateContent>
  <xr:revisionPtr revIDLastSave="0" documentId="8_{DCD2D42F-D1A3-46C9-9608-5359012E7B9E}" xr6:coauthVersionLast="47" xr6:coauthVersionMax="47" xr10:uidLastSave="{00000000-0000-0000-0000-000000000000}"/>
  <bookViews>
    <workbookView xWindow="-110" yWindow="-110" windowWidth="19420" windowHeight="10300" xr2:uid="{CF4C7F0D-92B1-4A89-BDAB-CD126373DC11}"/>
  </bookViews>
  <sheets>
    <sheet name="Retirement Dashboard" sheetId="2" r:id="rId1"/>
    <sheet name="CPF TB" sheetId="3" r:id="rId2"/>
    <sheet name="SRS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cn.WorksheetConnection_InfoB6B7" hidden="1">#REF!</definedName>
    <definedName name="Actual_Expenses">'[1]Budget Overview'!$G$8</definedName>
    <definedName name="Actual_Income">'[1]Budget Overview'!$D$11</definedName>
    <definedName name="ActualNumberOfPayments">IFERROR(IF(LoanIsGood,IF(PaymentsPerYear=1,1,MATCH(0.01,End_Bal,-1)+1)),"")</definedName>
    <definedName name="Annual_Dividend">OFFSET(#REF!,0,0,IF(#REF!&gt;100,100,#REF!))</definedName>
    <definedName name="AO">'[2]Repayment Schedule'!$F$7</definedName>
    <definedName name="ARMF_120">OFFSET([3]ARMF!$J$1,[3]ARMF!$Z$1+1,0,[3]ARMF!$AB$1,1)</definedName>
    <definedName name="ARMF_120_2">OFFSET([3]ARMF!$J$1,[3]ARMF!$AF$1+1,0,[3]ARMF!$AH$1,1)</definedName>
    <definedName name="ARMF_20">OFFSET([3]ARMF!$H$1,[3]ARMF!$Z$1+1,0,[3]ARMF!$AB$1,1)</definedName>
    <definedName name="ARMF_20_2">OFFSET([3]ARMF!$H$1,[3]ARMF!$AF$1+1,0,[3]ARMF!$AH$1,1)</definedName>
    <definedName name="ARMF_50">OFFSET([3]ARMF!$I$1,[3]ARMF!$Z$1+1,0,[3]ARMF!$AB$1,1)</definedName>
    <definedName name="ARMF_50_2">OFFSET([3]ARMF!$I$1,[3]ARMF!$AF$1+1,0,[3]ARMF!$AH$1,1)</definedName>
    <definedName name="ARMF_D_2">OFFSET([3]ARMF!$A$1,[3]ARMF!$AF$1+1,0,[3]ARMF!$AH$1,1)</definedName>
    <definedName name="ARMF_DATE">OFFSET([3]ARMF!$A$1,[3]ARMF!$Z$1+1,0,[3]ARMF!$AB$1,1)</definedName>
    <definedName name="ARMF_P_2">OFFSET([3]ARMF!$B$1,[3]ARMF!$AF$1+1,0,[3]ARMF!$AH$1,1)</definedName>
    <definedName name="ARMF_PRICE">OFFSET([3]ARMF!$B$1,[3]ARMF!$Z$1+1,0,[3]ARMF!$AB$1,1)</definedName>
    <definedName name="Categories">[4]!TblDV4[Category]</definedName>
    <definedName name="ColumnTitle1">[2]!PaymentSchedule[[#Headers],[PMT NO]]</definedName>
    <definedName name="current_date">DATE(2023,11,11)</definedName>
    <definedName name="End_Bal">[2]!PaymentSchedule[ENDING BALANCE]</definedName>
    <definedName name="Expenses_header_row">ROW([4]!Expense[[#Headers],[Expense]])</definedName>
    <definedName name="Expenses_max_row">MAX(ROW([4]!Expense[#Data]))</definedName>
    <definedName name="Expenses_min_row">MIN(ROW([4]!Expense[#Data]))</definedName>
    <definedName name="Expenses_total_row">ROW('[4]Budget Planning'!$C$36)</definedName>
    <definedName name="ExtraPayments">'[2]Excel Amortization Schedule'!$E$14</definedName>
    <definedName name="income_header_row">ROW([4]!Income[[#Headers],[Income]])</definedName>
    <definedName name="income_max_row">MAX(ROW([4]!Income[#Data]))</definedName>
    <definedName name="Income_min_row">MIN(ROW([4]!Income[#Data]))</definedName>
    <definedName name="income_total_row">ROW('[4]Budget Planning'!$C$20)</definedName>
    <definedName name="InterestRate">'[2]Excel Amortization Schedule'!$E$9</definedName>
    <definedName name="is_empty">'[4]Budget Dashboard'!$H1</definedName>
    <definedName name="LastCol">MATCH(REPT("z",255),'[2]Excel Amortization Schedule'!$16:$16)</definedName>
    <definedName name="LastRow">MATCH(9.99E+307,'[2]Excel Amortization Schedule'!$B:$B)</definedName>
    <definedName name="List_Categories">[5]!Category_List_Table[To add a category, type below]</definedName>
    <definedName name="loan">'[2]Repayment Schedule'!$B$8</definedName>
    <definedName name="LoanAmount">'[2]Excel Amortization Schedule'!$E$8</definedName>
    <definedName name="LoanIsGood">('[2]Excel Amortization Schedule'!$E$8*'[2]Excel Amortization Schedule'!$E$9*'[2]Excel Amortization Schedule'!$E$10*'[2]Excel Amortization Schedule'!$E$12)&gt;0</definedName>
    <definedName name="LoanPeriod">'[2]Excel Amortization Schedule'!$E$10</definedName>
    <definedName name="LoanStartDate">'[2]Excel Amortization Schedule'!$E$12</definedName>
    <definedName name="Name1">'[6]Week 1'!$B$6</definedName>
    <definedName name="Name2">'[6]Week 1'!$B$13</definedName>
    <definedName name="Name3">'[6]Week 1'!$B$20</definedName>
    <definedName name="Name4">'[6]Week 1'!$B$27</definedName>
    <definedName name="New_Balance">OFFSET(#REF!,0,0,IF(#REF!&gt;100,100,#REF!))</definedName>
    <definedName name="P_Annual_Dividend">OFFSET([7]Portfolio!$D$32,0,0,IF([7]Portfolio!$D$13&gt;100,100,[7]Portfolio!$D$13))</definedName>
    <definedName name="P_New_Balance">OFFSET(#REF!,0,0,IF(#REF!&gt;100,100,#REF!))</definedName>
    <definedName name="P_Principal">OFFSET([7]Portfolio!$C$32,0,0,IF([7]Portfolio!$D$13&gt;100,100,[7]Portfolio!$D$13))</definedName>
    <definedName name="P_Year">OFFSET([7]Portfolio!$B$32,0,0,IF([7]Portfolio!$D$13&gt;100,100,[7]Portfolio!$D$13))</definedName>
    <definedName name="P_Yield_On_Cost">OFFSET([7]Portfolio!$F$32,0,0,IF([7]Portfolio!$D$13&gt;100,100,[7]Portfolio!$D$13))</definedName>
    <definedName name="PAFA_120">OFFSET([3]PAFA!$J$1,[3]PAFA!$Z$1+1,0,[3]PAFA!$AB$1,1)</definedName>
    <definedName name="PAFA_120_2">OFFSET([3]PAFA!$J$1,[3]PAFA!$AF$1+1,0,[3]PAFA!$AH$1,1)</definedName>
    <definedName name="PAFA_20">OFFSET([3]PAFA!$H$1,[3]PAFA!$Z$1+1,0,[3]PAFA!$AB$1,1)</definedName>
    <definedName name="PAFA_20_2">OFFSET([3]PAFA!$H$1,[3]PAFA!$AF$1+1,0,[3]PAFA!$AH$1,1)</definedName>
    <definedName name="PAFA_50">OFFSET([3]PAFA!$I$1,[3]PAFA!$Z$1+1,0,[3]PAFA!$AB$1,1)</definedName>
    <definedName name="PAFA_50_2">OFFSET([3]PAFA!$I$1,[3]PAFA!$AF$1+1,0,[3]PAFA!$AH$1,1)</definedName>
    <definedName name="PAFA_D_2">OFFSET([3]PAFA!$A$1,[3]PAFA!$AF$1+1,0,[3]PAFA!$AH$1,1)</definedName>
    <definedName name="PAFA_DATE">OFFSET([3]PAFA!$A$1,[3]PAFA!$Z$1+1,0,[3]PAFA!$AB$1,1)</definedName>
    <definedName name="PAFA_P_2">OFFSET([3]PAFA!$B$1,[3]PAFA!$AF$1+1,0,[3]PAFA!$AH$1,1)</definedName>
    <definedName name="PAFA_PRICE">OFFSET([3]PAFA!$B$1,[3]PAFA!$Z$1+1,0,[3]PAFA!$AB$1,1)</definedName>
    <definedName name="PAMA_120">OFFSET([3]PAMA!$J$1,[3]PAMA!$Z$1+1,0,[3]PAMA!$AB$1,1)</definedName>
    <definedName name="PAMA_120_2">OFFSET([3]PAMA!$J$1,[3]PAMA!$AF$1+1,0,[3]PAMA!$AH$1,1)</definedName>
    <definedName name="PAMA_20">OFFSET([3]PAMA!$H$1,[3]PAMA!$Z$1+1,0,[3]PAMA!$AB$1,1)</definedName>
    <definedName name="PAMA_20_2">OFFSET([3]PAMA!$H$1,[3]PAMA!$AF$1+1,0,[3]PAMA!$AH$1,1)</definedName>
    <definedName name="PAMA_50">OFFSET([3]PAMA!$I$1,[3]PAMA!$Z$1+1,0,[3]PAMA!$AB$1,1)</definedName>
    <definedName name="PAMA_50_2">OFFSET([3]PAMA!$I$1,[3]PAMA!$AF$1+1,0,[3]PAMA!$AH$1,1)</definedName>
    <definedName name="PAMA_D_2">OFFSET([3]PAMA!$A$1,[3]PAMA!$AF$1+1,0,[3]PAMA!$AH$1,1)</definedName>
    <definedName name="PAMA_DATE">OFFSET([3]PAMA!$A$1,[3]PAMA!$Z$1+1,0,[3]PAMA!$AB$1,1)</definedName>
    <definedName name="PAMA_P_2">OFFSET([3]PAMA!$B$1,[3]PAMA!$AF$1+1,0,[3]PAMA!$AH$1,1)</definedName>
    <definedName name="PAMA_PRICE">OFFSET([3]PAMA!$B$1,[3]PAMA!$Z$1+1,0,[3]PAMA!$AB$1,1)</definedName>
    <definedName name="PAPB_120">OFFSET([3]PAPB!$J$1,[3]PAPB!$Z$1+1,0,[3]PAPB!$AB$1,1)</definedName>
    <definedName name="PAPB_120_2">OFFSET([3]PAPB!$J$1,[3]PAPB!$AF$1+1,0,[3]PAPB!$AH$1,1)</definedName>
    <definedName name="PAPB_20">OFFSET([3]PAPB!$H$1,[3]PAPB!$Z$1+1,0,[3]PAPB!$AB$1,1)</definedName>
    <definedName name="PAPB_20_2">OFFSET([3]PAPB!$H$1,[3]PAPB!$AF$1+1,0,[3]PAPB!$AH$1,1)</definedName>
    <definedName name="PAPB_50">OFFSET([3]PAPB!$I$1,[3]PAPB!$Z$1+1,0,[3]PAPB!$AB$1,1)</definedName>
    <definedName name="PAPB_50_2">OFFSET([3]PAPB!$I$1,[3]PAPB!$AF$1+1,0,[3]PAPB!$AH$1,1)</definedName>
    <definedName name="PAPB_D_2">OFFSET([3]PAPB!$A$1,[3]PAPB!$AF$1+1,0,[3]PAPB!$AH$1,1)</definedName>
    <definedName name="PAPB_DATE">OFFSET([3]PAPB!$A$1,[3]PAPB!$Z$1+1,0,[3]PAPB!$AB$1,1)</definedName>
    <definedName name="PAPB_P_2">OFFSET([3]PAPB!$B$1,[3]PAPB!$AF$1+1,0,[3]PAPB!$AH$1,1)</definedName>
    <definedName name="PAPB_PRICE">OFFSET([3]PAPB!$B$1,[3]PAPB!$Z$1+1,0,[3]PAPB!$AB$1,1)</definedName>
    <definedName name="PAPC_120">OFFSET([3]PAPC!$J$1,[3]PAPC!$Z$1+1,0,[3]PAPC!$AB$1,1)</definedName>
    <definedName name="PAPC_120_2">OFFSET([3]PAPC!$J$1,[3]PAPC!$AF$1+1,0,[3]PAPC!$AH$1,1)</definedName>
    <definedName name="PAPC_20">OFFSET([3]PAPC!$H$1,[3]PAPC!$Z$1+1,0,[3]PAPC!$AB$1,1)</definedName>
    <definedName name="PAPC_20_2">OFFSET([3]PAPC!$H$1,[3]PAPC!$AF$1+1,0,[3]PAPC!$AH$1,1)</definedName>
    <definedName name="PAPC_50">OFFSET([3]PAPC!$I$1,[3]PAPC!$Z$1+1,0,[3]PAPC!$AB$1,1)</definedName>
    <definedName name="PAPC_50_2">OFFSET([3]PAPC!$I$1,[3]PAPC!$AF$1+1,0,[3]PAPC!$AH$1,1)</definedName>
    <definedName name="PAPC_D_2">OFFSET([3]PAPC!$A$1,[3]PAPC!$AF$1+1,0,[3]PAPC!$AH$1,1)</definedName>
    <definedName name="PAPC_DATE">OFFSET([3]PAPC!$A$1,[3]PAPC!$Z$1+1,0,[3]PAPC!$AB$1,1)</definedName>
    <definedName name="PAPC_P_2">OFFSET([3]PAPC!$B$1,[3]PAPC!$AF$1+1,0,[3]PAPC!$AH$1,1)</definedName>
    <definedName name="PAPC_PRICE">OFFSET([3]PAPC!$B$1,[3]PAPC!$Z$1+1,0,[3]PAPC!$AB$1,1)</definedName>
    <definedName name="PAPG_120">OFFSET([3]PAPG!$J$1,[3]PAPG!$Z$1+1,0,[3]PAPG!$AB$1,1)</definedName>
    <definedName name="PAPG_120_2">OFFSET([3]PAPG!$J$1,[3]PAPG!$AF$1+1,0,[3]PAPG!$AH$1,1)</definedName>
    <definedName name="PAPG_20">OFFSET([3]PAPG!$H$1,[3]PAPG!$Z$1+1,0,[3]PAPG!$AB$1,1)</definedName>
    <definedName name="PAPG_20_2">OFFSET([3]PAPG!$H$1,[3]PAPG!$AF$1+1,0,[3]PAPG!$AH$1,1)</definedName>
    <definedName name="PAPG_50">OFFSET([3]PAPG!$I$1,[3]PAPG!$Z$1+1,0,[3]PAPG!$AB$1,1)</definedName>
    <definedName name="PAPG_50_2">OFFSET([3]PAPG!$I$1,[3]PAPG!$AF$1+1,0,[3]PAPG!$AH$1,1)</definedName>
    <definedName name="PAPG_D_2">OFFSET([3]PAPG!$A$1,[3]PAPG!$AF$1+1,0,[3]PAPG!$AH$1,1)</definedName>
    <definedName name="PAPG_DATE">OFFSET([3]PAPG!$A$1,[3]PAPG!$Z$1+1,0,[3]PAPG!$AB$1,1)</definedName>
    <definedName name="PAPG_P_2">OFFSET([3]PAPG!$B$1,[3]PAPG!$AF$1+1,0,[3]PAPG!$AH$1,1)</definedName>
    <definedName name="PAPG_PRICE">OFFSET([3]PAPG!$B$1,[3]PAPG!$Z$1+1,0,[3]PAPG!$AB$1,1)</definedName>
    <definedName name="PAPM_120">OFFSET([3]PAPM!$J$1,[3]PAPM!$Z$1+1,0,[3]PAPM!$AB$1,1)</definedName>
    <definedName name="PAPM_120_2">OFFSET([3]PAPM!$J$1,[3]PAPM!$AF$1+1,0,[3]PAPM!$AH$1,1)</definedName>
    <definedName name="PAPM_20">OFFSET([3]PAPM!$H$1,[3]PAPM!$Z$1+1,0,[3]PAPM!$AB$1,1)</definedName>
    <definedName name="PAPM_20_2">OFFSET([3]PAPM!$H$1,[3]PAPM!$AF$1+1,0,[3]PAPM!$AH$1,1)</definedName>
    <definedName name="PAPM_50">OFFSET([3]PAPM!$I$1,[3]PAPM!$Z$1+1,0,[3]PAPM!$AB$1,1)</definedName>
    <definedName name="PAPM_50_2">OFFSET([3]PAPM!$I$1,[3]PAPM!$AF$1+1,0,[3]PAPM!$AH$1,1)</definedName>
    <definedName name="PAPM_D_2">OFFSET([3]PAPM!$A$1,[3]PAPM!$AF$1+1,0,[3]PAPM!$AH$1,1)</definedName>
    <definedName name="PAPM_DATE">OFFSET([3]PAPM!$A$1,[3]PAPM!$Z$1+1,0,[3]PAPM!$AB$1,1)</definedName>
    <definedName name="PAPM_P_2">OFFSET([3]PAPM!$B$1,[3]PAPM!$AF$1+1,0,[3]PAPM!$AH$1,1)</definedName>
    <definedName name="PAPM_PRICE">OFFSET([3]PAPM!$B$1,[3]PAPM!$Z$1+1,0,[3]PAPM!$AB$1,1)</definedName>
    <definedName name="PaymentsPerYear">'[2]Excel Amortization Schedule'!$E$11</definedName>
    <definedName name="PCBS_120">OFFSET([3]PCBS!$J$1,[3]PCBS!$Z$1+1,0,[3]PCBS!$AB$1,1)</definedName>
    <definedName name="PCBS_120_2">OFFSET([3]PCBS!$J$1,[3]PCBS!$AF$1+1,0,[3]PCBS!$AH$1,1)</definedName>
    <definedName name="PCBS_20">OFFSET([3]PCBS!$H$1,[3]PCBS!$Z$1+1,0,[3]PCBS!$AB$1,1)</definedName>
    <definedName name="PCBS_20_2">OFFSET([3]PCBS!$H$1,[3]PCBS!$AF$1+1,0,[3]PCBS!$AH$1,1)</definedName>
    <definedName name="PCBS_50">OFFSET([3]PCBS!$I$1,[3]PCBS!$Z$1+1,0,[3]PCBS!$AB$1,1)</definedName>
    <definedName name="PCBS_50_2">OFFSET([3]PCBS!$I$1,[3]PCBS!$AF$1+1,0,[3]PCBS!$AH$1,1)</definedName>
    <definedName name="PCBS_D_2">OFFSET([3]PCBS!$A$1,[3]PCBS!$AF$1+1,0,[3]PCBS!$AH$1,1)</definedName>
    <definedName name="PCBS_DATE">OFFSET([3]PCBS!$A$1,[3]PCBS!$Z$1+1,0,[3]PCBS!$AB$1,1)</definedName>
    <definedName name="PCBS_P_2">OFFSET([3]PCBS!$B$1,[3]PCBS!$AF$1+1,0,[3]PCBS!$AH$1,1)</definedName>
    <definedName name="PCBS_PRICE">OFFSET([3]PCBS!$B$1,[3]PCBS!$Z$1+1,0,[3]PCBS!$AB$1,1)</definedName>
    <definedName name="PCGS_120_2">OFFSET(#REF!,#REF!+1,0,#REF!,1)</definedName>
    <definedName name="PCGS_20">OFFSET(#REF!,#REF!+1,0,#REF!,1)</definedName>
    <definedName name="PCGS_20_2">OFFSET(#REF!,#REF!+1,0,#REF!,1)</definedName>
    <definedName name="PCGS_50">OFFSET(#REF!,#REF!+1,0,#REF!,1)</definedName>
    <definedName name="PCGS_50_2">OFFSET(#REF!,#REF!+1,0,#REF!,1)</definedName>
    <definedName name="PCGS_D_2">OFFSET(#REF!,#REF!+1,0,#REF!,1)</definedName>
    <definedName name="PCGS_DATE">OFFSET(#REF!,#REF!+1,0,#REF!,1)</definedName>
    <definedName name="PCGS_P_2">OFFSET(#REF!,#REF!+1,0,#REF!,1)</definedName>
    <definedName name="PCGS_PRICE">OFFSET(#REF!,#REF!+1,0,#REF!,1)</definedName>
    <definedName name="PCIF_120">OFFSET([3]PCIF!$J$1,[3]PCIF!$Z$1+1,0,[3]PCIF!$AB$1,1)</definedName>
    <definedName name="PCIF_120_2">OFFSET([3]PCIF!$J$1,[3]PCIF!$AF$1+1,0,[3]PCIF!$AH$1,1)</definedName>
    <definedName name="PCIF_20">OFFSET([3]PCIF!$H$1,[3]PCIF!$Z$1+1,0,[3]PCIF!$AB$1,1)</definedName>
    <definedName name="PCIF_20_2">OFFSET([3]PCIF!$H$1,[3]PCIF!$AF$1+1,0,[3]PCIF!$AH$1,1)</definedName>
    <definedName name="PCIF_50">OFFSET([3]PCIF!$I$1,[3]PCIF!$Z$1+1,0,[3]PCIF!$AB$1,1)</definedName>
    <definedName name="PCIF_50_2">OFFSET([3]PCIF!$I$1,[3]PCIF!$AF$1+1,0,[3]PCIF!$AH$1,1)</definedName>
    <definedName name="PCIF_D_2">OFFSET([3]PCIF!$A$1,[3]PCIF!$AF$1+1,0,[3]PCIF!$AH$1,1)</definedName>
    <definedName name="PCIF_DATE">OFFSET([3]PCIF!$A$1,[3]PCIF!$Z$1+1,0,[3]PCIF!$AB$1,1)</definedName>
    <definedName name="PCIF_P_2">OFFSET([3]PCIF!$B$1,[3]PCIF!$AF$1+1,0,[3]PCIF!$AH$1,1)</definedName>
    <definedName name="PCIF_PRICE">OFFSET([3]PCIF!$B$1,[3]PCIF!$Z$1+1,0,[3]PCIF!$AB$1,1)</definedName>
    <definedName name="PCSH_120">OFFSET([3]PCSH!$J$1,[3]PCSH!$Z$1+1,0,[3]PCSH!$AB$1,1)</definedName>
    <definedName name="PCSH_120_2">OFFSET([3]PCSH!$J$1,[3]PCSH!$AF$1+1,0,[3]PCSH!$AH$1,1)</definedName>
    <definedName name="PCSH_20">OFFSET([3]PCSH!$H$1,[3]PCSH!$Z$1+1,0,[3]PCSH!$AB$1,1)</definedName>
    <definedName name="PCSH_20_2">OFFSET([3]PCSH!$H$1,[3]PCSH!$AF$1+1,0,[3]PCSH!$AH$1,1)</definedName>
    <definedName name="PCSH_50">OFFSET([3]PCSH!$I$1,[3]PCSH!$Z$1+1,0,[3]PCSH!$AB$1,1)</definedName>
    <definedName name="PCSH_50_2">OFFSET([3]PCSH!$I$1,[3]PCSH!$AF$1+1,0,[3]PCSH!$AH$1,1)</definedName>
    <definedName name="PCSH_D_2">OFFSET([3]PCSH!$A$1,[3]PCSH!$AF$1+1,0,[3]PCSH!$AH$1,1)</definedName>
    <definedName name="PCSH_DATE">OFFSET([3]PCSH!$A$1,[3]PCSH!$Z$1+1,0,[3]PCSH!$AB$1,1)</definedName>
    <definedName name="PCSH_P_2">OFFSET([3]PCSH!$B$1,[3]PCSH!$AF$1+1,0,[3]PCSH!$AH$1,1)</definedName>
    <definedName name="PCSH_PRICE">OFFSET([3]PCSH!$B$1,[3]PCSH!$Z$1+1,0,[3]PCSH!$AB$1,1)</definedName>
    <definedName name="PEGS_120">OFFSET([3]PEGS!$J$1,[3]PEGS!$Z$1+1,0,[3]PEGS!$AB$1,1)</definedName>
    <definedName name="PEGS_120_2">OFFSET([3]PEGS!$J$1,[3]PEGS!$AF$1+1,0,[3]PEGS!$AH$1,1)</definedName>
    <definedName name="PEGS_20">OFFSET([3]PEGS!$H$1,[3]PEGS!$Z$1+1,0,[3]PEGS!$AB$1,1)</definedName>
    <definedName name="PEGS_20_2">OFFSET([3]PEGS!$H$1,[3]PEGS!$AF$1+1,0,[3]PEGS!$AH$1,1)</definedName>
    <definedName name="PEGS_50">OFFSET([3]PEGS!$I$1,[3]PEGS!$Z$1+1,0,[3]PEGS!$AB$1,1)</definedName>
    <definedName name="PEGS_50_2">OFFSET([3]PEGS!$I$1,[3]PEGS!$AF$1+1,0,[3]PEGS!$AH$1,1)</definedName>
    <definedName name="PEGS_D_2">OFFSET([3]PEGS!$A$1,[3]PEGS!$AF$1+1,0,[3]PEGS!$AH$1,1)</definedName>
    <definedName name="PEGS_DATE">OFFSET([3]PEGS!$A$1,[3]PEGS!$Z$1+1,0,[3]PEGS!$AB$1,1)</definedName>
    <definedName name="PEGS_P_2">OFFSET([3]PEGS!$B$1,[3]PEGS!$AF$1+1,0,[3]PEGS!$AH$1,1)</definedName>
    <definedName name="PEGS_PRICE">OFFSET([3]PEGS!$B$1,[3]PEGS!$Z$1+1,0,[3]PEGS!$AB$1,1)</definedName>
    <definedName name="PEIS_120">OFFSET([3]PEIS!$J$1,[3]PEIS!$Z$1+1,0,[3]PEIS!$AB$1,1)</definedName>
    <definedName name="PEIS_120_2">OFFSET([3]PEIS!$J$1,[3]PEIS!$AF$1+1,0,[3]PEIS!$AH$1,1)</definedName>
    <definedName name="PEIS_20">OFFSET([3]PEIS!$H$1,[3]PEIS!$Z$1+1,0,[3]PEIS!$AB$1,1)</definedName>
    <definedName name="PEIS_20_2">OFFSET([3]PEIS!$H$1,[3]PEIS!$AF$1+1,0,[3]PEIS!$AH$1,1)</definedName>
    <definedName name="PEIS_50">OFFSET([3]PEIS!$I$1,[3]PEIS!$Z$1+1,0,[3]PEIS!$AB$1,1)</definedName>
    <definedName name="PEIS_50_2">OFFSET([3]PEIS!$I$1,[3]PEIS!$AF$1+1,0,[3]PEIS!$AH$1,1)</definedName>
    <definedName name="PEIS_D_2">OFFSET([3]PEIS!$A$1,[3]PEIS!$AF$1+1,0,[3]PEIS!$AH$1,1)</definedName>
    <definedName name="PEIS_DATE">OFFSET([3]PEIS!$A$1,[3]PEIS!$Z$1+1,0,[3]PEIS!$AB$1,1)</definedName>
    <definedName name="PEIS_P_2">OFFSET([3]PEIS!$B$1,[3]PEIS!$AF$1+1,0,[3]PEIS!$AH$1,1)</definedName>
    <definedName name="PEIS_PRICE">OFFSET([3]PEIS!$B$1,[3]PEIS!$Z$1+1,0,[3]PEIS!$AB$1,1)</definedName>
    <definedName name="PEMS_120">OFFSET([3]PEMS!$J$1,[3]PEMS!$Z$1+1,0,[3]PEMS!$AB$1,1)</definedName>
    <definedName name="PEMS_120_2">OFFSET([3]PEMS!$J$1,[3]PEMS!$AF$1+1,0,[3]PEMS!$AH$1,1)</definedName>
    <definedName name="PEMS_20">OFFSET([3]PEMS!$H$1,[3]PEMS!$Z$1+1,0,[3]PEMS!$AB$1,1)</definedName>
    <definedName name="PEMS_20_2">OFFSET([3]PEMS!$H$1,[3]PEMS!$AF$1+1,0,[3]PEMS!$AH$1,1)</definedName>
    <definedName name="PEMS_50">OFFSET([3]PEMS!$I$1,[3]PEMS!$Z$1+1,0,[3]PEMS!$AB$1,1)</definedName>
    <definedName name="PEMS_50_2">OFFSET([3]PEMS!$I$1,[3]PEMS!$AF$1+1,0,[3]PEMS!$AH$1,1)</definedName>
    <definedName name="PEMS_D_2">OFFSET([3]PEMS!$A$1,[3]PEMS!$AF$1+1,0,[3]PEMS!$AH$1,1)</definedName>
    <definedName name="PEMS_DATE">OFFSET([3]PEMS!$A$1,[3]PEMS!$Z$1+1,0,[3]PEMS!$AB$1,1)</definedName>
    <definedName name="PEMS_P_2">OFFSET([3]PEMS!$B$1,[3]PEMS!$AF$1+1,0,[3]PEMS!$AH$1,1)</definedName>
    <definedName name="PEMS_PRICE">OFFSET([3]PEMS!$B$1,[3]PEMS!$Z$1+1,0,[3]PEMS!$AB$1,1)</definedName>
    <definedName name="PEQU_120">OFFSET([3]PEQU!$J$1,[3]PEQU!$Z$1+1,0,[3]PEQU!$AB$1,1)</definedName>
    <definedName name="PEQU_120_2">OFFSET([3]PEQU!$J$1,[3]PEQU!$AF$1+1,0,[3]PEQU!$AH$1,1)</definedName>
    <definedName name="PEQU_20">OFFSET([3]PEQU!$H$1,[3]PEQU!$Z$1+1,0,[3]PEQU!$AB$1,1)</definedName>
    <definedName name="PEQU_20_2">OFFSET([3]PEQU!$H$1,[3]PEQU!$AF$1+1,0,[3]PEQU!$AH$1,1)</definedName>
    <definedName name="PEQU_50">OFFSET([3]PEQU!$I$1,[3]PEQU!$Z$1+1,0,[3]PEQU!$AB$1,1)</definedName>
    <definedName name="PEQU_50_2">OFFSET([3]PEQU!$I$1,[3]PEQU!$AF$1+1,0,[3]PEQU!$AH$1,1)</definedName>
    <definedName name="PEQU_D_2">OFFSET([3]PEQU!$A$1,[3]PEQU!$AF$1+1,0,[3]PEQU!$AH$1,1)</definedName>
    <definedName name="PEQU_DATE">OFFSET([3]PEQU!$A$1,[3]PEQU!$Z$1+1,0,[3]PEQU!$AB$1,1)</definedName>
    <definedName name="PEQU_P_2">OFFSET([3]PEQU!$B$1,[3]PEQU!$AF$1+1,0,[3]PEQU!$AH$1,1)</definedName>
    <definedName name="PEQU_PRICE">OFFSET([3]PEQU!$B$1,[3]PEQU!$Z$1+1,0,[3]PEQU!$AB$1,1)</definedName>
    <definedName name="PF35_120">OFFSET([3]PF35!$J$1,[3]PF35!$Z$1+1,0,[3]PF35!$AB$1,1)</definedName>
    <definedName name="PF35_120_2">OFFSET([3]PF35!$J$1,[3]PF35!$AF$1+1,0,[3]PF35!$AH$1,1)</definedName>
    <definedName name="PF35_20">OFFSET([3]PF35!$H$1,[3]PF35!$Z$1+1,0,[3]PF35!$AB$1,1)</definedName>
    <definedName name="PF35_20_2">OFFSET([3]PF35!$H$1,[3]PF35!$AF$1+1,0,[3]PF35!$AH$1,1)</definedName>
    <definedName name="PF35_50">OFFSET([3]PF35!$I$1,[3]PF35!$Z$1+1,0,[3]PF35!$AB$1,1)</definedName>
    <definedName name="PF35_50_2">OFFSET([3]PF35!$I$1,[3]PF35!$AF$1+1,0,[3]PF35!$AH$1,1)</definedName>
    <definedName name="PF35_D_2">OFFSET([3]PF35!$A$1,[3]PF35!$AF$1+1,0,[3]PF35!$AH$1,1)</definedName>
    <definedName name="PF35_DATE">OFFSET([3]PF35!$A$1,[3]PF35!$Z$1+1,0,[3]PF35!$AB$1,1)</definedName>
    <definedName name="PF35_P_2">OFFSET([3]PF35!$B$1,[3]PF35!$AF$1+1,0,[3]PF35!$AH$1,1)</definedName>
    <definedName name="PF35_PRICE">OFFSET([3]PF35!$B$1,[3]PF35!$Z$1+1,0,[3]PF35!$AB$1,1)</definedName>
    <definedName name="PGCC_120">OFFSET([3]PGCC!$J$1,[3]PGCC!$Z$1+1,0,[3]PGCC!$AB$1,1)</definedName>
    <definedName name="PGCC_120_2">OFFSET([3]PGCC!$J$1,[3]PGCC!$AF$1+1,0,[3]PGCC!$AH$1,1)</definedName>
    <definedName name="PGCC_20">OFFSET([3]PGCC!$H$1,[3]PGCC!$Z$1+1,0,[3]PGCC!$AB$1,1)</definedName>
    <definedName name="PGCC_20_2">OFFSET([3]PGCC!$H$1,[3]PGCC!$AF$1+1,0,[3]PGCC!$AH$1,1)</definedName>
    <definedName name="PGCC_50">OFFSET([3]PGCC!$I$1,[3]PGCC!$Z$1+1,0,[3]PGCC!$AB$1,1)</definedName>
    <definedName name="PGCC_50_2">OFFSET([3]PGCC!$I$1,[3]PGCC!$AF$1+1,0,[3]PGCC!$AH$1,1)</definedName>
    <definedName name="PGCC_D_2">OFFSET([3]PGCC!$A$1,[3]PGCC!$AF$1+1,0,[3]PGCC!$AH$1,1)</definedName>
    <definedName name="PGCC_DATE">OFFSET([3]PGCC!$A$1,[3]PGCC!$Z$1+1,0,[3]PGCC!$AB$1,1)</definedName>
    <definedName name="PGCC_P_2">OFFSET([3]PGCC!$B$1,[3]PGCC!$AF$1+1,0,[3]PGCC!$AH$1,1)</definedName>
    <definedName name="PGCC_PRICE">OFFSET([3]PGCC!$B$1,[3]PGCC!$Z$1+1,0,[3]PGCC!$AB$1,1)</definedName>
    <definedName name="PGEE_120">OFFSET([3]PGEE!$J$1,[3]PGEE!$Z$1+1,0,[3]PGEE!$AB$1,1)</definedName>
    <definedName name="PGEE_120_2">OFFSET([3]PGEE!$J$1,[3]PGEE!$AF$1+1,0,[3]PGEE!$AH$1,1)</definedName>
    <definedName name="PGEE_20">OFFSET([3]PGEE!$H$1,[3]PGEE!$Z$1+1,0,[3]PGEE!$AB$1,1)</definedName>
    <definedName name="PGEE_20_2">OFFSET([3]PGEE!$H$1,[3]PGEE!$AF$1+1,0,[3]PGEE!$AH$1,1)</definedName>
    <definedName name="PGEE_50">OFFSET([3]PGEE!$I$1,[3]PGEE!$Z$1+1,0,[3]PGEE!$AB$1,1)</definedName>
    <definedName name="PGEE_50_2">OFFSET([3]PGEE!$I$1,[3]PGEE!$AF$1+1,0,[3]PGEE!$AH$1,1)</definedName>
    <definedName name="PGEE_D_2">OFFSET([3]PGEE!$A$1,[3]PGEE!$AF$1+1,0,[3]PGEE!$AH$1,1)</definedName>
    <definedName name="PGEE_DATE">OFFSET([3]PGEE!$A$1,[3]PGEE!$Z$1+1,0,[3]PGEE!$AB$1,1)</definedName>
    <definedName name="PGEE_P_2">OFFSET([3]PGEE!$B$1,[3]PGEE!$AF$1+1,0,[3]PGEE!$AH$1,1)</definedName>
    <definedName name="PGEE_PRICE">OFFSET([3]PGEE!$B$1,[3]PGEE!$Z$1+1,0,[3]PGEE!$AB$1,1)</definedName>
    <definedName name="PGEG_120">OFFSET([3]PGEG!$J$1,[9]PGEZ!$Z$1+1,0,[3]PGEG!$AB$1,1)</definedName>
    <definedName name="PGEG_120_2">OFFSET([3]PGEG!$J$1,[3]PGEG!$AF$1+1,0,[3]PGEG!$AH$1,1)</definedName>
    <definedName name="PGEG_20">OFFSET([3]PGEG!$H$1,[3]PGEG!$Z$1+1,0,[3]PGEG!$AB$1,1)</definedName>
    <definedName name="PGEG_20_2">OFFSET([3]PGEG!$H$1,[3]PGEG!$AF$1+1,0,[3]PGEG!$AH$1,1)</definedName>
    <definedName name="PGEG_50">OFFSET([3]PGEG!$I$1,[3]PGEG!$Z$1+1,0,[3]PGEG!$AB$1,1)</definedName>
    <definedName name="PGEG_50_2">OFFSET([3]PGEG!$I$1,[3]PGEG!$AF$1+1,0,[3]PGEG!$AH$1,1)</definedName>
    <definedName name="PGEG_D_2">OFFSET([3]PGEG!$A$1,[3]PGEG!$AF$1+1,0,[3]PGEG!$AH$1,1)</definedName>
    <definedName name="PGEG_DATE">OFFSET([3]PGEG!$A$1,[3]PGEG!$Z$1+1,0,[3]PGEG!$AB$1,1)</definedName>
    <definedName name="PGEG_P_2">OFFSET([3]PGEG!$B$1,[3]PGEG!$AF$1+1,0,[3]PGEG!$AH$1,1)</definedName>
    <definedName name="PGEG_PRICE">OFFSET([3]PGEG!$B$1,[3]PGEG!$Z$1+1,0,[3]PGEG!$AB$1,1)</definedName>
    <definedName name="PGFI_120">OFFSET([3]PGFI!$J$1,[3]PGFI!$Z$1+1,0,[3]PGFI!$AB$1,1)</definedName>
    <definedName name="PGFI_120_2">OFFSET([3]PGFI!$J$1,[3]PGFI!$AF$1+1,0,[3]PGFI!$AH$1,1)</definedName>
    <definedName name="PGFI_20">OFFSET([3]PGFI!$H$1,[3]PGFI!$Z$1+1,0,[3]PGFI!$AB$1,1)</definedName>
    <definedName name="PGFI_20_2">OFFSET([3]PGFI!$H$1,[3]PGFI!$AF$1+1,0,[3]PGFI!$AH$1,1)</definedName>
    <definedName name="PGFI_50">OFFSET([3]PGFI!$I$1,[3]PGFI!$Z$1+1,0,[3]PGFI!$AB$1,1)</definedName>
    <definedName name="PGFI_50_2">OFFSET([3]PGFI!$I$1,[3]PGFI!$AF$1+1,0,[3]PGFI!$AH$1,1)</definedName>
    <definedName name="PGFI_D_2">OFFSET([3]PGFI!$A$1,[3]PGFI!$AF$1+1,0,[3]PGFI!$AH$1,1)</definedName>
    <definedName name="PGFI_DATE">OFFSET([3]PGFI!$A$1,[3]PGFI!$Z$1+1,0,[3]PGFI!$AB$1,1)</definedName>
    <definedName name="PGFI_P_2">OFFSET([3]PGFI!$B$1,[3]PGFI!$AF$1+1,0,[3]PGFI!$AH$1,1)</definedName>
    <definedName name="PGFI_PRICE">OFFSET([3]PGFI!$B$1,[3]PGFI!$Z$1+1,0,[3]PGFI!$AB$1,1)</definedName>
    <definedName name="PGIE_120">OFFSET([3]PGIE!$J$1,[3]PGIE!$Z$1+1,0,[3]PGIE!$AB$1,1)</definedName>
    <definedName name="PGIE_120_2">OFFSET([3]PGIE!$J$1,[3]PGIE!$AF$1+1,0,[3]PGIE!$AH$1,1)</definedName>
    <definedName name="PGIE_20">OFFSET([3]PGIE!$H$1,[3]PGIE!$Z$1+1,0,[3]PGIE!$AB$1,1)</definedName>
    <definedName name="PGIE_20_2">OFFSET([3]PGIE!$H$1,[3]PGIE!$AF$1+1,0,[3]PGIE!$AH$1,1)</definedName>
    <definedName name="PGIE_50">OFFSET([3]PGIE!$I$1,[3]PGIE!$Z$1+1,0,[3]PGIE!$AB$1,1)</definedName>
    <definedName name="PGIE_50_2">OFFSET([3]PGIE!$I$1,[3]PGIE!$AF$1+1,0,[3]PGIE!$AH$1,1)</definedName>
    <definedName name="PGIE_D_2">OFFSET([3]PGIE!$A$1,[3]PGIE!$AF$1+1,0,[3]PGIE!$AH$1,1)</definedName>
    <definedName name="PGIE_DATE">OFFSET([3]PGIE!$A$1,[3]PGIE!$Z$1+1,0,[3]PGIE!$AB$1,1)</definedName>
    <definedName name="PGIE_P_2">OFFSET([3]PGIE!$B$1,[3]PGIE!$AF$1+1,0,[3]PGIE!$AH$1,1)</definedName>
    <definedName name="PGIE_PRICE">OFFSET([3]PGIE!$B$1,[3]PGIE!$Z$1+1,0,[3]PGIE!$AB$1,1)</definedName>
    <definedName name="PGMA_120">OFFSET([3]PGMA!$J$1,[3]PGMA!$Z$1+1,0,[3]PGMA!$AB$1,1)</definedName>
    <definedName name="PGMA_120_2">OFFSET([3]PGMA!$J$1,[3]PGMA!$AF$1+1,0,[3]PGMA!$AH$1,1)</definedName>
    <definedName name="PGMA_20">OFFSET([3]PGMA!$H$1,[3]PGMA!$Z$1+1,0,[3]PGMA!$AB$1,1)</definedName>
    <definedName name="PGMA_20_2">OFFSET([3]PGMA!$H$1,[3]PGMA!$AF$1+1,0,[3]PGMA!$AH$1,1)</definedName>
    <definedName name="PGMA_50">OFFSET([3]PGMA!$I$1,[3]PGMA!$Z$1+1,0,[3]PGMA!$AB$1,1)</definedName>
    <definedName name="PGMA_50_2">OFFSET([3]PGMA!$I$1,[3]PGMA!$AF$1+1,0,[3]PGMA!$AH$1,1)</definedName>
    <definedName name="PGMA_D_2">OFFSET([3]PGMA!$A$1,[3]PGMA!$AF$1+1,0,[3]PGMA!$AH$1,1)</definedName>
    <definedName name="PGMA_DATE">OFFSET([3]PGMA!$A$1,[3]PGMA!$Z$1+1,0,[3]PGMA!$AB$1,1)</definedName>
    <definedName name="PGMA_P_2">OFFSET([3]PGMA!$B$1,[3]PGMA!$AF$1+1,0,[3]PGMA!$AH$1,1)</definedName>
    <definedName name="PGMA_PRICE">OFFSET([3]PGMA!$B$1,[3]PGMA!$Z$1+1,0,[3]PGMA!$AB$1,1)</definedName>
    <definedName name="PGPF_120">OFFSET([3]PGPF!$J$1,[3]PGPF!$Z$1+1,0,[3]PGPF!$AB$1,1)</definedName>
    <definedName name="PGPF_120_2">OFFSET([3]PGPF!$J$1,[3]PGPF!$AF$1+1,0,[3]PGPF!$AH$1,1)</definedName>
    <definedName name="PGPF_20">OFFSET([3]PGPF!$H$1,[3]PGPF!$Z$1+1,0,[3]PGPF!$AB$1,1)</definedName>
    <definedName name="PGPF_20_2">OFFSET([3]PGPF!$H$1,[3]PGPF!$AF$1+1,0,[3]PGPF!$AH$1,1)</definedName>
    <definedName name="PGPF_50">OFFSET([3]PGPF!$I$1,[3]PGPF!$Z$1+1,0,[3]PGPF!$AB$1,1)</definedName>
    <definedName name="PGPF_50_2">OFFSET([3]PGPF!$I$1,[3]PGPF!$AF$1+1,0,[3]PGPF!$AH$1,1)</definedName>
    <definedName name="PGPF_D_2">OFFSET([3]PGPF!$A$1,[3]PGPF!$AF$1+1,0,[3]PGPF!$AH$1,1)</definedName>
    <definedName name="PGPF_DATE">OFFSET([3]PGPF!$A$1,[3]PGPF!$Z$1+1,0,[3]PGPF!$AB$1,1)</definedName>
    <definedName name="PGPF_P_2">OFFSET([3]PGPF!$B$1,[3]PGPF!$AF$1+1,0,[3]PGPF!$AH$1,1)</definedName>
    <definedName name="PGPF_PRICE">OFFSET([3]PGPF!$B$1,[3]PGPF!$Z$1+1,0,[3]PGPF!$AB$1,1)</definedName>
    <definedName name="PIEI_120">OFFSET([3]PIEI!$J$1,[3]PIEI!$Z$1+1,0,[3]PIEI!$AB$1,1)</definedName>
    <definedName name="PIEI_120_2">OFFSET([3]PIEI!$J$1,[3]PIEI!$AF$1+1,0,[3]PIEI!$AH$1,1)</definedName>
    <definedName name="PIEI_20">OFFSET([3]PIEI!$H$1,[3]PIEI!$Z$1+1,0,[3]PIEI!$AB$1,1)</definedName>
    <definedName name="PIEI_20_2">OFFSET([3]PIEI!$H$1,[3]PIEI!$AF$1+1,0,[3]PIEI!$AH$1,1)</definedName>
    <definedName name="PIEI_50">OFFSET([3]PIEI!$I$1,[3]PIEI!$Z$1+1,0,[3]PIEI!$AB$1,1)</definedName>
    <definedName name="PIEI_50_2">OFFSET([3]PIEI!$I$1,[3]PIEI!$AF$1+1,0,[3]PIEI!$AH$1,1)</definedName>
    <definedName name="PIEI_D_2">OFFSET([3]PIEI!$A$1,[3]PIEI!$AF$1+1,0,[3]PIEI!$AH$1,1)</definedName>
    <definedName name="PIEI_DATE">OFFSET([3]PIEI!$A$1,[3]PIEI!$Z$1+1,0,[3]PIEI!$AB$1,1)</definedName>
    <definedName name="PIEI_P_2">OFFSET([3]PIEI!$B$1,[3]PIEI!$AF$1+1,0,[3]PIEI!$AH$1,1)</definedName>
    <definedName name="PIEI_PRICE">OFFSET([3]PIEI!$B$1,[3]PIEI!$Z$1+1,0,[3]PIEI!$AB$1,1)</definedName>
    <definedName name="PMAN_120">OFFSET([3]PMAN!$J$1,[3]PMAN!$Z$1+1,0,[3]PMAN!$AB$1,1)</definedName>
    <definedName name="PMAN_120_2">OFFSET([3]PMAN!$J$1,[3]PMAN!$AF$1+1,0,[3]PMAN!$AH$1,1)</definedName>
    <definedName name="PMAN_20">OFFSET([3]PMAN!$H$1,[3]PMAN!$Z$1+1,0,[3]PMAN!$AB$1,1)</definedName>
    <definedName name="PMAN_20_2">OFFSET([3]PMAN!$H$1,[3]PMAN!$AF$1+1,0,[3]PMAN!$AH$1,1)</definedName>
    <definedName name="PMAN_50">OFFSET([3]PMAN!$I$1,[3]PMAN!$Z$1+1,0,[3]PMAN!$AB$1,1)</definedName>
    <definedName name="PMAN_50_2">OFFSET([3]PMAN!$I$1,[3]PMAN!$AF$1+1,0,[3]PMAN!$AH$1,1)</definedName>
    <definedName name="PMAN_D_2">OFFSET([3]PMAN!$A$1,[3]PMAN!$AF$1+1,0,[3]PMAN!$AH$1,1)</definedName>
    <definedName name="PMAN_DATE">OFFSET([3]PMAN!$A$1,[3]PMAN!$Z$1+1,0,[3]PMAN!$AB$1,1)</definedName>
    <definedName name="PMAN_P_2">OFFSET([3]PMAN!$B$1,[3]PMAN!$AF$1+1,0,[3]PMAN!$AH$1,1)</definedName>
    <definedName name="PMAN_PRICE">OFFSET([3]PMAN!$B$1,[3]PMAN!$Z$1+1,0,[3]PMAN!$AB$1,1)</definedName>
    <definedName name="PrintArea_SET">OFFSET('[2]Excel Amortization Schedule'!$B$6,,,LastRow,LastCol)</definedName>
    <definedName name="Projected_Expenses">'[1]Budget Overview'!$F$8</definedName>
    <definedName name="Projected_Income">'[1]Budget Overview'!$C$11</definedName>
    <definedName name="PWTF_120">OFFSET([3]PWTF!$J$1,[3]PWTF!$Z$1+1,0,[3]PWTF!$AB$1,1)</definedName>
    <definedName name="PWTF_120_2">OFFSET([3]PWTF!$J$1,[3]PWTF!$AF$1+1,0,[3]PWTF!$AH$1,1)</definedName>
    <definedName name="PWTF_20">OFFSET([3]PWTF!$H$1,[3]PWTF!$Z$1+1,0,[3]PWTF!$AB$1,1)</definedName>
    <definedName name="PWTF_20_2">OFFSET([3]PWTF!$H$1,[3]PWTF!$AF$1+1,0,[3]PWTF!$AH$1,1)</definedName>
    <definedName name="PWTF_50">OFFSET([3]PWTF!$I$1,[3]PWTF!$Z$1+1,0,[3]PWTF!$AB$1,1)</definedName>
    <definedName name="PWTF_50_2">OFFSET([3]PWTF!$I$1,[3]PWTF!$AF$1+1,0,[3]PWTF!$AH$1,1)</definedName>
    <definedName name="PWTF_D_2">OFFSET([3]PWTF!$A$1,[3]PWTF!$AF$1+1,0,[3]PWTF!$AH$1,1)</definedName>
    <definedName name="PWTF_DATE">OFFSET([3]PWTF!$A$1,[3]PWTF!$Z$1+1,0,[3]PWTF!$AB$1,1)</definedName>
    <definedName name="PWTF_P_2">OFFSET([3]PWTF!$B$1,[3]PWTF!$AF$1+1,0,[3]PWTF!$AH$1,1)</definedName>
    <definedName name="PWTF_PRICE">OFFSET([3]PWTF!$B$1,[3]PWTF!$Z$1+1,0,[3]PWTF!$AB$1,1)</definedName>
    <definedName name="rate1">'[2]Repayment Schedule'!$B$14</definedName>
    <definedName name="rate2">'[2]Repayment Schedule'!$B$15</definedName>
    <definedName name="rate3">'[2]Repayment Schedule'!$B$16</definedName>
    <definedName name="rate4">'[2]Repayment Schedule'!$B$17</definedName>
    <definedName name="rate5">'[2]Repayment Schedule'!$B$18</definedName>
    <definedName name="rate6">'[2]Repayment Schedule'!$B$19</definedName>
    <definedName name="RO">'[2]Repayment Schedule'!$F$10</definedName>
    <definedName name="Savings_header_row">ROW([4]!Saving[[#Headers],[Saving]])</definedName>
    <definedName name="Savings_max_row">MAX(ROW([4]!Saving[#Data]))</definedName>
    <definedName name="Savings_min_row">MIN(ROW([4]!Saving[#Data]))</definedName>
    <definedName name="Savings_total_row">ROW('[4]Budget Planning'!$C$49)</definedName>
    <definedName name="ScheduledNumberOfPayments">'[2]Excel Amortization Schedule'!$I$9</definedName>
    <definedName name="ScheduledPayment">'[2]Excel Amortization Schedule'!$I$8</definedName>
    <definedName name="selected_period">[4]Calculation!$E$20</definedName>
    <definedName name="selected_period_displayed">[4]Calculation!$E$21</definedName>
    <definedName name="selected_year">[4]Calculation!$E$19</definedName>
    <definedName name="shift_late_income_starting_day">[4]Settings!$D$13</definedName>
    <definedName name="shift_late_income_status">[4]Settings!$D$11</definedName>
    <definedName name="Starting_Year">[4]Settings!$D$4</definedName>
    <definedName name="stock_chart_data">_xlfn.STOCKHISTORY(#REF!&amp;":"&amp;#REF!,TODAY()-30,TODAY(),0,1,0,5,2,3,4,1)</definedName>
    <definedName name="tenor">'[2]Repayment Schedule'!$B$9</definedName>
    <definedName name="TotalEarlyPayments">SUM([2]!PaymentSchedule[EXTRA LOAN])</definedName>
    <definedName name="TotalInterest">SUM([2]!PaymentSchedule[INTEREST])</definedName>
    <definedName name="Type_of_Main">[8]Check!$I$2:$I$3</definedName>
    <definedName name="Type_of_Rider">[8]Check!$K$2:$K$3</definedName>
    <definedName name="x__Hlk73613038" localSheetId="2">#REF!</definedName>
    <definedName name="x__Hlk73613038">#REF!</definedName>
    <definedName name="Yield_On_Cost">OFFSET(#REF!,0,0,IF(#REF!&gt;100,100,#REF!))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D117" i="2" s="1"/>
  <c r="V267" i="3"/>
  <c r="B267" i="3"/>
  <c r="V266" i="3"/>
  <c r="E266" i="3"/>
  <c r="D266" i="3"/>
  <c r="B163" i="3"/>
  <c r="B112" i="3"/>
  <c r="E111" i="3"/>
  <c r="B111" i="3"/>
  <c r="D111" i="3" s="1"/>
  <c r="AR79" i="3"/>
  <c r="AR68" i="3"/>
  <c r="B63" i="3"/>
  <c r="X62" i="3"/>
  <c r="E62" i="3"/>
  <c r="B62" i="3"/>
  <c r="X61" i="3"/>
  <c r="E61" i="3"/>
  <c r="D61" i="3"/>
  <c r="B61" i="3"/>
  <c r="BH60" i="3"/>
  <c r="AR59" i="3"/>
  <c r="BH57" i="3"/>
  <c r="BH56" i="3"/>
  <c r="AR56" i="3"/>
  <c r="BH55" i="3"/>
  <c r="BH48" i="3"/>
  <c r="BH48" i="3" a="1"/>
  <c r="AR48" i="3"/>
  <c r="BH44" i="3" a="1"/>
  <c r="BH44" i="3" s="1"/>
  <c r="BH43" i="3" a="1"/>
  <c r="BH43" i="3" s="1"/>
  <c r="BH42" i="3"/>
  <c r="BH42" i="3" a="1"/>
  <c r="BH37" i="3"/>
  <c r="BH36" i="3"/>
  <c r="BH35" i="3"/>
  <c r="AL33" i="3"/>
  <c r="AL32" i="3"/>
  <c r="BH31" i="3"/>
  <c r="BH33" i="3" s="1"/>
  <c r="BH29" i="3"/>
  <c r="BH30" i="3" s="1"/>
  <c r="B5" i="3" s="1"/>
  <c r="BL11" i="3"/>
  <c r="BK11" i="3" s="1"/>
  <c r="AX11" i="3"/>
  <c r="AX12" i="3" s="1"/>
  <c r="AX13" i="3" s="1"/>
  <c r="AX14" i="3" s="1"/>
  <c r="AX15" i="3" s="1"/>
  <c r="AX16" i="3" s="1"/>
  <c r="AX17" i="3" s="1"/>
  <c r="AX18" i="3" s="1"/>
  <c r="AX19" i="3" s="1"/>
  <c r="AX20" i="3" s="1"/>
  <c r="AX21" i="3" s="1"/>
  <c r="AX22" i="3" s="1"/>
  <c r="AX23" i="3" s="1"/>
  <c r="AX24" i="3" s="1"/>
  <c r="AX25" i="3" s="1"/>
  <c r="AX26" i="3" s="1"/>
  <c r="AX27" i="3" s="1"/>
  <c r="AX28" i="3" s="1"/>
  <c r="AX29" i="3" s="1"/>
  <c r="AX30" i="3" s="1"/>
  <c r="AX31" i="3" s="1"/>
  <c r="AX32" i="3" s="1"/>
  <c r="AX33" i="3" s="1"/>
  <c r="AX34" i="3" s="1"/>
  <c r="AX35" i="3" s="1"/>
  <c r="AX36" i="3" s="1"/>
  <c r="AX37" i="3" s="1"/>
  <c r="AX38" i="3" s="1"/>
  <c r="AX39" i="3" s="1"/>
  <c r="AX40" i="3" s="1"/>
  <c r="AX41" i="3" s="1"/>
  <c r="AW11" i="3"/>
  <c r="AW12" i="3" s="1"/>
  <c r="AW13" i="3" s="1"/>
  <c r="AW14" i="3" s="1"/>
  <c r="AW15" i="3" s="1"/>
  <c r="AW16" i="3" s="1"/>
  <c r="AW17" i="3" s="1"/>
  <c r="AW18" i="3" s="1"/>
  <c r="AW19" i="3" s="1"/>
  <c r="AW20" i="3" s="1"/>
  <c r="AW21" i="3" s="1"/>
  <c r="AW22" i="3" s="1"/>
  <c r="AW23" i="3" s="1"/>
  <c r="AW24" i="3" s="1"/>
  <c r="AW25" i="3" s="1"/>
  <c r="AW26" i="3" s="1"/>
  <c r="AW27" i="3" s="1"/>
  <c r="AW28" i="3" s="1"/>
  <c r="AW29" i="3" s="1"/>
  <c r="AW30" i="3" s="1"/>
  <c r="AW31" i="3" s="1"/>
  <c r="AW32" i="3" s="1"/>
  <c r="AW33" i="3" s="1"/>
  <c r="AW34" i="3" s="1"/>
  <c r="AW35" i="3" s="1"/>
  <c r="AW36" i="3" s="1"/>
  <c r="AW37" i="3" s="1"/>
  <c r="AW38" i="3" s="1"/>
  <c r="AW39" i="3" s="1"/>
  <c r="AW40" i="3" s="1"/>
  <c r="AW41" i="3" s="1"/>
  <c r="BL10" i="3"/>
  <c r="BK10" i="3" s="1"/>
  <c r="BL9" i="3"/>
  <c r="BK9" i="3"/>
  <c r="BJ9" i="3" s="1"/>
  <c r="BL8" i="3"/>
  <c r="BK8" i="3"/>
  <c r="BJ8" i="3" s="1"/>
  <c r="AY8" i="3"/>
  <c r="AY9" i="3" s="1"/>
  <c r="AY10" i="3" s="1"/>
  <c r="AY11" i="3" s="1"/>
  <c r="AY12" i="3" s="1"/>
  <c r="AY13" i="3" s="1"/>
  <c r="AY14" i="3" s="1"/>
  <c r="AY15" i="3" s="1"/>
  <c r="AY16" i="3" s="1"/>
  <c r="AY17" i="3" s="1"/>
  <c r="AY18" i="3" s="1"/>
  <c r="AY19" i="3" s="1"/>
  <c r="AY20" i="3" s="1"/>
  <c r="AY21" i="3" s="1"/>
  <c r="AY22" i="3" s="1"/>
  <c r="AY23" i="3" s="1"/>
  <c r="AY24" i="3" s="1"/>
  <c r="AY25" i="3" s="1"/>
  <c r="AY26" i="3" s="1"/>
  <c r="AY27" i="3" s="1"/>
  <c r="AY28" i="3" s="1"/>
  <c r="AY29" i="3" s="1"/>
  <c r="AY30" i="3" s="1"/>
  <c r="AY31" i="3" s="1"/>
  <c r="AY32" i="3" s="1"/>
  <c r="AY33" i="3" s="1"/>
  <c r="AY34" i="3" s="1"/>
  <c r="AY35" i="3" s="1"/>
  <c r="AY36" i="3" s="1"/>
  <c r="AY37" i="3" s="1"/>
  <c r="AY38" i="3" s="1"/>
  <c r="AY39" i="3" s="1"/>
  <c r="AY40" i="3" s="1"/>
  <c r="AY41" i="3" s="1"/>
  <c r="AV8" i="3"/>
  <c r="AV9" i="3" s="1"/>
  <c r="AV10" i="3" s="1"/>
  <c r="AV11" i="3" s="1"/>
  <c r="AV12" i="3" s="1"/>
  <c r="AV13" i="3" s="1"/>
  <c r="AV14" i="3" s="1"/>
  <c r="AV15" i="3" s="1"/>
  <c r="AV16" i="3" s="1"/>
  <c r="AV17" i="3" s="1"/>
  <c r="AV18" i="3" s="1"/>
  <c r="AV19" i="3" s="1"/>
  <c r="AV20" i="3" s="1"/>
  <c r="AV21" i="3" s="1"/>
  <c r="AV22" i="3" s="1"/>
  <c r="AV23" i="3" s="1"/>
  <c r="AV24" i="3" s="1"/>
  <c r="AV25" i="3" s="1"/>
  <c r="AV26" i="3" s="1"/>
  <c r="AV27" i="3" s="1"/>
  <c r="AV28" i="3" s="1"/>
  <c r="AV29" i="3" s="1"/>
  <c r="AV30" i="3" s="1"/>
  <c r="AV31" i="3" s="1"/>
  <c r="AV32" i="3" s="1"/>
  <c r="AV33" i="3" s="1"/>
  <c r="AV34" i="3" s="1"/>
  <c r="AV35" i="3" s="1"/>
  <c r="AV36" i="3" s="1"/>
  <c r="AV37" i="3" s="1"/>
  <c r="AV38" i="3" s="1"/>
  <c r="AV39" i="3" s="1"/>
  <c r="AV40" i="3" s="1"/>
  <c r="AV41" i="3" s="1"/>
  <c r="AU8" i="3"/>
  <c r="AU9" i="3" s="1"/>
  <c r="AU10" i="3" s="1"/>
  <c r="AU11" i="3" s="1"/>
  <c r="AU12" i="3" s="1"/>
  <c r="AU13" i="3" s="1"/>
  <c r="AU14" i="3" s="1"/>
  <c r="AU15" i="3" s="1"/>
  <c r="AU16" i="3" s="1"/>
  <c r="AU17" i="3" s="1"/>
  <c r="AU18" i="3" s="1"/>
  <c r="AU19" i="3" s="1"/>
  <c r="AU20" i="3" s="1"/>
  <c r="AU21" i="3" s="1"/>
  <c r="AU22" i="3" s="1"/>
  <c r="AU23" i="3" s="1"/>
  <c r="AU24" i="3" s="1"/>
  <c r="AU25" i="3" s="1"/>
  <c r="AU26" i="3" s="1"/>
  <c r="AU27" i="3" s="1"/>
  <c r="AU28" i="3" s="1"/>
  <c r="AU29" i="3" s="1"/>
  <c r="AU30" i="3" s="1"/>
  <c r="AU31" i="3" s="1"/>
  <c r="AU32" i="3" s="1"/>
  <c r="AU33" i="3" s="1"/>
  <c r="AU34" i="3" s="1"/>
  <c r="AU35" i="3" s="1"/>
  <c r="AU36" i="3" s="1"/>
  <c r="AU37" i="3" s="1"/>
  <c r="AU38" i="3" s="1"/>
  <c r="AU39" i="3" s="1"/>
  <c r="AU40" i="3" s="1"/>
  <c r="AU41" i="3" s="1"/>
  <c r="AT8" i="3"/>
  <c r="AT9" i="3" s="1"/>
  <c r="AT10" i="3" s="1"/>
  <c r="AT11" i="3" s="1"/>
  <c r="AT12" i="3" s="1"/>
  <c r="AT13" i="3" s="1"/>
  <c r="AT14" i="3" s="1"/>
  <c r="AT15" i="3" s="1"/>
  <c r="AT16" i="3" s="1"/>
  <c r="AT17" i="3" s="1"/>
  <c r="AT18" i="3" s="1"/>
  <c r="AT19" i="3" s="1"/>
  <c r="AT20" i="3" s="1"/>
  <c r="AT21" i="3" s="1"/>
  <c r="AT22" i="3" s="1"/>
  <c r="AT23" i="3" s="1"/>
  <c r="AT24" i="3" s="1"/>
  <c r="AT25" i="3" s="1"/>
  <c r="AT26" i="3" s="1"/>
  <c r="AT27" i="3" s="1"/>
  <c r="AT28" i="3" s="1"/>
  <c r="AT29" i="3" s="1"/>
  <c r="AT30" i="3" s="1"/>
  <c r="AT31" i="3" s="1"/>
  <c r="AT32" i="3" s="1"/>
  <c r="AT33" i="3" s="1"/>
  <c r="AT34" i="3" s="1"/>
  <c r="AT35" i="3" s="1"/>
  <c r="AT36" i="3" s="1"/>
  <c r="AT37" i="3" s="1"/>
  <c r="AT38" i="3" s="1"/>
  <c r="AT39" i="3" s="1"/>
  <c r="AT40" i="3" s="1"/>
  <c r="AT41" i="3" s="1"/>
  <c r="BK7" i="3"/>
  <c r="BJ7" i="3"/>
  <c r="BI7" i="3"/>
  <c r="BH7" i="3"/>
  <c r="BG7" i="3" s="1"/>
  <c r="BD7" i="3"/>
  <c r="BD8" i="3" s="1"/>
  <c r="BD9" i="3" s="1"/>
  <c r="BD10" i="3" s="1"/>
  <c r="BD11" i="3" s="1"/>
  <c r="BD12" i="3" s="1"/>
  <c r="BD13" i="3" s="1"/>
  <c r="BD14" i="3" s="1"/>
  <c r="BD15" i="3" s="1"/>
  <c r="BD16" i="3" s="1"/>
  <c r="BD17" i="3" s="1"/>
  <c r="BD18" i="3" s="1"/>
  <c r="BD19" i="3" s="1"/>
  <c r="BD20" i="3" s="1"/>
  <c r="BD21" i="3" s="1"/>
  <c r="BD22" i="3" s="1"/>
  <c r="BD23" i="3" s="1"/>
  <c r="BD24" i="3" s="1"/>
  <c r="BD25" i="3" s="1"/>
  <c r="BD26" i="3" s="1"/>
  <c r="BD27" i="3" s="1"/>
  <c r="BD28" i="3" s="1"/>
  <c r="BD29" i="3" s="1"/>
  <c r="BD30" i="3" s="1"/>
  <c r="BD31" i="3" s="1"/>
  <c r="BD32" i="3" s="1"/>
  <c r="BD33" i="3" s="1"/>
  <c r="BD34" i="3" s="1"/>
  <c r="BD35" i="3" s="1"/>
  <c r="BD36" i="3" s="1"/>
  <c r="BD37" i="3" s="1"/>
  <c r="BD38" i="3" s="1"/>
  <c r="BD39" i="3" s="1"/>
  <c r="BD40" i="3" s="1"/>
  <c r="BD41" i="3" s="1"/>
  <c r="BD42" i="3" s="1"/>
  <c r="BK6" i="3"/>
  <c r="BH6" i="3" s="1"/>
  <c r="BI6" i="3"/>
  <c r="BD6" i="3"/>
  <c r="BC6" i="3"/>
  <c r="BC7" i="3" s="1"/>
  <c r="BC8" i="3" s="1"/>
  <c r="BC9" i="3" s="1"/>
  <c r="BC10" i="3" s="1"/>
  <c r="BC11" i="3" s="1"/>
  <c r="BC12" i="3" s="1"/>
  <c r="BC13" i="3" s="1"/>
  <c r="BC14" i="3" s="1"/>
  <c r="BC15" i="3" s="1"/>
  <c r="BC16" i="3" s="1"/>
  <c r="BC17" i="3" s="1"/>
  <c r="BC18" i="3" s="1"/>
  <c r="BC19" i="3" s="1"/>
  <c r="BC20" i="3" s="1"/>
  <c r="BC21" i="3" s="1"/>
  <c r="BC22" i="3" s="1"/>
  <c r="BC23" i="3" s="1"/>
  <c r="BC24" i="3" s="1"/>
  <c r="BC25" i="3" s="1"/>
  <c r="BC26" i="3" s="1"/>
  <c r="BC27" i="3" s="1"/>
  <c r="BC28" i="3" s="1"/>
  <c r="BC29" i="3" s="1"/>
  <c r="BC30" i="3" s="1"/>
  <c r="BC31" i="3" s="1"/>
  <c r="BC32" i="3" s="1"/>
  <c r="BC33" i="3" s="1"/>
  <c r="BC34" i="3" s="1"/>
  <c r="BC35" i="3" s="1"/>
  <c r="BC36" i="3" s="1"/>
  <c r="BC37" i="3" s="1"/>
  <c r="BC38" i="3" s="1"/>
  <c r="BC39" i="3" s="1"/>
  <c r="BC40" i="3" s="1"/>
  <c r="BC41" i="3" s="1"/>
  <c r="BC42" i="3" s="1"/>
  <c r="BB6" i="3"/>
  <c r="BB7" i="3" s="1"/>
  <c r="BB8" i="3" s="1"/>
  <c r="BB9" i="3" s="1"/>
  <c r="BB10" i="3" s="1"/>
  <c r="BB11" i="3" s="1"/>
  <c r="BB12" i="3" s="1"/>
  <c r="BB13" i="3" s="1"/>
  <c r="BB14" i="3" s="1"/>
  <c r="BB15" i="3" s="1"/>
  <c r="BB16" i="3" s="1"/>
  <c r="BB17" i="3" s="1"/>
  <c r="BB18" i="3" s="1"/>
  <c r="BB19" i="3" s="1"/>
  <c r="BB20" i="3" s="1"/>
  <c r="BB21" i="3" s="1"/>
  <c r="BB22" i="3" s="1"/>
  <c r="BB23" i="3" s="1"/>
  <c r="BB24" i="3" s="1"/>
  <c r="BB25" i="3" s="1"/>
  <c r="BB26" i="3" s="1"/>
  <c r="BB27" i="3" s="1"/>
  <c r="AY6" i="3"/>
  <c r="AS6" i="3"/>
  <c r="AS7" i="3" s="1"/>
  <c r="AS8" i="3" s="1"/>
  <c r="AS9" i="3" s="1"/>
  <c r="AS10" i="3" s="1"/>
  <c r="AS11" i="3" s="1"/>
  <c r="AS12" i="3" s="1"/>
  <c r="AS13" i="3" s="1"/>
  <c r="AS14" i="3" s="1"/>
  <c r="AS15" i="3" s="1"/>
  <c r="AS16" i="3" s="1"/>
  <c r="AS17" i="3" s="1"/>
  <c r="AS18" i="3" s="1"/>
  <c r="AS19" i="3" s="1"/>
  <c r="AS20" i="3" s="1"/>
  <c r="AS21" i="3" s="1"/>
  <c r="AS22" i="3" s="1"/>
  <c r="AS23" i="3" s="1"/>
  <c r="AS24" i="3" s="1"/>
  <c r="AS25" i="3" s="1"/>
  <c r="AS26" i="3" s="1"/>
  <c r="AS27" i="3" s="1"/>
  <c r="AS28" i="3" s="1"/>
  <c r="AS29" i="3" s="1"/>
  <c r="AS30" i="3" s="1"/>
  <c r="AS31" i="3" s="1"/>
  <c r="AS32" i="3" s="1"/>
  <c r="AS33" i="3" s="1"/>
  <c r="AS34" i="3" s="1"/>
  <c r="AS35" i="3" s="1"/>
  <c r="AS36" i="3" s="1"/>
  <c r="AS37" i="3" s="1"/>
  <c r="AS38" i="3" s="1"/>
  <c r="AS39" i="3" s="1"/>
  <c r="AS40" i="3" s="1"/>
  <c r="AS41" i="3" s="1"/>
  <c r="BK5" i="3"/>
  <c r="BJ5" i="3" s="1"/>
  <c r="AS5" i="3"/>
  <c r="BK4" i="3"/>
  <c r="BH4" i="3" s="1"/>
  <c r="BI4" i="3"/>
  <c r="D176" i="2"/>
  <c r="D171" i="2"/>
  <c r="D170" i="2"/>
  <c r="D158" i="2"/>
  <c r="D162" i="2" s="1"/>
  <c r="D164" i="2" s="1"/>
  <c r="F157" i="2"/>
  <c r="C151" i="2"/>
  <c r="J150" i="2"/>
  <c r="H150" i="2"/>
  <c r="G150" i="2"/>
  <c r="H149" i="2"/>
  <c r="G149" i="2"/>
  <c r="H148" i="2"/>
  <c r="G148" i="2"/>
  <c r="D145" i="2"/>
  <c r="C149" i="2" s="1"/>
  <c r="C145" i="2"/>
  <c r="D142" i="2"/>
  <c r="D141" i="2"/>
  <c r="D138" i="2"/>
  <c r="D137" i="2"/>
  <c r="F135" i="2"/>
  <c r="F139" i="2" s="1"/>
  <c r="D134" i="2"/>
  <c r="D133" i="2"/>
  <c r="D130" i="2"/>
  <c r="D129" i="2"/>
  <c r="F127" i="2"/>
  <c r="D121" i="2"/>
  <c r="D118" i="2"/>
  <c r="D149" i="2" s="1"/>
  <c r="I148" i="2" s="1"/>
  <c r="D115" i="2"/>
  <c r="D122" i="2" s="1"/>
  <c r="E109" i="2"/>
  <c r="D109" i="2"/>
  <c r="C109" i="2"/>
  <c r="E108" i="2"/>
  <c r="D108" i="2"/>
  <c r="C108" i="2"/>
  <c r="E107" i="2"/>
  <c r="D107" i="2"/>
  <c r="C107" i="2"/>
  <c r="C106" i="2"/>
  <c r="C105" i="2"/>
  <c r="C104" i="2"/>
  <c r="D163" i="2" s="1"/>
  <c r="D99" i="2"/>
  <c r="D98" i="2"/>
  <c r="C98" i="2"/>
  <c r="C99" i="2" s="1"/>
  <c r="C100" i="2" s="1"/>
  <c r="D97" i="2"/>
  <c r="D100" i="2" s="1"/>
  <c r="C110" i="2" s="1"/>
  <c r="D52" i="2"/>
  <c r="D49" i="2"/>
  <c r="D48" i="2"/>
  <c r="D46" i="2"/>
  <c r="D53" i="2" s="1"/>
  <c r="C24" i="2"/>
  <c r="C25" i="2" s="1"/>
  <c r="C12" i="2"/>
  <c r="N10" i="2"/>
  <c r="M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V9" i="2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N9" i="2"/>
  <c r="M9" i="2"/>
  <c r="K9" i="2" s="1"/>
  <c r="L9" i="2"/>
  <c r="N8" i="2"/>
  <c r="M8" i="2"/>
  <c r="K8" i="2" s="1"/>
  <c r="L8" i="2"/>
  <c r="N7" i="2"/>
  <c r="M7" i="2"/>
  <c r="L7" i="2" s="1"/>
  <c r="X6" i="2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U6" i="2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T6" i="2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T38" i="2" s="1"/>
  <c r="T39" i="2" s="1"/>
  <c r="S6" i="2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M6" i="2"/>
  <c r="J6" i="2" s="1"/>
  <c r="L6" i="2"/>
  <c r="K6" i="2"/>
  <c r="M5" i="2"/>
  <c r="L5" i="2"/>
  <c r="K5" i="2"/>
  <c r="J5" i="2"/>
  <c r="I5" i="2" s="1"/>
  <c r="X4" i="2"/>
  <c r="R4" i="2"/>
  <c r="R5" i="2" s="1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M4" i="2"/>
  <c r="L4" i="2"/>
  <c r="K4" i="2"/>
  <c r="J4" i="2"/>
  <c r="I4" i="2" s="1"/>
  <c r="R3" i="2"/>
  <c r="M3" i="2"/>
  <c r="L3" i="2" s="1"/>
  <c r="J3" i="2"/>
  <c r="B6" i="3" l="1"/>
  <c r="G6" i="3" s="1"/>
  <c r="G5" i="3"/>
  <c r="E5" i="3"/>
  <c r="Q3" i="2"/>
  <c r="Q4" i="2" s="1"/>
  <c r="Q5" i="2" s="1"/>
  <c r="Q6" i="2" s="1"/>
  <c r="Q7" i="2" s="1"/>
  <c r="Q8" i="2" s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Q39" i="2" s="1"/>
  <c r="E17" i="2"/>
  <c r="C17" i="2" s="1"/>
  <c r="BJ11" i="3"/>
  <c r="BI11" i="3"/>
  <c r="BH11" i="3"/>
  <c r="BG11" i="3" s="1"/>
  <c r="BB28" i="3"/>
  <c r="BB29" i="3" s="1"/>
  <c r="BB30" i="3" s="1"/>
  <c r="BB31" i="3" s="1"/>
  <c r="BB32" i="3" s="1"/>
  <c r="BB33" i="3" s="1"/>
  <c r="BB34" i="3" s="1"/>
  <c r="BB35" i="3" s="1"/>
  <c r="BB36" i="3" s="1"/>
  <c r="BB37" i="3" s="1"/>
  <c r="BB38" i="3" s="1"/>
  <c r="BB39" i="3" s="1"/>
  <c r="BB40" i="3" s="1"/>
  <c r="BB41" i="3" s="1"/>
  <c r="BB42" i="3" s="1"/>
  <c r="C5" i="3"/>
  <c r="R21" i="2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R39" i="2" s="1"/>
  <c r="E25" i="2"/>
  <c r="C35" i="2" s="1"/>
  <c r="I6" i="2"/>
  <c r="E13" i="2"/>
  <c r="C13" i="2" s="1"/>
  <c r="L10" i="2"/>
  <c r="K10" i="2"/>
  <c r="J10" i="2"/>
  <c r="I10" i="2" s="1"/>
  <c r="BJ10" i="3"/>
  <c r="BI10" i="3"/>
  <c r="BH10" i="3"/>
  <c r="G107" i="2"/>
  <c r="F120" i="2"/>
  <c r="F121" i="2" s="1"/>
  <c r="G108" i="2"/>
  <c r="G106" i="2"/>
  <c r="F51" i="2"/>
  <c r="F52" i="2" s="1"/>
  <c r="C26" i="2"/>
  <c r="E34" i="2" s="1"/>
  <c r="D151" i="2"/>
  <c r="I150" i="2" s="1"/>
  <c r="BJ4" i="3"/>
  <c r="BG4" i="3" s="1"/>
  <c r="BJ6" i="3"/>
  <c r="BG6" i="3" s="1"/>
  <c r="J7" i="2"/>
  <c r="I7" i="2" s="1"/>
  <c r="E14" i="2"/>
  <c r="C14" i="2" s="1"/>
  <c r="E20" i="2" s="1"/>
  <c r="E26" i="2"/>
  <c r="E35" i="2" s="1"/>
  <c r="C150" i="2"/>
  <c r="D156" i="2"/>
  <c r="AR5" i="3"/>
  <c r="K3" i="2"/>
  <c r="I3" i="2" s="1"/>
  <c r="K7" i="2"/>
  <c r="J9" i="2"/>
  <c r="I9" i="2" s="1"/>
  <c r="C27" i="2"/>
  <c r="D150" i="2"/>
  <c r="I149" i="2" s="1"/>
  <c r="T5" i="3"/>
  <c r="B7" i="3"/>
  <c r="BH9" i="3"/>
  <c r="BG9" i="3" s="1"/>
  <c r="E15" i="2"/>
  <c r="C15" i="2" s="1"/>
  <c r="E21" i="2" s="1"/>
  <c r="E27" i="2"/>
  <c r="E31" i="2" s="1"/>
  <c r="U5" i="3"/>
  <c r="BI9" i="3"/>
  <c r="D159" i="2"/>
  <c r="D5" i="3"/>
  <c r="V5" i="3"/>
  <c r="BH5" i="3"/>
  <c r="F6" i="3"/>
  <c r="BH8" i="3"/>
  <c r="J8" i="2"/>
  <c r="I8" i="2" s="1"/>
  <c r="E16" i="2"/>
  <c r="C16" i="2" s="1"/>
  <c r="E24" i="2"/>
  <c r="E96" i="2"/>
  <c r="F95" i="2" s="1"/>
  <c r="N5" i="3"/>
  <c r="BI5" i="3"/>
  <c r="BI8" i="3"/>
  <c r="BH59" i="3"/>
  <c r="BH58" i="3"/>
  <c r="BH54" i="3"/>
  <c r="BH39" i="3"/>
  <c r="BH50" i="3" s="1"/>
  <c r="BH41" i="3"/>
  <c r="BH52" i="3" s="1"/>
  <c r="BH40" i="3"/>
  <c r="BH51" i="3" s="1"/>
  <c r="C34" i="2"/>
  <c r="F5" i="3"/>
  <c r="AR44" i="3"/>
  <c r="W61" i="3"/>
  <c r="BH38" i="3"/>
  <c r="B64" i="3"/>
  <c r="G63" i="3"/>
  <c r="X63" i="3"/>
  <c r="E63" i="3"/>
  <c r="W63" i="3"/>
  <c r="D63" i="3"/>
  <c r="V63" i="3"/>
  <c r="G266" i="3"/>
  <c r="N266" i="3"/>
  <c r="T266" i="3"/>
  <c r="W266" i="3" s="1"/>
  <c r="N267" i="3"/>
  <c r="B215" i="3"/>
  <c r="G111" i="3"/>
  <c r="N61" i="3"/>
  <c r="V61" i="3"/>
  <c r="G61" i="3"/>
  <c r="AY79" i="3"/>
  <c r="V62" i="3"/>
  <c r="B113" i="3"/>
  <c r="G112" i="3"/>
  <c r="X112" i="3"/>
  <c r="E112" i="3"/>
  <c r="W112" i="3"/>
  <c r="N112" i="3"/>
  <c r="D112" i="3"/>
  <c r="V112" i="3"/>
  <c r="D62" i="3"/>
  <c r="N62" i="3"/>
  <c r="W62" i="3"/>
  <c r="U271" i="3"/>
  <c r="U267" i="3"/>
  <c r="U272" i="3"/>
  <c r="U268" i="3"/>
  <c r="U269" i="3"/>
  <c r="U216" i="3"/>
  <c r="U217" i="3"/>
  <c r="U266" i="3"/>
  <c r="U218" i="3"/>
  <c r="U270" i="3"/>
  <c r="U220" i="3"/>
  <c r="U219" i="3"/>
  <c r="U221" i="3"/>
  <c r="U215" i="3"/>
  <c r="G62" i="3"/>
  <c r="N163" i="3"/>
  <c r="B164" i="3"/>
  <c r="U163" i="3"/>
  <c r="W163" i="3"/>
  <c r="V163" i="3"/>
  <c r="G163" i="3"/>
  <c r="E163" i="3"/>
  <c r="D163" i="3"/>
  <c r="V111" i="3"/>
  <c r="W111" i="3"/>
  <c r="N111" i="3"/>
  <c r="X111" i="3"/>
  <c r="B268" i="3"/>
  <c r="T267" i="3"/>
  <c r="G267" i="3"/>
  <c r="E267" i="3"/>
  <c r="D267" i="3"/>
  <c r="E29" i="2" l="1"/>
  <c r="E6" i="3"/>
  <c r="C36" i="2"/>
  <c r="C18" i="2"/>
  <c r="V6" i="3"/>
  <c r="U6" i="3"/>
  <c r="N6" i="3"/>
  <c r="D6" i="3"/>
  <c r="E36" i="2"/>
  <c r="E30" i="2"/>
  <c r="Y266" i="3"/>
  <c r="X266" i="3"/>
  <c r="Z266" i="3" s="1"/>
  <c r="W267" i="3" s="1"/>
  <c r="C6" i="3"/>
  <c r="C7" i="3" s="1"/>
  <c r="H5" i="3"/>
  <c r="N63" i="3"/>
  <c r="AX64" i="3"/>
  <c r="BG8" i="3"/>
  <c r="F7" i="3"/>
  <c r="E7" i="3"/>
  <c r="V7" i="3"/>
  <c r="D7" i="3"/>
  <c r="B8" i="3"/>
  <c r="T7" i="3" s="1"/>
  <c r="U7" i="3"/>
  <c r="G7" i="3"/>
  <c r="T6" i="3"/>
  <c r="E164" i="3"/>
  <c r="B165" i="3"/>
  <c r="U164" i="3"/>
  <c r="W164" i="3"/>
  <c r="V164" i="3"/>
  <c r="G164" i="3"/>
  <c r="D164" i="3"/>
  <c r="N164" i="3"/>
  <c r="BG5" i="3"/>
  <c r="AR6" i="3"/>
  <c r="AR7" i="3" s="1"/>
  <c r="AR8" i="3" s="1"/>
  <c r="AR9" i="3" s="1"/>
  <c r="AR10" i="3" s="1"/>
  <c r="AR11" i="3" s="1"/>
  <c r="AR12" i="3" s="1"/>
  <c r="AR13" i="3" s="1"/>
  <c r="AR14" i="3" s="1"/>
  <c r="AR15" i="3" s="1"/>
  <c r="AR16" i="3" s="1"/>
  <c r="AR17" i="3" s="1"/>
  <c r="AR18" i="3" s="1"/>
  <c r="AR19" i="3" s="1"/>
  <c r="AR20" i="3" s="1"/>
  <c r="AR21" i="3" s="1"/>
  <c r="AR22" i="3" s="1"/>
  <c r="AR23" i="3" s="1"/>
  <c r="AR24" i="3" s="1"/>
  <c r="AR25" i="3" s="1"/>
  <c r="AR26" i="3" s="1"/>
  <c r="AR27" i="3" s="1"/>
  <c r="AR28" i="3" s="1"/>
  <c r="AR29" i="3" s="1"/>
  <c r="AR30" i="3" s="1"/>
  <c r="AR31" i="3" s="1"/>
  <c r="AR32" i="3" s="1"/>
  <c r="AR33" i="3" s="1"/>
  <c r="AR34" i="3" s="1"/>
  <c r="AR35" i="3" s="1"/>
  <c r="AR36" i="3" s="1"/>
  <c r="AR37" i="3" s="1"/>
  <c r="AR38" i="3" s="1"/>
  <c r="AR39" i="3" s="1"/>
  <c r="AR40" i="3" s="1"/>
  <c r="AR41" i="3" s="1"/>
  <c r="E19" i="2"/>
  <c r="D167" i="2"/>
  <c r="D168" i="2" s="1"/>
  <c r="V64" i="3"/>
  <c r="G64" i="3"/>
  <c r="B65" i="3"/>
  <c r="X64" i="3"/>
  <c r="E64" i="3"/>
  <c r="D64" i="3"/>
  <c r="W64" i="3"/>
  <c r="W5" i="3"/>
  <c r="N268" i="3"/>
  <c r="V268" i="3"/>
  <c r="B269" i="3"/>
  <c r="T268" i="3"/>
  <c r="G268" i="3"/>
  <c r="E268" i="3"/>
  <c r="D268" i="3"/>
  <c r="T215" i="3"/>
  <c r="G215" i="3"/>
  <c r="D215" i="3"/>
  <c r="N215" i="3"/>
  <c r="B216" i="3"/>
  <c r="V215" i="3"/>
  <c r="E215" i="3"/>
  <c r="BG10" i="3"/>
  <c r="B114" i="3"/>
  <c r="N113" i="3" s="1"/>
  <c r="G113" i="3"/>
  <c r="X113" i="3"/>
  <c r="E113" i="3"/>
  <c r="W113" i="3"/>
  <c r="V113" i="3"/>
  <c r="D113" i="3"/>
  <c r="AX45" i="3" l="1"/>
  <c r="N7" i="3"/>
  <c r="AT50" i="3"/>
  <c r="AX78" i="3" s="1"/>
  <c r="AT51" i="3"/>
  <c r="AS58" i="3" s="1"/>
  <c r="Y267" i="3"/>
  <c r="X267" i="3"/>
  <c r="Z267" i="3" s="1"/>
  <c r="W268" i="3" s="1"/>
  <c r="B217" i="3"/>
  <c r="T216" i="3"/>
  <c r="E216" i="3"/>
  <c r="G216" i="3"/>
  <c r="D216" i="3"/>
  <c r="V216" i="3"/>
  <c r="N216" i="3"/>
  <c r="AS76" i="3"/>
  <c r="I5" i="3"/>
  <c r="J5" i="3" s="1"/>
  <c r="M5" i="3" s="1"/>
  <c r="O5" i="3" s="1"/>
  <c r="AW45" i="3"/>
  <c r="E165" i="3"/>
  <c r="B166" i="3"/>
  <c r="U165" i="3"/>
  <c r="V165" i="3"/>
  <c r="G165" i="3"/>
  <c r="D165" i="3"/>
  <c r="W165" i="3"/>
  <c r="AS57" i="3"/>
  <c r="AX57" i="3"/>
  <c r="AX59" i="3"/>
  <c r="AX58" i="3"/>
  <c r="AS56" i="3"/>
  <c r="AX56" i="3"/>
  <c r="AS59" i="3"/>
  <c r="E8" i="3"/>
  <c r="F8" i="3"/>
  <c r="V8" i="3"/>
  <c r="D8" i="3"/>
  <c r="U8" i="3"/>
  <c r="C8" i="3"/>
  <c r="B9" i="3"/>
  <c r="G8" i="3"/>
  <c r="B66" i="3"/>
  <c r="G65" i="3"/>
  <c r="X65" i="3"/>
  <c r="E65" i="3"/>
  <c r="W65" i="3"/>
  <c r="D65" i="3"/>
  <c r="V65" i="3"/>
  <c r="Y5" i="3"/>
  <c r="X5" i="3"/>
  <c r="Z5" i="3" s="1"/>
  <c r="W6" i="3" s="1"/>
  <c r="E269" i="3"/>
  <c r="D269" i="3"/>
  <c r="N269" i="3"/>
  <c r="V269" i="3"/>
  <c r="B270" i="3"/>
  <c r="T269" i="3"/>
  <c r="G269" i="3"/>
  <c r="N64" i="3"/>
  <c r="AY45" i="3"/>
  <c r="W114" i="3"/>
  <c r="D114" i="3"/>
  <c r="V114" i="3"/>
  <c r="B115" i="3"/>
  <c r="G114" i="3"/>
  <c r="E114" i="3"/>
  <c r="X114" i="3"/>
  <c r="AT52" i="3"/>
  <c r="AS78" i="3" l="1"/>
  <c r="AX77" i="3"/>
  <c r="AS79" i="3"/>
  <c r="AX79" i="3"/>
  <c r="AX76" i="3"/>
  <c r="AS77" i="3"/>
  <c r="Y268" i="3"/>
  <c r="X268" i="3"/>
  <c r="Z268" i="3" s="1"/>
  <c r="W269" i="3" s="1"/>
  <c r="W66" i="3"/>
  <c r="N66" i="3"/>
  <c r="D66" i="3"/>
  <c r="V66" i="3"/>
  <c r="B67" i="3"/>
  <c r="G66" i="3"/>
  <c r="E66" i="3"/>
  <c r="X66" i="3"/>
  <c r="V217" i="3"/>
  <c r="B218" i="3"/>
  <c r="T217" i="3"/>
  <c r="G217" i="3"/>
  <c r="N217" i="3"/>
  <c r="E217" i="3"/>
  <c r="D217" i="3"/>
  <c r="C217" i="3"/>
  <c r="G9" i="3"/>
  <c r="F9" i="3"/>
  <c r="E9" i="3"/>
  <c r="V9" i="3"/>
  <c r="D9" i="3"/>
  <c r="U9" i="3"/>
  <c r="C9" i="3"/>
  <c r="B10" i="3"/>
  <c r="N9" i="3" s="1"/>
  <c r="N65" i="3"/>
  <c r="N8" i="3"/>
  <c r="G270" i="3"/>
  <c r="E270" i="3"/>
  <c r="D270" i="3"/>
  <c r="N270" i="3"/>
  <c r="V270" i="3"/>
  <c r="B271" i="3"/>
  <c r="T270" i="3"/>
  <c r="T8" i="3"/>
  <c r="G115" i="3"/>
  <c r="X115" i="3"/>
  <c r="E115" i="3"/>
  <c r="W115" i="3"/>
  <c r="D115" i="3"/>
  <c r="V115" i="3"/>
  <c r="B116" i="3"/>
  <c r="Y6" i="3"/>
  <c r="Z6" i="3" s="1"/>
  <c r="W7" i="3" s="1"/>
  <c r="X6" i="3"/>
  <c r="P5" i="3"/>
  <c r="Q5" i="3"/>
  <c r="E166" i="3"/>
  <c r="B167" i="3"/>
  <c r="U166" i="3"/>
  <c r="G166" i="3"/>
  <c r="D166" i="3"/>
  <c r="N166" i="3"/>
  <c r="W166" i="3"/>
  <c r="V166" i="3"/>
  <c r="K5" i="3"/>
  <c r="H6" i="3" s="1"/>
  <c r="N114" i="3"/>
  <c r="AS67" i="3"/>
  <c r="AS65" i="3"/>
  <c r="AX67" i="3"/>
  <c r="AX65" i="3"/>
  <c r="AS66" i="3"/>
  <c r="AX68" i="3"/>
  <c r="AX66" i="3"/>
  <c r="AS68" i="3"/>
  <c r="N165" i="3"/>
  <c r="R5" i="3" l="1"/>
  <c r="Y269" i="3"/>
  <c r="X269" i="3"/>
  <c r="Z269" i="3" s="1"/>
  <c r="W270" i="3" s="1"/>
  <c r="B272" i="3"/>
  <c r="T271" i="3"/>
  <c r="G271" i="3"/>
  <c r="E271" i="3"/>
  <c r="D271" i="3"/>
  <c r="N271" i="3"/>
  <c r="V271" i="3"/>
  <c r="B117" i="3"/>
  <c r="G116" i="3"/>
  <c r="X116" i="3"/>
  <c r="E116" i="3"/>
  <c r="W116" i="3"/>
  <c r="N116" i="3"/>
  <c r="D116" i="3"/>
  <c r="V116" i="3"/>
  <c r="I6" i="3"/>
  <c r="J6" i="3" s="1"/>
  <c r="M6" i="3" s="1"/>
  <c r="O6" i="3" s="1"/>
  <c r="B11" i="3"/>
  <c r="N10" i="3" s="1"/>
  <c r="G10" i="3"/>
  <c r="F10" i="3"/>
  <c r="E10" i="3"/>
  <c r="V10" i="3"/>
  <c r="D10" i="3"/>
  <c r="U10" i="3"/>
  <c r="C10" i="3"/>
  <c r="H217" i="3"/>
  <c r="N218" i="3"/>
  <c r="C218" i="3"/>
  <c r="V218" i="3"/>
  <c r="B219" i="3"/>
  <c r="G218" i="3"/>
  <c r="D218" i="3"/>
  <c r="T218" i="3"/>
  <c r="E218" i="3"/>
  <c r="B68" i="3"/>
  <c r="G67" i="3"/>
  <c r="X67" i="3"/>
  <c r="E67" i="3"/>
  <c r="W67" i="3"/>
  <c r="N67" i="3"/>
  <c r="D67" i="3"/>
  <c r="V67" i="3"/>
  <c r="Y7" i="3"/>
  <c r="X7" i="3"/>
  <c r="N115" i="3"/>
  <c r="T9" i="3"/>
  <c r="E167" i="3"/>
  <c r="B168" i="3"/>
  <c r="U167" i="3"/>
  <c r="W167" i="3"/>
  <c r="V167" i="3"/>
  <c r="G167" i="3"/>
  <c r="D167" i="3"/>
  <c r="T10" i="3" l="1"/>
  <c r="Z7" i="3"/>
  <c r="W8" i="3" s="1"/>
  <c r="Y8" i="3" s="1"/>
  <c r="Y270" i="3"/>
  <c r="X270" i="3"/>
  <c r="Z270" i="3" s="1"/>
  <c r="W271" i="3" s="1"/>
  <c r="Q6" i="3"/>
  <c r="P6" i="3"/>
  <c r="B118" i="3"/>
  <c r="G117" i="3"/>
  <c r="X117" i="3"/>
  <c r="E117" i="3"/>
  <c r="D117" i="3"/>
  <c r="W117" i="3"/>
  <c r="V117" i="3"/>
  <c r="N117" i="3"/>
  <c r="H218" i="3"/>
  <c r="I217" i="3"/>
  <c r="J217" i="3" s="1"/>
  <c r="M217" i="3" s="1"/>
  <c r="N272" i="3"/>
  <c r="V272" i="3"/>
  <c r="B273" i="3"/>
  <c r="T272" i="3"/>
  <c r="G272" i="3"/>
  <c r="E272" i="3"/>
  <c r="D272" i="3"/>
  <c r="E168" i="3"/>
  <c r="B169" i="3"/>
  <c r="U168" i="3"/>
  <c r="W168" i="3"/>
  <c r="V168" i="3"/>
  <c r="G168" i="3"/>
  <c r="D168" i="3"/>
  <c r="N168" i="3"/>
  <c r="N167" i="3"/>
  <c r="W68" i="3"/>
  <c r="N68" i="3"/>
  <c r="D68" i="3"/>
  <c r="V68" i="3"/>
  <c r="B69" i="3"/>
  <c r="G68" i="3"/>
  <c r="X68" i="3"/>
  <c r="E68" i="3"/>
  <c r="D219" i="3"/>
  <c r="N219" i="3"/>
  <c r="C219" i="3"/>
  <c r="H219" i="3" s="1"/>
  <c r="V219" i="3"/>
  <c r="T219" i="3"/>
  <c r="B220" i="3"/>
  <c r="E219" i="3"/>
  <c r="G219" i="3"/>
  <c r="U11" i="3"/>
  <c r="C11" i="3"/>
  <c r="B12" i="3"/>
  <c r="N11" i="3" s="1"/>
  <c r="V11" i="3"/>
  <c r="G11" i="3"/>
  <c r="F11" i="3"/>
  <c r="D11" i="3"/>
  <c r="E11" i="3"/>
  <c r="K6" i="3"/>
  <c r="H7" i="3" s="1"/>
  <c r="T11" i="3" l="1"/>
  <c r="R6" i="3"/>
  <c r="X8" i="3"/>
  <c r="Z8" i="3" s="1"/>
  <c r="AT45" i="3" s="1"/>
  <c r="Y271" i="3"/>
  <c r="X271" i="3"/>
  <c r="Z271" i="3" s="1"/>
  <c r="W272" i="3" s="1"/>
  <c r="U12" i="3"/>
  <c r="C12" i="3"/>
  <c r="V12" i="3"/>
  <c r="B13" i="3"/>
  <c r="G12" i="3"/>
  <c r="F12" i="3"/>
  <c r="D12" i="3"/>
  <c r="E12" i="3"/>
  <c r="I218" i="3"/>
  <c r="J218" i="3" s="1"/>
  <c r="M218" i="3" s="1"/>
  <c r="I7" i="3"/>
  <c r="J7" i="3" s="1"/>
  <c r="M7" i="3" s="1"/>
  <c r="I219" i="3"/>
  <c r="J219" i="3" s="1"/>
  <c r="M219" i="3" s="1"/>
  <c r="G69" i="3"/>
  <c r="X69" i="3"/>
  <c r="E69" i="3"/>
  <c r="W69" i="3"/>
  <c r="D69" i="3"/>
  <c r="V69" i="3"/>
  <c r="B70" i="3"/>
  <c r="E169" i="3"/>
  <c r="B170" i="3"/>
  <c r="U169" i="3"/>
  <c r="V169" i="3"/>
  <c r="G169" i="3"/>
  <c r="D169" i="3"/>
  <c r="N169" i="3"/>
  <c r="W169" i="3"/>
  <c r="E273" i="3"/>
  <c r="D273" i="3"/>
  <c r="N273" i="3"/>
  <c r="V273" i="3"/>
  <c r="T273" i="3"/>
  <c r="B274" i="3"/>
  <c r="G273" i="3"/>
  <c r="W118" i="3"/>
  <c r="D118" i="3"/>
  <c r="V118" i="3"/>
  <c r="B119" i="3"/>
  <c r="G118" i="3"/>
  <c r="E118" i="3"/>
  <c r="X118" i="3"/>
  <c r="E220" i="3"/>
  <c r="D220" i="3"/>
  <c r="N220" i="3"/>
  <c r="C220" i="3"/>
  <c r="B221" i="3"/>
  <c r="G220" i="3"/>
  <c r="V220" i="3"/>
  <c r="T220" i="3"/>
  <c r="O7" i="3" l="1"/>
  <c r="Q7" i="3" s="1"/>
  <c r="W9" i="3"/>
  <c r="Y9" i="3" s="1"/>
  <c r="Y272" i="3"/>
  <c r="X272" i="3"/>
  <c r="Z272" i="3" s="1"/>
  <c r="W273" i="3" s="1"/>
  <c r="K7" i="3"/>
  <c r="H8" i="3" s="1"/>
  <c r="B71" i="3"/>
  <c r="N70" i="3" s="1"/>
  <c r="G70" i="3"/>
  <c r="X70" i="3"/>
  <c r="E70" i="3"/>
  <c r="W70" i="3"/>
  <c r="D70" i="3"/>
  <c r="V70" i="3"/>
  <c r="G13" i="3"/>
  <c r="F13" i="3"/>
  <c r="E13" i="3"/>
  <c r="B14" i="3"/>
  <c r="T13" i="3" s="1"/>
  <c r="V13" i="3"/>
  <c r="D13" i="3"/>
  <c r="U13" i="3"/>
  <c r="C13" i="3"/>
  <c r="H220" i="3"/>
  <c r="G119" i="3"/>
  <c r="X119" i="3"/>
  <c r="E119" i="3"/>
  <c r="W119" i="3"/>
  <c r="N119" i="3"/>
  <c r="D119" i="3"/>
  <c r="V119" i="3"/>
  <c r="B120" i="3"/>
  <c r="G221" i="3"/>
  <c r="E221" i="3"/>
  <c r="D221" i="3"/>
  <c r="V221" i="3"/>
  <c r="C221" i="3"/>
  <c r="B222" i="3"/>
  <c r="T221" i="3"/>
  <c r="N221" i="3"/>
  <c r="T274" i="3"/>
  <c r="B275" i="3"/>
  <c r="G274" i="3"/>
  <c r="E274" i="3"/>
  <c r="D274" i="3"/>
  <c r="N274" i="3"/>
  <c r="V274" i="3"/>
  <c r="N118" i="3"/>
  <c r="E170" i="3"/>
  <c r="V170" i="3"/>
  <c r="B171" i="3"/>
  <c r="U170" i="3"/>
  <c r="G170" i="3"/>
  <c r="D170" i="3"/>
  <c r="W170" i="3"/>
  <c r="N69" i="3"/>
  <c r="N12" i="3"/>
  <c r="T12" i="3"/>
  <c r="X9" i="3" l="1"/>
  <c r="Z9" i="3" s="1"/>
  <c r="W10" i="3" s="1"/>
  <c r="P7" i="3"/>
  <c r="R7" i="3" s="1"/>
  <c r="Y273" i="3"/>
  <c r="X273" i="3"/>
  <c r="Z273" i="3" s="1"/>
  <c r="W274" i="3" s="1"/>
  <c r="N275" i="3"/>
  <c r="V275" i="3"/>
  <c r="T275" i="3"/>
  <c r="B276" i="3"/>
  <c r="G275" i="3"/>
  <c r="E275" i="3"/>
  <c r="D275" i="3"/>
  <c r="I8" i="3"/>
  <c r="J8" i="3" s="1"/>
  <c r="M8" i="3" s="1"/>
  <c r="V71" i="3"/>
  <c r="B72" i="3"/>
  <c r="G71" i="3"/>
  <c r="X71" i="3"/>
  <c r="E71" i="3"/>
  <c r="D71" i="3"/>
  <c r="W71" i="3"/>
  <c r="N71" i="3"/>
  <c r="J220" i="3"/>
  <c r="M220" i="3" s="1"/>
  <c r="I220" i="3"/>
  <c r="E171" i="3"/>
  <c r="V171" i="3"/>
  <c r="B172" i="3"/>
  <c r="U171" i="3"/>
  <c r="G171" i="3"/>
  <c r="W171" i="3"/>
  <c r="D171" i="3"/>
  <c r="G14" i="3"/>
  <c r="F14" i="3"/>
  <c r="E14" i="3"/>
  <c r="B15" i="3"/>
  <c r="T14" i="3" s="1"/>
  <c r="V14" i="3"/>
  <c r="D14" i="3"/>
  <c r="U14" i="3"/>
  <c r="C14" i="3"/>
  <c r="G222" i="3"/>
  <c r="E222" i="3"/>
  <c r="N222" i="3"/>
  <c r="C222" i="3"/>
  <c r="H222" i="3" s="1"/>
  <c r="B223" i="3"/>
  <c r="D222" i="3"/>
  <c r="V222" i="3"/>
  <c r="T222" i="3"/>
  <c r="H221" i="3"/>
  <c r="B121" i="3"/>
  <c r="G120" i="3"/>
  <c r="X120" i="3"/>
  <c r="E120" i="3"/>
  <c r="W120" i="3"/>
  <c r="N120" i="3"/>
  <c r="D120" i="3"/>
  <c r="V120" i="3"/>
  <c r="N170" i="3"/>
  <c r="N13" i="3"/>
  <c r="X10" i="3" l="1"/>
  <c r="Y10" i="3"/>
  <c r="O8" i="3"/>
  <c r="Q8" i="3" s="1"/>
  <c r="Y274" i="3"/>
  <c r="Z274" i="3" s="1"/>
  <c r="W275" i="3" s="1"/>
  <c r="X274" i="3"/>
  <c r="I222" i="3"/>
  <c r="J222" i="3"/>
  <c r="M222" i="3" s="1"/>
  <c r="V223" i="3"/>
  <c r="B224" i="3"/>
  <c r="T223" i="3"/>
  <c r="E223" i="3"/>
  <c r="G223" i="3"/>
  <c r="D223" i="3"/>
  <c r="N223" i="3"/>
  <c r="C223" i="3"/>
  <c r="X72" i="3"/>
  <c r="E72" i="3"/>
  <c r="W72" i="3"/>
  <c r="N72" i="3"/>
  <c r="D72" i="3"/>
  <c r="V72" i="3"/>
  <c r="B73" i="3"/>
  <c r="G72" i="3"/>
  <c r="B122" i="3"/>
  <c r="G121" i="3"/>
  <c r="X121" i="3"/>
  <c r="E121" i="3"/>
  <c r="N121" i="3"/>
  <c r="D121" i="3"/>
  <c r="W121" i="3"/>
  <c r="V121" i="3"/>
  <c r="E172" i="3"/>
  <c r="V172" i="3"/>
  <c r="B173" i="3"/>
  <c r="U172" i="3"/>
  <c r="W172" i="3"/>
  <c r="N172" i="3"/>
  <c r="G172" i="3"/>
  <c r="D172" i="3"/>
  <c r="G276" i="3"/>
  <c r="E276" i="3"/>
  <c r="D276" i="3"/>
  <c r="N276" i="3"/>
  <c r="V276" i="3"/>
  <c r="B277" i="3"/>
  <c r="T276" i="3"/>
  <c r="I221" i="3"/>
  <c r="J221" i="3"/>
  <c r="M221" i="3" s="1"/>
  <c r="N171" i="3"/>
  <c r="E15" i="3"/>
  <c r="B16" i="3"/>
  <c r="V15" i="3"/>
  <c r="D15" i="3"/>
  <c r="U15" i="3"/>
  <c r="C15" i="3"/>
  <c r="F15" i="3"/>
  <c r="G15" i="3"/>
  <c r="K8" i="3"/>
  <c r="N14" i="3"/>
  <c r="Z10" i="3" l="1"/>
  <c r="W11" i="3" s="1"/>
  <c r="P8" i="3"/>
  <c r="R8" i="3" s="1"/>
  <c r="Y275" i="3"/>
  <c r="X275" i="3"/>
  <c r="Z275" i="3" s="1"/>
  <c r="W276" i="3" s="1"/>
  <c r="AU45" i="3"/>
  <c r="V277" i="3"/>
  <c r="T277" i="3"/>
  <c r="B278" i="3"/>
  <c r="G277" i="3"/>
  <c r="E277" i="3"/>
  <c r="D277" i="3"/>
  <c r="N277" i="3"/>
  <c r="AU76" i="3"/>
  <c r="G73" i="3"/>
  <c r="X73" i="3"/>
  <c r="E73" i="3"/>
  <c r="W73" i="3"/>
  <c r="N73" i="3"/>
  <c r="D73" i="3"/>
  <c r="V73" i="3"/>
  <c r="C73" i="3"/>
  <c r="B74" i="3"/>
  <c r="N224" i="3"/>
  <c r="C224" i="3"/>
  <c r="H224" i="3" s="1"/>
  <c r="V224" i="3"/>
  <c r="T224" i="3"/>
  <c r="G224" i="3"/>
  <c r="E224" i="3"/>
  <c r="B225" i="3"/>
  <c r="D224" i="3"/>
  <c r="U16" i="3"/>
  <c r="C16" i="3"/>
  <c r="D16" i="3"/>
  <c r="B17" i="3"/>
  <c r="N16" i="3" s="1"/>
  <c r="V16" i="3"/>
  <c r="G16" i="3"/>
  <c r="F16" i="3"/>
  <c r="E16" i="3"/>
  <c r="H223" i="3"/>
  <c r="N15" i="3"/>
  <c r="H9" i="3"/>
  <c r="AS45" i="3"/>
  <c r="T15" i="3"/>
  <c r="G173" i="3"/>
  <c r="E173" i="3"/>
  <c r="V173" i="3"/>
  <c r="B174" i="3"/>
  <c r="U173" i="3"/>
  <c r="N173" i="3"/>
  <c r="D173" i="3"/>
  <c r="W173" i="3"/>
  <c r="W122" i="3"/>
  <c r="N122" i="3"/>
  <c r="D122" i="3"/>
  <c r="V122" i="3"/>
  <c r="B123" i="3"/>
  <c r="X122" i="3"/>
  <c r="G122" i="3"/>
  <c r="E122" i="3"/>
  <c r="Y11" i="3" l="1"/>
  <c r="X11" i="3"/>
  <c r="Z11" i="3" s="1"/>
  <c r="W12" i="3" s="1"/>
  <c r="Y276" i="3"/>
  <c r="X276" i="3"/>
  <c r="Z276" i="3" s="1"/>
  <c r="W277" i="3" s="1"/>
  <c r="I9" i="3"/>
  <c r="J9" i="3" s="1"/>
  <c r="M9" i="3" s="1"/>
  <c r="O9" i="3" s="1"/>
  <c r="E225" i="3"/>
  <c r="D225" i="3"/>
  <c r="N225" i="3"/>
  <c r="C225" i="3"/>
  <c r="H225" i="3" s="1"/>
  <c r="V225" i="3"/>
  <c r="B226" i="3"/>
  <c r="G225" i="3"/>
  <c r="T225" i="3"/>
  <c r="I224" i="3"/>
  <c r="J224" i="3" s="1"/>
  <c r="M224" i="3" s="1"/>
  <c r="B75" i="3"/>
  <c r="G74" i="3"/>
  <c r="X74" i="3"/>
  <c r="E74" i="3"/>
  <c r="W74" i="3"/>
  <c r="N74" i="3"/>
  <c r="D74" i="3"/>
  <c r="V74" i="3"/>
  <c r="C74" i="3"/>
  <c r="AU75" i="3"/>
  <c r="AU64" i="3"/>
  <c r="AT75" i="3"/>
  <c r="O163" i="3" s="1"/>
  <c r="AT64" i="3"/>
  <c r="AT55" i="3"/>
  <c r="AU55" i="3"/>
  <c r="AV45" i="3"/>
  <c r="I223" i="3"/>
  <c r="J223" i="3" s="1"/>
  <c r="M223" i="3" s="1"/>
  <c r="G17" i="3"/>
  <c r="F17" i="3"/>
  <c r="U17" i="3"/>
  <c r="B18" i="3"/>
  <c r="N17" i="3" s="1"/>
  <c r="E17" i="3"/>
  <c r="D17" i="3"/>
  <c r="V17" i="3"/>
  <c r="C17" i="3"/>
  <c r="AV75" i="3"/>
  <c r="AV64" i="3"/>
  <c r="AV55" i="3"/>
  <c r="T16" i="3"/>
  <c r="T278" i="3"/>
  <c r="B279" i="3"/>
  <c r="D278" i="3"/>
  <c r="N278" i="3"/>
  <c r="C278" i="3"/>
  <c r="V278" i="3"/>
  <c r="G278" i="3"/>
  <c r="E278" i="3"/>
  <c r="G174" i="3"/>
  <c r="E174" i="3"/>
  <c r="V174" i="3"/>
  <c r="B175" i="3"/>
  <c r="U174" i="3"/>
  <c r="N174" i="3"/>
  <c r="D174" i="3"/>
  <c r="W174" i="3"/>
  <c r="AU56" i="3"/>
  <c r="G123" i="3"/>
  <c r="X123" i="3"/>
  <c r="E123" i="3"/>
  <c r="W123" i="3"/>
  <c r="N123" i="3"/>
  <c r="D123" i="3"/>
  <c r="V123" i="3"/>
  <c r="C123" i="3"/>
  <c r="B124" i="3"/>
  <c r="Y12" i="3" l="1"/>
  <c r="X12" i="3"/>
  <c r="Z12" i="3" s="1"/>
  <c r="W13" i="3" s="1"/>
  <c r="Y277" i="3"/>
  <c r="X277" i="3"/>
  <c r="Z277" i="3" s="1"/>
  <c r="W278" i="3" s="1"/>
  <c r="B280" i="3"/>
  <c r="G279" i="3"/>
  <c r="E279" i="3"/>
  <c r="N279" i="3"/>
  <c r="C279" i="3"/>
  <c r="D279" i="3"/>
  <c r="V279" i="3"/>
  <c r="T279" i="3"/>
  <c r="AS50" i="3"/>
  <c r="AS52" i="3"/>
  <c r="AS51" i="3"/>
  <c r="BH45" i="3" s="1"/>
  <c r="I225" i="3"/>
  <c r="J225" i="3" s="1"/>
  <c r="M225" i="3" s="1"/>
  <c r="V75" i="3"/>
  <c r="C75" i="3"/>
  <c r="G75" i="3"/>
  <c r="X75" i="3"/>
  <c r="E75" i="3"/>
  <c r="B76" i="3"/>
  <c r="W75" i="3"/>
  <c r="N75" i="3"/>
  <c r="D75" i="3"/>
  <c r="G18" i="3"/>
  <c r="F18" i="3"/>
  <c r="N18" i="3"/>
  <c r="E18" i="3"/>
  <c r="B19" i="3"/>
  <c r="V18" i="3"/>
  <c r="D18" i="3"/>
  <c r="C18" i="3"/>
  <c r="U18" i="3"/>
  <c r="T18" i="3"/>
  <c r="K9" i="3"/>
  <c r="H10" i="3" s="1"/>
  <c r="G175" i="3"/>
  <c r="E175" i="3"/>
  <c r="V175" i="3"/>
  <c r="C175" i="3"/>
  <c r="B176" i="3"/>
  <c r="U175" i="3"/>
  <c r="N175" i="3"/>
  <c r="D175" i="3"/>
  <c r="W175" i="3"/>
  <c r="AW55" i="3"/>
  <c r="O61" i="3"/>
  <c r="B125" i="3"/>
  <c r="G124" i="3"/>
  <c r="X124" i="3"/>
  <c r="E124" i="3"/>
  <c r="W124" i="3"/>
  <c r="N124" i="3"/>
  <c r="D124" i="3"/>
  <c r="V124" i="3"/>
  <c r="C124" i="3"/>
  <c r="AW64" i="3"/>
  <c r="O111" i="3"/>
  <c r="Q9" i="3"/>
  <c r="P9" i="3"/>
  <c r="R9" i="3" s="1"/>
  <c r="Q163" i="3"/>
  <c r="P163" i="3"/>
  <c r="R163" i="3" s="1"/>
  <c r="AW75" i="3"/>
  <c r="X163" i="3"/>
  <c r="G226" i="3"/>
  <c r="E226" i="3"/>
  <c r="N226" i="3"/>
  <c r="C226" i="3"/>
  <c r="D226" i="3"/>
  <c r="T226" i="3"/>
  <c r="B227" i="3"/>
  <c r="V226" i="3"/>
  <c r="H278" i="3"/>
  <c r="T17" i="3"/>
  <c r="W215" i="3"/>
  <c r="Y13" i="3" l="1"/>
  <c r="X13" i="3"/>
  <c r="Z13" i="3" s="1"/>
  <c r="W14" i="3" s="1"/>
  <c r="Y278" i="3"/>
  <c r="X278" i="3"/>
  <c r="Z278" i="3" s="1"/>
  <c r="W279" i="3" s="1"/>
  <c r="M164" i="3"/>
  <c r="O164" i="3" s="1"/>
  <c r="Y215" i="3"/>
  <c r="X215" i="3"/>
  <c r="I10" i="3"/>
  <c r="J10" i="3" s="1"/>
  <c r="M10" i="3" s="1"/>
  <c r="O10" i="3" s="1"/>
  <c r="B77" i="3"/>
  <c r="G76" i="3"/>
  <c r="X76" i="3"/>
  <c r="E76" i="3"/>
  <c r="W76" i="3"/>
  <c r="N76" i="3"/>
  <c r="D76" i="3"/>
  <c r="V76" i="3"/>
  <c r="C76" i="3"/>
  <c r="V280" i="3"/>
  <c r="T280" i="3"/>
  <c r="G280" i="3"/>
  <c r="E280" i="3"/>
  <c r="N280" i="3"/>
  <c r="D280" i="3"/>
  <c r="B281" i="3"/>
  <c r="C280" i="3"/>
  <c r="G176" i="3"/>
  <c r="E176" i="3"/>
  <c r="W176" i="3"/>
  <c r="N176" i="3"/>
  <c r="V176" i="3"/>
  <c r="C176" i="3"/>
  <c r="B177" i="3"/>
  <c r="U176" i="3"/>
  <c r="D176" i="3"/>
  <c r="H279" i="3"/>
  <c r="Q111" i="3"/>
  <c r="P111" i="3"/>
  <c r="R111" i="3" s="1"/>
  <c r="H226" i="3"/>
  <c r="B126" i="3"/>
  <c r="G125" i="3"/>
  <c r="X125" i="3"/>
  <c r="E125" i="3"/>
  <c r="W125" i="3"/>
  <c r="V125" i="3"/>
  <c r="N125" i="3"/>
  <c r="D125" i="3"/>
  <c r="C125" i="3"/>
  <c r="Q61" i="3"/>
  <c r="P61" i="3"/>
  <c r="Z163" i="3"/>
  <c r="Y163" i="3"/>
  <c r="AK244" i="3" s="1"/>
  <c r="F19" i="3"/>
  <c r="N19" i="3"/>
  <c r="E19" i="3"/>
  <c r="B20" i="3"/>
  <c r="V19" i="3"/>
  <c r="D19" i="3"/>
  <c r="U19" i="3"/>
  <c r="C19" i="3"/>
  <c r="T19" i="3"/>
  <c r="G19" i="3"/>
  <c r="I278" i="3"/>
  <c r="J278" i="3" s="1"/>
  <c r="M278" i="3" s="1"/>
  <c r="V227" i="3"/>
  <c r="B228" i="3"/>
  <c r="T227" i="3"/>
  <c r="E227" i="3"/>
  <c r="C227" i="3"/>
  <c r="H227" i="3" s="1"/>
  <c r="N227" i="3"/>
  <c r="G227" i="3"/>
  <c r="D227" i="3"/>
  <c r="Z14" i="3" l="1"/>
  <c r="W15" i="3" s="1"/>
  <c r="Y15" i="3" s="1"/>
  <c r="X14" i="3"/>
  <c r="Y14" i="3"/>
  <c r="K10" i="3"/>
  <c r="H11" i="3" s="1"/>
  <c r="I11" i="3" s="1"/>
  <c r="J11" i="3" s="1"/>
  <c r="M11" i="3" s="1"/>
  <c r="Z215" i="3"/>
  <c r="W216" i="3" s="1"/>
  <c r="X216" i="3" s="1"/>
  <c r="R61" i="3"/>
  <c r="M62" i="3" s="1"/>
  <c r="O62" i="3" s="1"/>
  <c r="Q10" i="3"/>
  <c r="P10" i="3"/>
  <c r="X164" i="3"/>
  <c r="T164" i="3"/>
  <c r="Q164" i="3"/>
  <c r="P164" i="3"/>
  <c r="Y279" i="3"/>
  <c r="X279" i="3"/>
  <c r="Z279" i="3" s="1"/>
  <c r="W280" i="3" s="1"/>
  <c r="I227" i="3"/>
  <c r="J227" i="3" s="1"/>
  <c r="M227" i="3" s="1"/>
  <c r="X77" i="3"/>
  <c r="E77" i="3"/>
  <c r="W77" i="3"/>
  <c r="N77" i="3"/>
  <c r="D77" i="3"/>
  <c r="V77" i="3"/>
  <c r="C77" i="3"/>
  <c r="B78" i="3"/>
  <c r="G77" i="3"/>
  <c r="M112" i="3"/>
  <c r="O112" i="3" s="1"/>
  <c r="J279" i="3"/>
  <c r="M279" i="3" s="1"/>
  <c r="I279" i="3"/>
  <c r="N228" i="3"/>
  <c r="C228" i="3"/>
  <c r="V228" i="3"/>
  <c r="B229" i="3"/>
  <c r="T228" i="3"/>
  <c r="G228" i="3"/>
  <c r="D228" i="3"/>
  <c r="E228" i="3"/>
  <c r="W126" i="3"/>
  <c r="N126" i="3"/>
  <c r="D126" i="3"/>
  <c r="V126" i="3"/>
  <c r="C126" i="3"/>
  <c r="B127" i="3"/>
  <c r="X126" i="3"/>
  <c r="G126" i="3"/>
  <c r="E126" i="3"/>
  <c r="G177" i="3"/>
  <c r="E177" i="3"/>
  <c r="W177" i="3"/>
  <c r="N177" i="3"/>
  <c r="D177" i="3"/>
  <c r="V177" i="3"/>
  <c r="C177" i="3"/>
  <c r="B178" i="3"/>
  <c r="U177" i="3"/>
  <c r="I226" i="3"/>
  <c r="J226" i="3" s="1"/>
  <c r="M226" i="3" s="1"/>
  <c r="H280" i="3"/>
  <c r="B21" i="3"/>
  <c r="V20" i="3"/>
  <c r="D20" i="3"/>
  <c r="U20" i="3"/>
  <c r="C20" i="3"/>
  <c r="T20" i="3"/>
  <c r="G20" i="3"/>
  <c r="N20" i="3"/>
  <c r="F20" i="3"/>
  <c r="E20" i="3"/>
  <c r="E281" i="3"/>
  <c r="D281" i="3"/>
  <c r="N281" i="3"/>
  <c r="C281" i="3"/>
  <c r="V281" i="3"/>
  <c r="T281" i="3"/>
  <c r="G281" i="3"/>
  <c r="B282" i="3"/>
  <c r="R164" i="3" l="1"/>
  <c r="X15" i="3"/>
  <c r="Z15" i="3" s="1"/>
  <c r="W16" i="3" s="1"/>
  <c r="Y16" i="3" s="1"/>
  <c r="Y216" i="3"/>
  <c r="Z216" i="3" s="1"/>
  <c r="W217" i="3" s="1"/>
  <c r="R10" i="3"/>
  <c r="O11" i="3" s="1"/>
  <c r="Q11" i="3" s="1"/>
  <c r="Y280" i="3"/>
  <c r="X280" i="3"/>
  <c r="Z280" i="3" s="1"/>
  <c r="W281" i="3" s="1"/>
  <c r="M165" i="3"/>
  <c r="O165" i="3" s="1"/>
  <c r="Q62" i="3"/>
  <c r="P62" i="3"/>
  <c r="P11" i="3"/>
  <c r="Q112" i="3"/>
  <c r="P112" i="3"/>
  <c r="T282" i="3"/>
  <c r="B283" i="3"/>
  <c r="G282" i="3"/>
  <c r="D282" i="3"/>
  <c r="N282" i="3"/>
  <c r="C282" i="3"/>
  <c r="E282" i="3"/>
  <c r="V282" i="3"/>
  <c r="K11" i="3"/>
  <c r="H12" i="3" s="1"/>
  <c r="H228" i="3"/>
  <c r="G127" i="3"/>
  <c r="X127" i="3"/>
  <c r="E127" i="3"/>
  <c r="W127" i="3"/>
  <c r="N127" i="3"/>
  <c r="D127" i="3"/>
  <c r="V127" i="3"/>
  <c r="C127" i="3"/>
  <c r="B128" i="3"/>
  <c r="B79" i="3"/>
  <c r="G78" i="3"/>
  <c r="X78" i="3"/>
  <c r="E78" i="3"/>
  <c r="W78" i="3"/>
  <c r="N78" i="3"/>
  <c r="D78" i="3"/>
  <c r="V78" i="3"/>
  <c r="C78" i="3"/>
  <c r="H281" i="3"/>
  <c r="Z164" i="3"/>
  <c r="Y164" i="3"/>
  <c r="G178" i="3"/>
  <c r="E178" i="3"/>
  <c r="W178" i="3"/>
  <c r="N178" i="3"/>
  <c r="D178" i="3"/>
  <c r="V178" i="3"/>
  <c r="C178" i="3"/>
  <c r="B179" i="3"/>
  <c r="U178" i="3"/>
  <c r="U21" i="3"/>
  <c r="C21" i="3"/>
  <c r="T21" i="3"/>
  <c r="G21" i="3"/>
  <c r="F21" i="3"/>
  <c r="N21" i="3"/>
  <c r="E21" i="3"/>
  <c r="B22" i="3"/>
  <c r="V21" i="3"/>
  <c r="D21" i="3"/>
  <c r="J280" i="3"/>
  <c r="M280" i="3" s="1"/>
  <c r="I280" i="3"/>
  <c r="G229" i="3"/>
  <c r="E229" i="3"/>
  <c r="D229" i="3"/>
  <c r="N229" i="3"/>
  <c r="C229" i="3"/>
  <c r="H229" i="3" s="1"/>
  <c r="V229" i="3"/>
  <c r="T229" i="3"/>
  <c r="B230" i="3"/>
  <c r="AK245" i="3" l="1"/>
  <c r="X217" i="3"/>
  <c r="Y217" i="3"/>
  <c r="X16" i="3"/>
  <c r="Z16" i="3" s="1"/>
  <c r="W17" i="3" s="1"/>
  <c r="Y17" i="3" s="1"/>
  <c r="R62" i="3"/>
  <c r="M63" i="3" s="1"/>
  <c r="O63" i="3" s="1"/>
  <c r="R112" i="3"/>
  <c r="X17" i="3"/>
  <c r="Z17" i="3" s="1"/>
  <c r="W18" i="3" s="1"/>
  <c r="Y18" i="3" s="1"/>
  <c r="R11" i="3"/>
  <c r="X165" i="3"/>
  <c r="T165" i="3"/>
  <c r="Q165" i="3"/>
  <c r="P165" i="3"/>
  <c r="R165" i="3" s="1"/>
  <c r="M113" i="3"/>
  <c r="O113" i="3" s="1"/>
  <c r="Y281" i="3"/>
  <c r="X281" i="3"/>
  <c r="Z281" i="3" s="1"/>
  <c r="W282" i="3" s="1"/>
  <c r="I228" i="3"/>
  <c r="J228" i="3" s="1"/>
  <c r="M228" i="3" s="1"/>
  <c r="N283" i="3"/>
  <c r="C283" i="3"/>
  <c r="H283" i="3" s="1"/>
  <c r="V283" i="3"/>
  <c r="B284" i="3"/>
  <c r="G283" i="3"/>
  <c r="E283" i="3"/>
  <c r="D283" i="3"/>
  <c r="T283" i="3"/>
  <c r="J229" i="3"/>
  <c r="M229" i="3" s="1"/>
  <c r="I229" i="3"/>
  <c r="G22" i="3"/>
  <c r="F22" i="3"/>
  <c r="N22" i="3"/>
  <c r="E22" i="3"/>
  <c r="B23" i="3"/>
  <c r="V22" i="3"/>
  <c r="D22" i="3"/>
  <c r="U22" i="3"/>
  <c r="C22" i="3"/>
  <c r="T22" i="3"/>
  <c r="I281" i="3"/>
  <c r="J281" i="3" s="1"/>
  <c r="M281" i="3" s="1"/>
  <c r="I12" i="3"/>
  <c r="J12" i="3" s="1"/>
  <c r="M12" i="3" s="1"/>
  <c r="B231" i="3"/>
  <c r="T230" i="3"/>
  <c r="G230" i="3"/>
  <c r="E230" i="3"/>
  <c r="D230" i="3"/>
  <c r="N230" i="3"/>
  <c r="C230" i="3"/>
  <c r="V230" i="3"/>
  <c r="X79" i="3"/>
  <c r="E79" i="3"/>
  <c r="W79" i="3"/>
  <c r="N79" i="3"/>
  <c r="D79" i="3"/>
  <c r="V79" i="3"/>
  <c r="C79" i="3"/>
  <c r="B80" i="3"/>
  <c r="G79" i="3"/>
  <c r="H282" i="3"/>
  <c r="G179" i="3"/>
  <c r="E179" i="3"/>
  <c r="W179" i="3"/>
  <c r="N179" i="3"/>
  <c r="D179" i="3"/>
  <c r="V179" i="3"/>
  <c r="C179" i="3"/>
  <c r="B180" i="3"/>
  <c r="U179" i="3"/>
  <c r="B129" i="3"/>
  <c r="G128" i="3"/>
  <c r="X128" i="3"/>
  <c r="E128" i="3"/>
  <c r="W128" i="3"/>
  <c r="N128" i="3"/>
  <c r="D128" i="3"/>
  <c r="V128" i="3"/>
  <c r="C128" i="3"/>
  <c r="X18" i="3" l="1"/>
  <c r="Z18" i="3" s="1"/>
  <c r="W19" i="3" s="1"/>
  <c r="Z217" i="3"/>
  <c r="W218" i="3" s="1"/>
  <c r="Y218" i="3" s="1"/>
  <c r="O12" i="3"/>
  <c r="Q12" i="3" s="1"/>
  <c r="K12" i="3"/>
  <c r="H13" i="3" s="1"/>
  <c r="I13" i="3" s="1"/>
  <c r="J13" i="3" s="1"/>
  <c r="M13" i="3" s="1"/>
  <c r="X218" i="3"/>
  <c r="Z218" i="3" s="1"/>
  <c r="W219" i="3" s="1"/>
  <c r="Y219" i="3" s="1"/>
  <c r="M166" i="3"/>
  <c r="O166" i="3" s="1"/>
  <c r="P12" i="3"/>
  <c r="Y19" i="3"/>
  <c r="X19" i="3"/>
  <c r="Q63" i="3"/>
  <c r="P63" i="3"/>
  <c r="R63" i="3" s="1"/>
  <c r="Y282" i="3"/>
  <c r="X282" i="3"/>
  <c r="Z282" i="3" s="1"/>
  <c r="W283" i="3" s="1"/>
  <c r="Q113" i="3"/>
  <c r="P113" i="3"/>
  <c r="I283" i="3"/>
  <c r="J283" i="3" s="1"/>
  <c r="M283" i="3" s="1"/>
  <c r="I282" i="3"/>
  <c r="J282" i="3"/>
  <c r="M282" i="3" s="1"/>
  <c r="Z165" i="3"/>
  <c r="Y165" i="3"/>
  <c r="AK246" i="3" s="1"/>
  <c r="B130" i="3"/>
  <c r="G129" i="3"/>
  <c r="X129" i="3"/>
  <c r="E129" i="3"/>
  <c r="W129" i="3"/>
  <c r="V129" i="3"/>
  <c r="N129" i="3"/>
  <c r="D129" i="3"/>
  <c r="C129" i="3"/>
  <c r="G80" i="3"/>
  <c r="X80" i="3"/>
  <c r="E80" i="3"/>
  <c r="W80" i="3"/>
  <c r="N80" i="3"/>
  <c r="D80" i="3"/>
  <c r="V80" i="3"/>
  <c r="C80" i="3"/>
  <c r="B81" i="3"/>
  <c r="G23" i="3"/>
  <c r="F23" i="3"/>
  <c r="N23" i="3"/>
  <c r="E23" i="3"/>
  <c r="B24" i="3"/>
  <c r="V23" i="3"/>
  <c r="D23" i="3"/>
  <c r="U23" i="3"/>
  <c r="C23" i="3"/>
  <c r="T23" i="3"/>
  <c r="H230" i="3"/>
  <c r="V231" i="3"/>
  <c r="T231" i="3"/>
  <c r="B232" i="3"/>
  <c r="G231" i="3"/>
  <c r="E231" i="3"/>
  <c r="N231" i="3"/>
  <c r="D231" i="3"/>
  <c r="C231" i="3"/>
  <c r="H231" i="3" s="1"/>
  <c r="G284" i="3"/>
  <c r="E284" i="3"/>
  <c r="D284" i="3"/>
  <c r="V284" i="3"/>
  <c r="N284" i="3"/>
  <c r="C284" i="3"/>
  <c r="H284" i="3" s="1"/>
  <c r="B285" i="3"/>
  <c r="T284" i="3"/>
  <c r="G180" i="3"/>
  <c r="E180" i="3"/>
  <c r="W180" i="3"/>
  <c r="N180" i="3"/>
  <c r="D180" i="3"/>
  <c r="V180" i="3"/>
  <c r="C180" i="3"/>
  <c r="B181" i="3"/>
  <c r="U180" i="3"/>
  <c r="X219" i="3" l="1"/>
  <c r="Z219" i="3" s="1"/>
  <c r="W220" i="3" s="1"/>
  <c r="Y220" i="3" s="1"/>
  <c r="R12" i="3"/>
  <c r="O13" i="3" s="1"/>
  <c r="Q13" i="3" s="1"/>
  <c r="R113" i="3"/>
  <c r="Z19" i="3"/>
  <c r="W20" i="3" s="1"/>
  <c r="X20" i="3" s="1"/>
  <c r="K13" i="3"/>
  <c r="H14" i="3" s="1"/>
  <c r="M64" i="3"/>
  <c r="O64" i="3"/>
  <c r="Y20" i="3"/>
  <c r="M114" i="3"/>
  <c r="O114" i="3" s="1"/>
  <c r="X166" i="3"/>
  <c r="T166" i="3"/>
  <c r="Z283" i="3"/>
  <c r="W284" i="3" s="1"/>
  <c r="Y283" i="3"/>
  <c r="X283" i="3"/>
  <c r="Q166" i="3"/>
  <c r="P166" i="3"/>
  <c r="I284" i="3"/>
  <c r="J284" i="3" s="1"/>
  <c r="M284" i="3" s="1"/>
  <c r="V285" i="3"/>
  <c r="T285" i="3"/>
  <c r="B286" i="3"/>
  <c r="E285" i="3"/>
  <c r="D285" i="3"/>
  <c r="N285" i="3"/>
  <c r="G285" i="3"/>
  <c r="C285" i="3"/>
  <c r="H285" i="3" s="1"/>
  <c r="N24" i="3"/>
  <c r="E24" i="3"/>
  <c r="B25" i="3"/>
  <c r="V24" i="3"/>
  <c r="D24" i="3"/>
  <c r="U24" i="3"/>
  <c r="C24" i="3"/>
  <c r="T24" i="3"/>
  <c r="G24" i="3"/>
  <c r="F24" i="3"/>
  <c r="G181" i="3"/>
  <c r="E181" i="3"/>
  <c r="W181" i="3"/>
  <c r="N181" i="3"/>
  <c r="D181" i="3"/>
  <c r="V181" i="3"/>
  <c r="C181" i="3"/>
  <c r="B182" i="3"/>
  <c r="U181" i="3"/>
  <c r="I230" i="3"/>
  <c r="J230" i="3"/>
  <c r="M230" i="3" s="1"/>
  <c r="I231" i="3"/>
  <c r="J231" i="3" s="1"/>
  <c r="M231" i="3" s="1"/>
  <c r="I14" i="3"/>
  <c r="J14" i="3" s="1"/>
  <c r="M14" i="3" s="1"/>
  <c r="W130" i="3"/>
  <c r="N130" i="3"/>
  <c r="D130" i="3"/>
  <c r="V130" i="3"/>
  <c r="C130" i="3"/>
  <c r="B131" i="3"/>
  <c r="G130" i="3"/>
  <c r="E130" i="3"/>
  <c r="X130" i="3"/>
  <c r="N232" i="3"/>
  <c r="C232" i="3"/>
  <c r="G232" i="3"/>
  <c r="B233" i="3"/>
  <c r="E232" i="3"/>
  <c r="D232" i="3"/>
  <c r="V232" i="3"/>
  <c r="T232" i="3"/>
  <c r="B82" i="3"/>
  <c r="G81" i="3"/>
  <c r="X81" i="3"/>
  <c r="E81" i="3"/>
  <c r="W81" i="3"/>
  <c r="N81" i="3"/>
  <c r="D81" i="3"/>
  <c r="V81" i="3"/>
  <c r="C81" i="3"/>
  <c r="Z20" i="3" l="1"/>
  <c r="W21" i="3" s="1"/>
  <c r="R166" i="3"/>
  <c r="K14" i="3"/>
  <c r="H15" i="3" s="1"/>
  <c r="I15" i="3" s="1"/>
  <c r="J15" i="3" s="1"/>
  <c r="M15" i="3" s="1"/>
  <c r="P13" i="3"/>
  <c r="R13" i="3" s="1"/>
  <c r="O14" i="3" s="1"/>
  <c r="Q14" i="3" s="1"/>
  <c r="X220" i="3"/>
  <c r="Z220" i="3" s="1"/>
  <c r="W221" i="3" s="1"/>
  <c r="X221" i="3" s="1"/>
  <c r="Y21" i="3"/>
  <c r="X21" i="3"/>
  <c r="Z21" i="3" s="1"/>
  <c r="W22" i="3" s="1"/>
  <c r="M167" i="3"/>
  <c r="O167" i="3" s="1"/>
  <c r="Q114" i="3"/>
  <c r="P114" i="3"/>
  <c r="R114" i="3" s="1"/>
  <c r="I285" i="3"/>
  <c r="J285" i="3" s="1"/>
  <c r="M285" i="3" s="1"/>
  <c r="G182" i="3"/>
  <c r="E182" i="3"/>
  <c r="N182" i="3"/>
  <c r="D182" i="3"/>
  <c r="W182" i="3"/>
  <c r="C182" i="3"/>
  <c r="V182" i="3"/>
  <c r="U182" i="3"/>
  <c r="B183" i="3"/>
  <c r="E233" i="3"/>
  <c r="N233" i="3"/>
  <c r="C233" i="3"/>
  <c r="V233" i="3"/>
  <c r="T233" i="3"/>
  <c r="D233" i="3"/>
  <c r="B234" i="3"/>
  <c r="G233" i="3"/>
  <c r="Z166" i="3"/>
  <c r="Y166" i="3"/>
  <c r="V82" i="3"/>
  <c r="C82" i="3"/>
  <c r="B83" i="3"/>
  <c r="G82" i="3"/>
  <c r="X82" i="3"/>
  <c r="E82" i="3"/>
  <c r="W82" i="3"/>
  <c r="N82" i="3"/>
  <c r="D82" i="3"/>
  <c r="H232" i="3"/>
  <c r="G131" i="3"/>
  <c r="X131" i="3"/>
  <c r="E131" i="3"/>
  <c r="W131" i="3"/>
  <c r="N131" i="3"/>
  <c r="D131" i="3"/>
  <c r="V131" i="3"/>
  <c r="C131" i="3"/>
  <c r="B132" i="3"/>
  <c r="U25" i="3"/>
  <c r="C25" i="3"/>
  <c r="T25" i="3"/>
  <c r="G25" i="3"/>
  <c r="F25" i="3"/>
  <c r="N25" i="3"/>
  <c r="E25" i="3"/>
  <c r="B26" i="3"/>
  <c r="V25" i="3"/>
  <c r="D25" i="3"/>
  <c r="D286" i="3"/>
  <c r="N286" i="3"/>
  <c r="C286" i="3"/>
  <c r="T286" i="3"/>
  <c r="B287" i="3"/>
  <c r="G286" i="3"/>
  <c r="E286" i="3"/>
  <c r="V286" i="3"/>
  <c r="Q64" i="3"/>
  <c r="P64" i="3"/>
  <c r="Y284" i="3"/>
  <c r="X284" i="3"/>
  <c r="Z284" i="3" s="1"/>
  <c r="W285" i="3" s="1"/>
  <c r="P14" i="3" l="1"/>
  <c r="R14" i="3" s="1"/>
  <c r="Y221" i="3"/>
  <c r="Z221" i="3" s="1"/>
  <c r="W222" i="3" s="1"/>
  <c r="AK247" i="3"/>
  <c r="R64" i="3"/>
  <c r="K15" i="3"/>
  <c r="H16" i="3" s="1"/>
  <c r="I16" i="3" s="1"/>
  <c r="J16" i="3" s="1"/>
  <c r="M16" i="3" s="1"/>
  <c r="O15" i="3"/>
  <c r="P15" i="3" s="1"/>
  <c r="M115" i="3"/>
  <c r="O115" i="3" s="1"/>
  <c r="Q167" i="3"/>
  <c r="P167" i="3"/>
  <c r="Y22" i="3"/>
  <c r="X22" i="3"/>
  <c r="Y285" i="3"/>
  <c r="Z285" i="3" s="1"/>
  <c r="W286" i="3" s="1"/>
  <c r="X285" i="3"/>
  <c r="X167" i="3"/>
  <c r="T167" i="3"/>
  <c r="I232" i="3"/>
  <c r="J232" i="3" s="1"/>
  <c r="M232" i="3" s="1"/>
  <c r="X83" i="3"/>
  <c r="E83" i="3"/>
  <c r="W83" i="3"/>
  <c r="N83" i="3"/>
  <c r="D83" i="3"/>
  <c r="V83" i="3"/>
  <c r="C83" i="3"/>
  <c r="B84" i="3"/>
  <c r="G83" i="3"/>
  <c r="H233" i="3"/>
  <c r="M65" i="3"/>
  <c r="O65" i="3" s="1"/>
  <c r="B133" i="3"/>
  <c r="G132" i="3"/>
  <c r="X132" i="3"/>
  <c r="E132" i="3"/>
  <c r="W132" i="3"/>
  <c r="N132" i="3"/>
  <c r="D132" i="3"/>
  <c r="V132" i="3"/>
  <c r="C132" i="3"/>
  <c r="U183" i="3"/>
  <c r="B184" i="3"/>
  <c r="G183" i="3"/>
  <c r="E183" i="3"/>
  <c r="D183" i="3"/>
  <c r="N183" i="3"/>
  <c r="C183" i="3"/>
  <c r="W183" i="3"/>
  <c r="V183" i="3"/>
  <c r="B288" i="3"/>
  <c r="G287" i="3"/>
  <c r="E287" i="3"/>
  <c r="N287" i="3"/>
  <c r="C287" i="3"/>
  <c r="D287" i="3"/>
  <c r="V287" i="3"/>
  <c r="T287" i="3"/>
  <c r="AU78" i="3"/>
  <c r="AU77" i="3"/>
  <c r="AU79" i="3"/>
  <c r="G26" i="3"/>
  <c r="F26" i="3"/>
  <c r="N26" i="3"/>
  <c r="E26" i="3"/>
  <c r="B27" i="3"/>
  <c r="V26" i="3"/>
  <c r="D26" i="3"/>
  <c r="U26" i="3"/>
  <c r="C26" i="3"/>
  <c r="T26" i="3"/>
  <c r="H286" i="3"/>
  <c r="E234" i="3"/>
  <c r="N234" i="3"/>
  <c r="C234" i="3"/>
  <c r="G234" i="3"/>
  <c r="V234" i="3"/>
  <c r="D234" i="3"/>
  <c r="T234" i="3"/>
  <c r="B235" i="3"/>
  <c r="Y222" i="3" l="1"/>
  <c r="X222" i="3"/>
  <c r="Q15" i="3"/>
  <c r="R15" i="3" s="1"/>
  <c r="O16" i="3" s="1"/>
  <c r="Z22" i="3"/>
  <c r="W23" i="3" s="1"/>
  <c r="R167" i="3"/>
  <c r="M168" i="3" s="1"/>
  <c r="O168" i="3" s="1"/>
  <c r="Y23" i="3"/>
  <c r="X23" i="3"/>
  <c r="Q65" i="3"/>
  <c r="P65" i="3"/>
  <c r="Y286" i="3"/>
  <c r="X286" i="3"/>
  <c r="Z286" i="3" s="1"/>
  <c r="W287" i="3" s="1"/>
  <c r="Q115" i="3"/>
  <c r="P115" i="3"/>
  <c r="G84" i="3"/>
  <c r="X84" i="3"/>
  <c r="E84" i="3"/>
  <c r="W84" i="3"/>
  <c r="N84" i="3"/>
  <c r="D84" i="3"/>
  <c r="V84" i="3"/>
  <c r="C84" i="3"/>
  <c r="B85" i="3"/>
  <c r="X133" i="3"/>
  <c r="B134" i="3"/>
  <c r="G133" i="3"/>
  <c r="E133" i="3"/>
  <c r="D133" i="3"/>
  <c r="C133" i="3"/>
  <c r="W133" i="3"/>
  <c r="V133" i="3"/>
  <c r="N133" i="3"/>
  <c r="K16" i="3"/>
  <c r="H17" i="3" s="1"/>
  <c r="V288" i="3"/>
  <c r="T288" i="3"/>
  <c r="G288" i="3"/>
  <c r="E288" i="3"/>
  <c r="N288" i="3"/>
  <c r="D288" i="3"/>
  <c r="B289" i="3"/>
  <c r="C288" i="3"/>
  <c r="J233" i="3"/>
  <c r="M233" i="3" s="1"/>
  <c r="I233" i="3"/>
  <c r="H234" i="3"/>
  <c r="G27" i="3"/>
  <c r="F27" i="3"/>
  <c r="N27" i="3"/>
  <c r="E27" i="3"/>
  <c r="B28" i="3"/>
  <c r="V27" i="3"/>
  <c r="D27" i="3"/>
  <c r="U27" i="3"/>
  <c r="C27" i="3"/>
  <c r="T27" i="3"/>
  <c r="H287" i="3"/>
  <c r="N184" i="3"/>
  <c r="C184" i="3"/>
  <c r="W184" i="3"/>
  <c r="V184" i="3"/>
  <c r="U184" i="3"/>
  <c r="B185" i="3"/>
  <c r="G184" i="3"/>
  <c r="E184" i="3"/>
  <c r="D184" i="3"/>
  <c r="Z167" i="3"/>
  <c r="Y167" i="3"/>
  <c r="AK248" i="3" s="1"/>
  <c r="I286" i="3"/>
  <c r="J286" i="3" s="1"/>
  <c r="M286" i="3" s="1"/>
  <c r="V235" i="3"/>
  <c r="E235" i="3"/>
  <c r="B236" i="3"/>
  <c r="N235" i="3"/>
  <c r="G235" i="3"/>
  <c r="D235" i="3"/>
  <c r="T235" i="3"/>
  <c r="C235" i="3"/>
  <c r="AV78" i="3"/>
  <c r="Z222" i="3" l="1"/>
  <c r="W223" i="3" s="1"/>
  <c r="Y223" i="3" s="1"/>
  <c r="Z23" i="3"/>
  <c r="W24" i="3" s="1"/>
  <c r="Y24" i="3" s="1"/>
  <c r="X223" i="3"/>
  <c r="Z223" i="3" s="1"/>
  <c r="W224" i="3" s="1"/>
  <c r="R65" i="3"/>
  <c r="Q16" i="3"/>
  <c r="P16" i="3"/>
  <c r="R115" i="3"/>
  <c r="M116" i="3"/>
  <c r="O116" i="3" s="1"/>
  <c r="X24" i="3"/>
  <c r="Q168" i="3"/>
  <c r="P168" i="3"/>
  <c r="M66" i="3"/>
  <c r="O66" i="3" s="1"/>
  <c r="X168" i="3"/>
  <c r="T168" i="3"/>
  <c r="Y287" i="3"/>
  <c r="X287" i="3"/>
  <c r="Z287" i="3" s="1"/>
  <c r="W288" i="3" s="1"/>
  <c r="H235" i="3"/>
  <c r="N28" i="3"/>
  <c r="E28" i="3"/>
  <c r="B29" i="3"/>
  <c r="V28" i="3"/>
  <c r="D28" i="3"/>
  <c r="U28" i="3"/>
  <c r="C28" i="3"/>
  <c r="T28" i="3"/>
  <c r="G28" i="3"/>
  <c r="F28" i="3"/>
  <c r="B86" i="3"/>
  <c r="G85" i="3"/>
  <c r="X85" i="3"/>
  <c r="E85" i="3"/>
  <c r="W85" i="3"/>
  <c r="N85" i="3"/>
  <c r="D85" i="3"/>
  <c r="V85" i="3"/>
  <c r="C85" i="3"/>
  <c r="I287" i="3"/>
  <c r="J287" i="3" s="1"/>
  <c r="M287" i="3" s="1"/>
  <c r="E289" i="3"/>
  <c r="D289" i="3"/>
  <c r="N289" i="3"/>
  <c r="C289" i="3"/>
  <c r="V289" i="3"/>
  <c r="T289" i="3"/>
  <c r="G289" i="3"/>
  <c r="B290" i="3"/>
  <c r="I17" i="3"/>
  <c r="J17" i="3" s="1"/>
  <c r="M17" i="3" s="1"/>
  <c r="E185" i="3"/>
  <c r="V185" i="3"/>
  <c r="U185" i="3"/>
  <c r="G185" i="3"/>
  <c r="B186" i="3"/>
  <c r="D185" i="3"/>
  <c r="C185" i="3"/>
  <c r="N185" i="3"/>
  <c r="W185" i="3"/>
  <c r="I234" i="3"/>
  <c r="J234" i="3"/>
  <c r="M234" i="3" s="1"/>
  <c r="H288" i="3"/>
  <c r="N236" i="3"/>
  <c r="C236" i="3"/>
  <c r="V236" i="3"/>
  <c r="B237" i="3"/>
  <c r="G236" i="3"/>
  <c r="T236" i="3"/>
  <c r="E236" i="3"/>
  <c r="D236" i="3"/>
  <c r="B135" i="3"/>
  <c r="E134" i="3"/>
  <c r="D134" i="3"/>
  <c r="X134" i="3"/>
  <c r="N134" i="3"/>
  <c r="C134" i="3"/>
  <c r="W134" i="3"/>
  <c r="V134" i="3"/>
  <c r="G134" i="3"/>
  <c r="Y224" i="3" l="1"/>
  <c r="Z224" i="3" s="1"/>
  <c r="W225" i="3" s="1"/>
  <c r="X224" i="3"/>
  <c r="R168" i="3"/>
  <c r="Z24" i="3"/>
  <c r="W25" i="3" s="1"/>
  <c r="Y25" i="3" s="1"/>
  <c r="R16" i="3"/>
  <c r="O17" i="3" s="1"/>
  <c r="Y288" i="3"/>
  <c r="X288" i="3"/>
  <c r="Z288" i="3" s="1"/>
  <c r="W289" i="3" s="1"/>
  <c r="M169" i="3"/>
  <c r="O169" i="3" s="1"/>
  <c r="Q116" i="3"/>
  <c r="P116" i="3"/>
  <c r="I288" i="3"/>
  <c r="J288" i="3" s="1"/>
  <c r="M288" i="3" s="1"/>
  <c r="T290" i="3"/>
  <c r="B291" i="3"/>
  <c r="G290" i="3"/>
  <c r="D290" i="3"/>
  <c r="N290" i="3"/>
  <c r="C290" i="3"/>
  <c r="E290" i="3"/>
  <c r="V290" i="3"/>
  <c r="C266" i="3"/>
  <c r="C61" i="3"/>
  <c r="U29" i="3"/>
  <c r="C29" i="3"/>
  <c r="T29" i="3"/>
  <c r="G29" i="3"/>
  <c r="F29" i="3"/>
  <c r="B30" i="3"/>
  <c r="N29" i="3"/>
  <c r="E29" i="3"/>
  <c r="V29" i="3"/>
  <c r="D29" i="3"/>
  <c r="C163" i="3"/>
  <c r="C111" i="3"/>
  <c r="C215" i="3"/>
  <c r="Z168" i="3"/>
  <c r="Y168" i="3"/>
  <c r="E186" i="3"/>
  <c r="G186" i="3"/>
  <c r="B187" i="3"/>
  <c r="D186" i="3"/>
  <c r="C186" i="3"/>
  <c r="N186" i="3"/>
  <c r="W186" i="3"/>
  <c r="V186" i="3"/>
  <c r="U186" i="3"/>
  <c r="E237" i="3"/>
  <c r="N237" i="3"/>
  <c r="C237" i="3"/>
  <c r="V237" i="3"/>
  <c r="G237" i="3"/>
  <c r="T237" i="3"/>
  <c r="D237" i="3"/>
  <c r="B238" i="3"/>
  <c r="J235" i="3"/>
  <c r="M235" i="3" s="1"/>
  <c r="I235" i="3"/>
  <c r="W135" i="3"/>
  <c r="V135" i="3"/>
  <c r="B136" i="3"/>
  <c r="G135" i="3"/>
  <c r="E135" i="3"/>
  <c r="X135" i="3"/>
  <c r="N135" i="3"/>
  <c r="D135" i="3"/>
  <c r="C135" i="3"/>
  <c r="H289" i="3"/>
  <c r="H236" i="3"/>
  <c r="Q66" i="3"/>
  <c r="P66" i="3"/>
  <c r="R66" i="3" s="1"/>
  <c r="K17" i="3"/>
  <c r="H18" i="3" s="1"/>
  <c r="V86" i="3"/>
  <c r="C86" i="3"/>
  <c r="B87" i="3"/>
  <c r="G86" i="3"/>
  <c r="X86" i="3"/>
  <c r="E86" i="3"/>
  <c r="W86" i="3"/>
  <c r="N86" i="3"/>
  <c r="D86" i="3"/>
  <c r="X225" i="3" l="1"/>
  <c r="Y225" i="3"/>
  <c r="X25" i="3"/>
  <c r="Z25" i="3" s="1"/>
  <c r="W26" i="3" s="1"/>
  <c r="X26" i="3" s="1"/>
  <c r="Q17" i="3"/>
  <c r="P17" i="3"/>
  <c r="R17" i="3" s="1"/>
  <c r="AK249" i="3"/>
  <c r="X169" i="3" s="1"/>
  <c r="R116" i="3"/>
  <c r="M117" i="3" s="1"/>
  <c r="O117" i="3" s="1"/>
  <c r="Y26" i="3"/>
  <c r="M67" i="3"/>
  <c r="O67" i="3" s="1"/>
  <c r="Q169" i="3"/>
  <c r="P169" i="3"/>
  <c r="Y289" i="3"/>
  <c r="Z289" i="3" s="1"/>
  <c r="W290" i="3" s="1"/>
  <c r="X289" i="3"/>
  <c r="X87" i="3"/>
  <c r="E87" i="3"/>
  <c r="W87" i="3"/>
  <c r="N87" i="3"/>
  <c r="D87" i="3"/>
  <c r="V87" i="3"/>
  <c r="C87" i="3"/>
  <c r="B88" i="3"/>
  <c r="G87" i="3"/>
  <c r="J289" i="3"/>
  <c r="M289" i="3" s="1"/>
  <c r="I289" i="3"/>
  <c r="G30" i="3"/>
  <c r="F30" i="3"/>
  <c r="B31" i="3"/>
  <c r="N30" i="3"/>
  <c r="E30" i="3"/>
  <c r="V30" i="3"/>
  <c r="D30" i="3"/>
  <c r="U30" i="3"/>
  <c r="C30" i="3"/>
  <c r="T30" i="3"/>
  <c r="C62" i="3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H61" i="3"/>
  <c r="V136" i="3"/>
  <c r="C136" i="3"/>
  <c r="B137" i="3"/>
  <c r="G136" i="3"/>
  <c r="E136" i="3"/>
  <c r="D136" i="3"/>
  <c r="X136" i="3"/>
  <c r="N136" i="3"/>
  <c r="W136" i="3"/>
  <c r="E238" i="3"/>
  <c r="N238" i="3"/>
  <c r="C238" i="3"/>
  <c r="B239" i="3"/>
  <c r="G238" i="3"/>
  <c r="V238" i="3"/>
  <c r="D238" i="3"/>
  <c r="T238" i="3"/>
  <c r="H215" i="3"/>
  <c r="C216" i="3"/>
  <c r="H216" i="3" s="1"/>
  <c r="C267" i="3"/>
  <c r="H266" i="3"/>
  <c r="C112" i="3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H111" i="3"/>
  <c r="D291" i="3"/>
  <c r="N291" i="3"/>
  <c r="C291" i="3"/>
  <c r="H291" i="3" s="1"/>
  <c r="T291" i="3"/>
  <c r="G291" i="3"/>
  <c r="E291" i="3"/>
  <c r="B292" i="3"/>
  <c r="V291" i="3"/>
  <c r="I236" i="3"/>
  <c r="J236" i="3" s="1"/>
  <c r="M236" i="3" s="1"/>
  <c r="I18" i="3"/>
  <c r="J18" i="3" s="1"/>
  <c r="M18" i="3" s="1"/>
  <c r="W187" i="3"/>
  <c r="N187" i="3"/>
  <c r="B188" i="3"/>
  <c r="U187" i="3"/>
  <c r="E187" i="3"/>
  <c r="C187" i="3"/>
  <c r="V187" i="3"/>
  <c r="G187" i="3"/>
  <c r="D187" i="3"/>
  <c r="C164" i="3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H163" i="3"/>
  <c r="H290" i="3"/>
  <c r="H237" i="3"/>
  <c r="Z26" i="3" l="1"/>
  <c r="W27" i="3" s="1"/>
  <c r="Z225" i="3"/>
  <c r="W226" i="3" s="1"/>
  <c r="X226" i="3"/>
  <c r="Y226" i="3"/>
  <c r="R169" i="3"/>
  <c r="M170" i="3" s="1"/>
  <c r="O170" i="3" s="1"/>
  <c r="T169" i="3"/>
  <c r="O18" i="3"/>
  <c r="P18" i="3" s="1"/>
  <c r="R18" i="3" s="1"/>
  <c r="Q18" i="3"/>
  <c r="Q67" i="3"/>
  <c r="P67" i="3"/>
  <c r="Y27" i="3"/>
  <c r="X27" i="3"/>
  <c r="Q117" i="3"/>
  <c r="P117" i="3"/>
  <c r="Y290" i="3"/>
  <c r="X290" i="3"/>
  <c r="Z290" i="3" s="1"/>
  <c r="W291" i="3" s="1"/>
  <c r="I266" i="3"/>
  <c r="J266" i="3" s="1"/>
  <c r="M266" i="3" s="1"/>
  <c r="O266" i="3" s="1"/>
  <c r="Z169" i="3"/>
  <c r="Y169" i="3"/>
  <c r="AK250" i="3" s="1"/>
  <c r="K18" i="3"/>
  <c r="H19" i="3" s="1"/>
  <c r="H267" i="3"/>
  <c r="C268" i="3"/>
  <c r="H238" i="3"/>
  <c r="I61" i="3"/>
  <c r="J61" i="3" s="1"/>
  <c r="T61" i="3" s="1"/>
  <c r="Y61" i="3" s="1"/>
  <c r="I291" i="3"/>
  <c r="J291" i="3"/>
  <c r="M291" i="3" s="1"/>
  <c r="B32" i="3"/>
  <c r="N31" i="3"/>
  <c r="E31" i="3"/>
  <c r="V31" i="3"/>
  <c r="D31" i="3"/>
  <c r="U31" i="3"/>
  <c r="C31" i="3"/>
  <c r="T31" i="3"/>
  <c r="G31" i="3"/>
  <c r="F31" i="3"/>
  <c r="I290" i="3"/>
  <c r="J290" i="3" s="1"/>
  <c r="M290" i="3" s="1"/>
  <c r="I216" i="3"/>
  <c r="J216" i="3" s="1"/>
  <c r="M216" i="3" s="1"/>
  <c r="I163" i="3"/>
  <c r="J163" i="3" s="1"/>
  <c r="I215" i="3"/>
  <c r="J215" i="3" s="1"/>
  <c r="M215" i="3" s="1"/>
  <c r="O215" i="3" s="1"/>
  <c r="J237" i="3"/>
  <c r="M237" i="3" s="1"/>
  <c r="I237" i="3"/>
  <c r="G88" i="3"/>
  <c r="X88" i="3"/>
  <c r="E88" i="3"/>
  <c r="W88" i="3"/>
  <c r="N88" i="3"/>
  <c r="D88" i="3"/>
  <c r="V88" i="3"/>
  <c r="C88" i="3"/>
  <c r="B89" i="3"/>
  <c r="W188" i="3"/>
  <c r="N188" i="3"/>
  <c r="D188" i="3"/>
  <c r="U188" i="3"/>
  <c r="E188" i="3"/>
  <c r="B189" i="3"/>
  <c r="C188" i="3"/>
  <c r="G188" i="3"/>
  <c r="V188" i="3"/>
  <c r="T292" i="3"/>
  <c r="B293" i="3"/>
  <c r="G292" i="3"/>
  <c r="D292" i="3"/>
  <c r="N292" i="3"/>
  <c r="C292" i="3"/>
  <c r="V292" i="3"/>
  <c r="E292" i="3"/>
  <c r="I111" i="3"/>
  <c r="J111" i="3" s="1"/>
  <c r="T111" i="3" s="1"/>
  <c r="Y111" i="3" s="1"/>
  <c r="X137" i="3"/>
  <c r="E137" i="3"/>
  <c r="N137" i="3"/>
  <c r="C137" i="3"/>
  <c r="W137" i="3"/>
  <c r="V137" i="3"/>
  <c r="B138" i="3"/>
  <c r="G137" i="3"/>
  <c r="D137" i="3"/>
  <c r="N239" i="3"/>
  <c r="C239" i="3"/>
  <c r="V239" i="3"/>
  <c r="B240" i="3"/>
  <c r="G239" i="3"/>
  <c r="E239" i="3"/>
  <c r="T239" i="3"/>
  <c r="D239" i="3"/>
  <c r="AV79" i="3"/>
  <c r="R117" i="3" l="1"/>
  <c r="R67" i="3"/>
  <c r="M68" i="3" s="1"/>
  <c r="O68" i="3" s="1"/>
  <c r="Z226" i="3"/>
  <c r="W227" i="3" s="1"/>
  <c r="K61" i="3"/>
  <c r="H62" i="3" s="1"/>
  <c r="I62" i="3" s="1"/>
  <c r="J62" i="3" s="1"/>
  <c r="T62" i="3" s="1"/>
  <c r="K163" i="3"/>
  <c r="H164" i="3" s="1"/>
  <c r="I164" i="3" s="1"/>
  <c r="J164" i="3" s="1"/>
  <c r="Z27" i="3"/>
  <c r="W28" i="3" s="1"/>
  <c r="X28" i="3" s="1"/>
  <c r="Q266" i="3"/>
  <c r="P266" i="3"/>
  <c r="R266" i="3" s="1"/>
  <c r="Y291" i="3"/>
  <c r="X291" i="3"/>
  <c r="Z291" i="3" s="1"/>
  <c r="W292" i="3" s="1"/>
  <c r="Q170" i="3"/>
  <c r="P170" i="3"/>
  <c r="Q215" i="3"/>
  <c r="P215" i="3"/>
  <c r="J238" i="3"/>
  <c r="M238" i="3" s="1"/>
  <c r="I238" i="3"/>
  <c r="X170" i="3"/>
  <c r="T170" i="3"/>
  <c r="H292" i="3"/>
  <c r="H268" i="3"/>
  <c r="C269" i="3"/>
  <c r="I267" i="3"/>
  <c r="J267" i="3" s="1"/>
  <c r="M267" i="3" s="1"/>
  <c r="E240" i="3"/>
  <c r="N240" i="3"/>
  <c r="C240" i="3"/>
  <c r="G240" i="3"/>
  <c r="V240" i="3"/>
  <c r="D240" i="3"/>
  <c r="T240" i="3"/>
  <c r="B241" i="3"/>
  <c r="B90" i="3"/>
  <c r="G89" i="3"/>
  <c r="X89" i="3"/>
  <c r="E89" i="3"/>
  <c r="W89" i="3"/>
  <c r="N89" i="3"/>
  <c r="D89" i="3"/>
  <c r="V89" i="3"/>
  <c r="C89" i="3"/>
  <c r="T32" i="3"/>
  <c r="G32" i="3"/>
  <c r="F32" i="3"/>
  <c r="B33" i="3"/>
  <c r="N32" i="3"/>
  <c r="E32" i="3"/>
  <c r="V32" i="3"/>
  <c r="D32" i="3"/>
  <c r="C32" i="3"/>
  <c r="U32" i="3"/>
  <c r="I19" i="3"/>
  <c r="J19" i="3" s="1"/>
  <c r="M19" i="3" s="1"/>
  <c r="O19" i="3" s="1"/>
  <c r="M118" i="3"/>
  <c r="O118" i="3" s="1"/>
  <c r="AK192" i="3"/>
  <c r="Z111" i="3"/>
  <c r="AL192" i="3" s="1"/>
  <c r="G138" i="3"/>
  <c r="B139" i="3"/>
  <c r="E138" i="3"/>
  <c r="D138" i="3"/>
  <c r="X138" i="3"/>
  <c r="N138" i="3"/>
  <c r="C138" i="3"/>
  <c r="W138" i="3"/>
  <c r="V138" i="3"/>
  <c r="K111" i="3"/>
  <c r="H112" i="3" s="1"/>
  <c r="G189" i="3"/>
  <c r="W189" i="3"/>
  <c r="N189" i="3"/>
  <c r="D189" i="3"/>
  <c r="C189" i="3"/>
  <c r="B190" i="3"/>
  <c r="U189" i="3"/>
  <c r="V189" i="3"/>
  <c r="E189" i="3"/>
  <c r="H239" i="3"/>
  <c r="D293" i="3"/>
  <c r="N293" i="3"/>
  <c r="C293" i="3"/>
  <c r="T293" i="3"/>
  <c r="B294" i="3"/>
  <c r="V293" i="3"/>
  <c r="G293" i="3"/>
  <c r="E293" i="3"/>
  <c r="AK142" i="3"/>
  <c r="Z61" i="3"/>
  <c r="AL142" i="3" s="1"/>
  <c r="Z28" i="3" l="1"/>
  <c r="W29" i="3" s="1"/>
  <c r="X29" i="3" s="1"/>
  <c r="Z29" i="3" s="1"/>
  <c r="W30" i="3" s="1"/>
  <c r="Y28" i="3"/>
  <c r="R215" i="3"/>
  <c r="O216" i="3" s="1"/>
  <c r="P216" i="3" s="1"/>
  <c r="K19" i="3"/>
  <c r="H20" i="3" s="1"/>
  <c r="Y227" i="3"/>
  <c r="X227" i="3"/>
  <c r="R170" i="3"/>
  <c r="U62" i="3"/>
  <c r="Y62" i="3" s="1"/>
  <c r="Q118" i="3"/>
  <c r="P118" i="3"/>
  <c r="Q19" i="3"/>
  <c r="P19" i="3"/>
  <c r="O267" i="3"/>
  <c r="Y292" i="3"/>
  <c r="X292" i="3"/>
  <c r="Z292" i="3" s="1"/>
  <c r="W293" i="3" s="1"/>
  <c r="U112" i="3"/>
  <c r="Y29" i="3"/>
  <c r="H240" i="3"/>
  <c r="K164" i="3"/>
  <c r="H165" i="3" s="1"/>
  <c r="E139" i="3"/>
  <c r="D139" i="3"/>
  <c r="X139" i="3"/>
  <c r="N139" i="3"/>
  <c r="C139" i="3"/>
  <c r="W139" i="3"/>
  <c r="V139" i="3"/>
  <c r="G139" i="3"/>
  <c r="B140" i="3"/>
  <c r="Z170" i="3"/>
  <c r="Y170" i="3"/>
  <c r="J239" i="3"/>
  <c r="M239" i="3" s="1"/>
  <c r="I239" i="3"/>
  <c r="V294" i="3"/>
  <c r="T294" i="3"/>
  <c r="B295" i="3"/>
  <c r="G294" i="3"/>
  <c r="D294" i="3"/>
  <c r="N294" i="3"/>
  <c r="C294" i="3"/>
  <c r="E294" i="3"/>
  <c r="G33" i="3"/>
  <c r="B34" i="3"/>
  <c r="F33" i="3"/>
  <c r="N33" i="3"/>
  <c r="E33" i="3"/>
  <c r="V33" i="3"/>
  <c r="D33" i="3"/>
  <c r="U33" i="3"/>
  <c r="C33" i="3"/>
  <c r="T33" i="3"/>
  <c r="V90" i="3"/>
  <c r="C90" i="3"/>
  <c r="B91" i="3"/>
  <c r="G90" i="3"/>
  <c r="X90" i="3"/>
  <c r="E90" i="3"/>
  <c r="W90" i="3"/>
  <c r="N90" i="3"/>
  <c r="D90" i="3"/>
  <c r="K62" i="3"/>
  <c r="H63" i="3" s="1"/>
  <c r="Q68" i="3"/>
  <c r="P68" i="3"/>
  <c r="M171" i="3"/>
  <c r="O171" i="3" s="1"/>
  <c r="I20" i="3"/>
  <c r="J20" i="3" s="1"/>
  <c r="M20" i="3" s="1"/>
  <c r="N241" i="3"/>
  <c r="C241" i="3"/>
  <c r="V241" i="3"/>
  <c r="B242" i="3"/>
  <c r="G241" i="3"/>
  <c r="E241" i="3"/>
  <c r="T241" i="3"/>
  <c r="D241" i="3"/>
  <c r="H269" i="3"/>
  <c r="C270" i="3"/>
  <c r="H293" i="3"/>
  <c r="I268" i="3"/>
  <c r="J268" i="3" s="1"/>
  <c r="M268" i="3" s="1"/>
  <c r="Q216" i="3"/>
  <c r="B191" i="3"/>
  <c r="G190" i="3"/>
  <c r="W190" i="3"/>
  <c r="N190" i="3"/>
  <c r="D190" i="3"/>
  <c r="C190" i="3"/>
  <c r="U190" i="3"/>
  <c r="E190" i="3"/>
  <c r="V190" i="3"/>
  <c r="I112" i="3"/>
  <c r="J112" i="3" s="1"/>
  <c r="T112" i="3" s="1"/>
  <c r="I292" i="3"/>
  <c r="J292" i="3" s="1"/>
  <c r="M292" i="3" s="1"/>
  <c r="R68" i="3" l="1"/>
  <c r="M69" i="3" s="1"/>
  <c r="O69" i="3" s="1"/>
  <c r="AK251" i="3"/>
  <c r="Z227" i="3"/>
  <c r="W228" i="3" s="1"/>
  <c r="R216" i="3"/>
  <c r="O217" i="3" s="1"/>
  <c r="R19" i="3"/>
  <c r="O20" i="3" s="1"/>
  <c r="R118" i="3"/>
  <c r="M119" i="3" s="1"/>
  <c r="O119" i="3" s="1"/>
  <c r="Y112" i="3"/>
  <c r="AK193" i="3" s="1"/>
  <c r="Q20" i="3"/>
  <c r="P20" i="3"/>
  <c r="R20" i="3" s="1"/>
  <c r="Y30" i="3"/>
  <c r="X30" i="3"/>
  <c r="Q171" i="3"/>
  <c r="P171" i="3"/>
  <c r="X171" i="3"/>
  <c r="T171" i="3"/>
  <c r="Y293" i="3"/>
  <c r="X293" i="3"/>
  <c r="Z293" i="3" s="1"/>
  <c r="W294" i="3" s="1"/>
  <c r="AK143" i="3"/>
  <c r="Z62" i="3"/>
  <c r="AL143" i="3" s="1"/>
  <c r="X91" i="3"/>
  <c r="E91" i="3"/>
  <c r="W91" i="3"/>
  <c r="N91" i="3"/>
  <c r="D91" i="3"/>
  <c r="V91" i="3"/>
  <c r="C91" i="3"/>
  <c r="B92" i="3"/>
  <c r="G91" i="3"/>
  <c r="K20" i="3"/>
  <c r="H21" i="3" s="1"/>
  <c r="H294" i="3"/>
  <c r="I165" i="3"/>
  <c r="J165" i="3" s="1"/>
  <c r="E242" i="3"/>
  <c r="N242" i="3"/>
  <c r="C242" i="3"/>
  <c r="G242" i="3"/>
  <c r="V242" i="3"/>
  <c r="D242" i="3"/>
  <c r="T242" i="3"/>
  <c r="B243" i="3"/>
  <c r="I240" i="3"/>
  <c r="J240" i="3"/>
  <c r="M240" i="3" s="1"/>
  <c r="Q217" i="3"/>
  <c r="P217" i="3"/>
  <c r="R217" i="3" s="1"/>
  <c r="O218" i="3" s="1"/>
  <c r="I293" i="3"/>
  <c r="J293" i="3"/>
  <c r="M293" i="3" s="1"/>
  <c r="Q267" i="3"/>
  <c r="P267" i="3"/>
  <c r="R267" i="3" s="1"/>
  <c r="O268" i="3" s="1"/>
  <c r="H270" i="3"/>
  <c r="C271" i="3"/>
  <c r="U34" i="3"/>
  <c r="C34" i="3"/>
  <c r="T34" i="3"/>
  <c r="G34" i="3"/>
  <c r="F34" i="3"/>
  <c r="N34" i="3"/>
  <c r="E34" i="3"/>
  <c r="B35" i="3"/>
  <c r="V34" i="3"/>
  <c r="D34" i="3"/>
  <c r="K112" i="3"/>
  <c r="H113" i="3" s="1"/>
  <c r="U191" i="3"/>
  <c r="B192" i="3"/>
  <c r="G191" i="3"/>
  <c r="W191" i="3"/>
  <c r="V191" i="3"/>
  <c r="E191" i="3"/>
  <c r="C191" i="3"/>
  <c r="N191" i="3"/>
  <c r="D191" i="3"/>
  <c r="I269" i="3"/>
  <c r="J269" i="3" s="1"/>
  <c r="M269" i="3" s="1"/>
  <c r="H241" i="3"/>
  <c r="E295" i="3"/>
  <c r="D295" i="3"/>
  <c r="N295" i="3"/>
  <c r="C295" i="3"/>
  <c r="T295" i="3"/>
  <c r="G295" i="3"/>
  <c r="B296" i="3"/>
  <c r="V295" i="3"/>
  <c r="V140" i="3"/>
  <c r="C140" i="3"/>
  <c r="B141" i="3"/>
  <c r="N140" i="3"/>
  <c r="X140" i="3"/>
  <c r="W140" i="3"/>
  <c r="G140" i="3"/>
  <c r="E140" i="3"/>
  <c r="D140" i="3"/>
  <c r="I63" i="3"/>
  <c r="J63" i="3" s="1"/>
  <c r="T63" i="3" s="1"/>
  <c r="Z112" i="3" l="1"/>
  <c r="Y228" i="3"/>
  <c r="X228" i="3"/>
  <c r="Z228" i="3"/>
  <c r="W229" i="3" s="1"/>
  <c r="Z30" i="3"/>
  <c r="W31" i="3" s="1"/>
  <c r="Y31" i="3" s="1"/>
  <c r="R171" i="3"/>
  <c r="AL193" i="3"/>
  <c r="U113" i="3" s="1"/>
  <c r="Q268" i="3"/>
  <c r="P268" i="3"/>
  <c r="Q119" i="3"/>
  <c r="P119" i="3"/>
  <c r="U63" i="3"/>
  <c r="Y63" i="3" s="1"/>
  <c r="Q69" i="3"/>
  <c r="P69" i="3"/>
  <c r="Y294" i="3"/>
  <c r="X294" i="3"/>
  <c r="Z294" i="3" s="1"/>
  <c r="W295" i="3" s="1"/>
  <c r="X141" i="3"/>
  <c r="E141" i="3"/>
  <c r="W141" i="3"/>
  <c r="V141" i="3"/>
  <c r="G141" i="3"/>
  <c r="D141" i="3"/>
  <c r="N141" i="3"/>
  <c r="C141" i="3"/>
  <c r="B142" i="3"/>
  <c r="I294" i="3"/>
  <c r="J294" i="3" s="1"/>
  <c r="M294" i="3" s="1"/>
  <c r="W192" i="3"/>
  <c r="N192" i="3"/>
  <c r="D192" i="3"/>
  <c r="B193" i="3"/>
  <c r="U192" i="3"/>
  <c r="V192" i="3"/>
  <c r="G192" i="3"/>
  <c r="E192" i="3"/>
  <c r="C192" i="3"/>
  <c r="I270" i="3"/>
  <c r="J270" i="3" s="1"/>
  <c r="M270" i="3" s="1"/>
  <c r="H242" i="3"/>
  <c r="I21" i="3"/>
  <c r="J21" i="3" s="1"/>
  <c r="M21" i="3" s="1"/>
  <c r="O21" i="3" s="1"/>
  <c r="Z171" i="3"/>
  <c r="Y171" i="3"/>
  <c r="H271" i="3"/>
  <c r="C272" i="3"/>
  <c r="I113" i="3"/>
  <c r="J113" i="3" s="1"/>
  <c r="T113" i="3" s="1"/>
  <c r="K63" i="3"/>
  <c r="H64" i="3" s="1"/>
  <c r="V296" i="3"/>
  <c r="T296" i="3"/>
  <c r="B297" i="3"/>
  <c r="G296" i="3"/>
  <c r="D296" i="3"/>
  <c r="N296" i="3"/>
  <c r="C296" i="3"/>
  <c r="E296" i="3"/>
  <c r="N243" i="3"/>
  <c r="C243" i="3"/>
  <c r="H243" i="3" s="1"/>
  <c r="V243" i="3"/>
  <c r="B244" i="3"/>
  <c r="G243" i="3"/>
  <c r="E243" i="3"/>
  <c r="T243" i="3"/>
  <c r="D243" i="3"/>
  <c r="Q218" i="3"/>
  <c r="P218" i="3"/>
  <c r="R218" i="3" s="1"/>
  <c r="O219" i="3" s="1"/>
  <c r="G92" i="3"/>
  <c r="X92" i="3"/>
  <c r="E92" i="3"/>
  <c r="W92" i="3"/>
  <c r="N92" i="3"/>
  <c r="D92" i="3"/>
  <c r="V92" i="3"/>
  <c r="C92" i="3"/>
  <c r="B93" i="3"/>
  <c r="I241" i="3"/>
  <c r="J241" i="3" s="1"/>
  <c r="M241" i="3" s="1"/>
  <c r="G35" i="3"/>
  <c r="F35" i="3"/>
  <c r="B36" i="3"/>
  <c r="N35" i="3"/>
  <c r="E35" i="3"/>
  <c r="V35" i="3"/>
  <c r="D35" i="3"/>
  <c r="U35" i="3"/>
  <c r="C35" i="3"/>
  <c r="T35" i="3"/>
  <c r="AU58" i="3"/>
  <c r="H295" i="3"/>
  <c r="K165" i="3"/>
  <c r="H166" i="3" s="1"/>
  <c r="M172" i="3" l="1"/>
  <c r="O172" i="3" s="1"/>
  <c r="X229" i="3"/>
  <c r="Z229" i="3" s="1"/>
  <c r="W230" i="3" s="1"/>
  <c r="Y229" i="3"/>
  <c r="X31" i="3"/>
  <c r="Z31" i="3" s="1"/>
  <c r="W32" i="3" s="1"/>
  <c r="R119" i="3"/>
  <c r="M120" i="3" s="1"/>
  <c r="O120" i="3" s="1"/>
  <c r="Y113" i="3"/>
  <c r="AK194" i="3" s="1"/>
  <c r="R268" i="3"/>
  <c r="O269" i="3" s="1"/>
  <c r="Q269" i="3" s="1"/>
  <c r="AK252" i="3"/>
  <c r="X172" i="3" s="1"/>
  <c r="R69" i="3"/>
  <c r="M70" i="3" s="1"/>
  <c r="O70" i="3" s="1"/>
  <c r="Y295" i="3"/>
  <c r="X295" i="3"/>
  <c r="Z295" i="3" s="1"/>
  <c r="W296" i="3" s="1"/>
  <c r="Q21" i="3"/>
  <c r="P21" i="3"/>
  <c r="R21" i="3" s="1"/>
  <c r="AK144" i="3"/>
  <c r="Z63" i="3"/>
  <c r="H272" i="3"/>
  <c r="C273" i="3"/>
  <c r="I166" i="3"/>
  <c r="J166" i="3" s="1"/>
  <c r="I271" i="3"/>
  <c r="J271" i="3" s="1"/>
  <c r="M271" i="3" s="1"/>
  <c r="I295" i="3"/>
  <c r="J295" i="3"/>
  <c r="M295" i="3" s="1"/>
  <c r="E297" i="3"/>
  <c r="D297" i="3"/>
  <c r="N297" i="3"/>
  <c r="C297" i="3"/>
  <c r="T297" i="3"/>
  <c r="G297" i="3"/>
  <c r="B298" i="3"/>
  <c r="V297" i="3"/>
  <c r="Q219" i="3"/>
  <c r="P219" i="3"/>
  <c r="B94" i="3"/>
  <c r="G93" i="3"/>
  <c r="X93" i="3"/>
  <c r="E93" i="3"/>
  <c r="W93" i="3"/>
  <c r="N93" i="3"/>
  <c r="D93" i="3"/>
  <c r="V93" i="3"/>
  <c r="C93" i="3"/>
  <c r="F36" i="3"/>
  <c r="B37" i="3"/>
  <c r="N36" i="3"/>
  <c r="E36" i="3"/>
  <c r="V36" i="3"/>
  <c r="D36" i="3"/>
  <c r="U36" i="3"/>
  <c r="C36" i="3"/>
  <c r="T36" i="3"/>
  <c r="G36" i="3"/>
  <c r="I243" i="3"/>
  <c r="J243" i="3" s="1"/>
  <c r="M243" i="3" s="1"/>
  <c r="H296" i="3"/>
  <c r="I64" i="3"/>
  <c r="J64" i="3" s="1"/>
  <c r="T64" i="3" s="1"/>
  <c r="W193" i="3"/>
  <c r="N193" i="3"/>
  <c r="D193" i="3"/>
  <c r="B194" i="3"/>
  <c r="U193" i="3"/>
  <c r="G193" i="3"/>
  <c r="E193" i="3"/>
  <c r="C193" i="3"/>
  <c r="V193" i="3"/>
  <c r="W142" i="3"/>
  <c r="N142" i="3"/>
  <c r="D142" i="3"/>
  <c r="X142" i="3"/>
  <c r="V142" i="3"/>
  <c r="G142" i="3"/>
  <c r="B143" i="3"/>
  <c r="E142" i="3"/>
  <c r="C142" i="3"/>
  <c r="B245" i="3"/>
  <c r="E244" i="3"/>
  <c r="N244" i="3"/>
  <c r="C244" i="3"/>
  <c r="V244" i="3"/>
  <c r="D244" i="3"/>
  <c r="T244" i="3"/>
  <c r="G244" i="3"/>
  <c r="K21" i="3"/>
  <c r="H22" i="3" s="1"/>
  <c r="K113" i="3"/>
  <c r="H114" i="3" s="1"/>
  <c r="I242" i="3"/>
  <c r="J242" i="3" s="1"/>
  <c r="M242" i="3" s="1"/>
  <c r="Q172" i="3" l="1"/>
  <c r="P172" i="3"/>
  <c r="X32" i="3"/>
  <c r="Z32" i="3" s="1"/>
  <c r="W33" i="3" s="1"/>
  <c r="Y33" i="3" s="1"/>
  <c r="Y32" i="3"/>
  <c r="X230" i="3"/>
  <c r="Y230" i="3"/>
  <c r="Z230" i="3" s="1"/>
  <c r="W231" i="3" s="1"/>
  <c r="Z113" i="3"/>
  <c r="AL194" i="3" s="1"/>
  <c r="U114" i="3" s="1"/>
  <c r="T172" i="3"/>
  <c r="P269" i="3"/>
  <c r="R269" i="3" s="1"/>
  <c r="O270" i="3" s="1"/>
  <c r="P270" i="3" s="1"/>
  <c r="K166" i="3"/>
  <c r="H167" i="3" s="1"/>
  <c r="I167" i="3" s="1"/>
  <c r="J167" i="3" s="1"/>
  <c r="AL144" i="3"/>
  <c r="U64" i="3" s="1"/>
  <c r="R219" i="3"/>
  <c r="O220" i="3" s="1"/>
  <c r="Q220" i="3" s="1"/>
  <c r="K64" i="3"/>
  <c r="H65" i="3" s="1"/>
  <c r="I65" i="3" s="1"/>
  <c r="J65" i="3" s="1"/>
  <c r="T65" i="3" s="1"/>
  <c r="R172" i="3"/>
  <c r="M173" i="3" s="1"/>
  <c r="O173" i="3" s="1"/>
  <c r="Y296" i="3"/>
  <c r="X296" i="3"/>
  <c r="Z296" i="3" s="1"/>
  <c r="W297" i="3" s="1"/>
  <c r="Q70" i="3"/>
  <c r="P70" i="3"/>
  <c r="Q120" i="3"/>
  <c r="P120" i="3"/>
  <c r="V298" i="3"/>
  <c r="T298" i="3"/>
  <c r="B299" i="3"/>
  <c r="G298" i="3"/>
  <c r="D298" i="3"/>
  <c r="N298" i="3"/>
  <c r="C298" i="3"/>
  <c r="E298" i="3"/>
  <c r="Z172" i="3"/>
  <c r="Y172" i="3"/>
  <c r="I22" i="3"/>
  <c r="J22" i="3" s="1"/>
  <c r="M22" i="3" s="1"/>
  <c r="O22" i="3" s="1"/>
  <c r="T245" i="3"/>
  <c r="G245" i="3"/>
  <c r="E245" i="3"/>
  <c r="V245" i="3"/>
  <c r="D245" i="3"/>
  <c r="C245" i="3"/>
  <c r="N245" i="3"/>
  <c r="B246" i="3"/>
  <c r="I296" i="3"/>
  <c r="J296" i="3" s="1"/>
  <c r="M296" i="3" s="1"/>
  <c r="H273" i="3"/>
  <c r="C274" i="3"/>
  <c r="V94" i="3"/>
  <c r="C94" i="3"/>
  <c r="B95" i="3"/>
  <c r="G94" i="3"/>
  <c r="X94" i="3"/>
  <c r="E94" i="3"/>
  <c r="W94" i="3"/>
  <c r="N94" i="3"/>
  <c r="D94" i="3"/>
  <c r="H297" i="3"/>
  <c r="I272" i="3"/>
  <c r="J272" i="3" s="1"/>
  <c r="M272" i="3" s="1"/>
  <c r="H244" i="3"/>
  <c r="W194" i="3"/>
  <c r="N194" i="3"/>
  <c r="D194" i="3"/>
  <c r="B195" i="3"/>
  <c r="U194" i="3"/>
  <c r="G194" i="3"/>
  <c r="E194" i="3"/>
  <c r="C194" i="3"/>
  <c r="V194" i="3"/>
  <c r="W143" i="3"/>
  <c r="N143" i="3"/>
  <c r="D143" i="3"/>
  <c r="G143" i="3"/>
  <c r="B144" i="3"/>
  <c r="E143" i="3"/>
  <c r="C143" i="3"/>
  <c r="X143" i="3"/>
  <c r="V143" i="3"/>
  <c r="I114" i="3"/>
  <c r="J114" i="3" s="1"/>
  <c r="T114" i="3" s="1"/>
  <c r="U37" i="3"/>
  <c r="C37" i="3"/>
  <c r="T37" i="3"/>
  <c r="G37" i="3"/>
  <c r="F37" i="3"/>
  <c r="B38" i="3"/>
  <c r="N37" i="3"/>
  <c r="E37" i="3"/>
  <c r="V37" i="3"/>
  <c r="D37" i="3"/>
  <c r="Y231" i="3" l="1"/>
  <c r="X231" i="3"/>
  <c r="Z231" i="3" s="1"/>
  <c r="W232" i="3" s="1"/>
  <c r="P220" i="3"/>
  <c r="R220" i="3" s="1"/>
  <c r="O221" i="3" s="1"/>
  <c r="P221" i="3" s="1"/>
  <c r="Q270" i="3"/>
  <c r="R270" i="3" s="1"/>
  <c r="O271" i="3" s="1"/>
  <c r="X33" i="3"/>
  <c r="Z33" i="3" s="1"/>
  <c r="W34" i="3" s="1"/>
  <c r="Y114" i="3"/>
  <c r="K22" i="3"/>
  <c r="H23" i="3" s="1"/>
  <c r="R70" i="3"/>
  <c r="M71" i="3" s="1"/>
  <c r="O71" i="3" s="1"/>
  <c r="Y64" i="3"/>
  <c r="Z64" i="3" s="1"/>
  <c r="R120" i="3"/>
  <c r="M121" i="3" s="1"/>
  <c r="O121" i="3" s="1"/>
  <c r="K167" i="3"/>
  <c r="H168" i="3" s="1"/>
  <c r="I168" i="3" s="1"/>
  <c r="J168" i="3" s="1"/>
  <c r="K114" i="3"/>
  <c r="H115" i="3" s="1"/>
  <c r="AK253" i="3"/>
  <c r="X173" i="3" s="1"/>
  <c r="Q173" i="3"/>
  <c r="P173" i="3"/>
  <c r="R173" i="3" s="1"/>
  <c r="Z297" i="3"/>
  <c r="W298" i="3" s="1"/>
  <c r="Y297" i="3"/>
  <c r="X297" i="3"/>
  <c r="AK195" i="3"/>
  <c r="Z114" i="3"/>
  <c r="K65" i="3"/>
  <c r="H66" i="3" s="1"/>
  <c r="E299" i="3"/>
  <c r="D299" i="3"/>
  <c r="N299" i="3"/>
  <c r="C299" i="3"/>
  <c r="T299" i="3"/>
  <c r="B300" i="3"/>
  <c r="V299" i="3"/>
  <c r="G299" i="3"/>
  <c r="Q22" i="3"/>
  <c r="P22" i="3"/>
  <c r="W195" i="3"/>
  <c r="N195" i="3"/>
  <c r="D195" i="3"/>
  <c r="B196" i="3"/>
  <c r="U195" i="3"/>
  <c r="C195" i="3"/>
  <c r="E195" i="3"/>
  <c r="V195" i="3"/>
  <c r="G195" i="3"/>
  <c r="X95" i="3"/>
  <c r="E95" i="3"/>
  <c r="W95" i="3"/>
  <c r="N95" i="3"/>
  <c r="D95" i="3"/>
  <c r="V95" i="3"/>
  <c r="C95" i="3"/>
  <c r="B96" i="3"/>
  <c r="G95" i="3"/>
  <c r="H274" i="3"/>
  <c r="C275" i="3"/>
  <c r="E246" i="3"/>
  <c r="N246" i="3"/>
  <c r="C246" i="3"/>
  <c r="H246" i="3" s="1"/>
  <c r="V246" i="3"/>
  <c r="B247" i="3"/>
  <c r="G246" i="3"/>
  <c r="T246" i="3"/>
  <c r="D246" i="3"/>
  <c r="W144" i="3"/>
  <c r="N144" i="3"/>
  <c r="D144" i="3"/>
  <c r="B145" i="3"/>
  <c r="E144" i="3"/>
  <c r="C144" i="3"/>
  <c r="X144" i="3"/>
  <c r="V144" i="3"/>
  <c r="G144" i="3"/>
  <c r="J244" i="3"/>
  <c r="M244" i="3" s="1"/>
  <c r="I244" i="3"/>
  <c r="I273" i="3"/>
  <c r="J273" i="3" s="1"/>
  <c r="M273" i="3" s="1"/>
  <c r="H298" i="3"/>
  <c r="I23" i="3"/>
  <c r="J23" i="3" s="1"/>
  <c r="M23" i="3" s="1"/>
  <c r="I115" i="3"/>
  <c r="J115" i="3" s="1"/>
  <c r="T115" i="3" s="1"/>
  <c r="H245" i="3"/>
  <c r="AK145" i="3"/>
  <c r="G38" i="3"/>
  <c r="F38" i="3"/>
  <c r="B39" i="3"/>
  <c r="N38" i="3"/>
  <c r="E38" i="3"/>
  <c r="V38" i="3"/>
  <c r="D38" i="3"/>
  <c r="U38" i="3"/>
  <c r="C38" i="3"/>
  <c r="T38" i="3"/>
  <c r="I297" i="3"/>
  <c r="J297" i="3" s="1"/>
  <c r="M297" i="3" s="1"/>
  <c r="AL145" i="3" l="1"/>
  <c r="X34" i="3"/>
  <c r="Y34" i="3"/>
  <c r="Q271" i="3"/>
  <c r="P271" i="3"/>
  <c r="R271" i="3" s="1"/>
  <c r="O272" i="3" s="1"/>
  <c r="Q221" i="3"/>
  <c r="R221" i="3" s="1"/>
  <c r="O222" i="3" s="1"/>
  <c r="K115" i="3"/>
  <c r="H116" i="3" s="1"/>
  <c r="X232" i="3"/>
  <c r="Y232" i="3"/>
  <c r="R22" i="3"/>
  <c r="O23" i="3" s="1"/>
  <c r="P23" i="3" s="1"/>
  <c r="T173" i="3"/>
  <c r="AL195" i="3"/>
  <c r="U115" i="3" s="1"/>
  <c r="Y115" i="3" s="1"/>
  <c r="U65" i="3"/>
  <c r="Y65" i="3" s="1"/>
  <c r="Q121" i="3"/>
  <c r="P121" i="3"/>
  <c r="M174" i="3"/>
  <c r="O174" i="3" s="1"/>
  <c r="Q71" i="3"/>
  <c r="P71" i="3"/>
  <c r="R71" i="3" s="1"/>
  <c r="K168" i="3"/>
  <c r="H169" i="3" s="1"/>
  <c r="Y298" i="3"/>
  <c r="Z298" i="3"/>
  <c r="W299" i="3" s="1"/>
  <c r="X298" i="3"/>
  <c r="K23" i="3"/>
  <c r="H24" i="3" s="1"/>
  <c r="I246" i="3"/>
  <c r="J246" i="3" s="1"/>
  <c r="M246" i="3" s="1"/>
  <c r="I298" i="3"/>
  <c r="J298" i="3" s="1"/>
  <c r="M298" i="3" s="1"/>
  <c r="W196" i="3"/>
  <c r="N196" i="3"/>
  <c r="D196" i="3"/>
  <c r="B197" i="3"/>
  <c r="U196" i="3"/>
  <c r="E196" i="3"/>
  <c r="C196" i="3"/>
  <c r="V196" i="3"/>
  <c r="G196" i="3"/>
  <c r="I116" i="3"/>
  <c r="J116" i="3" s="1"/>
  <c r="T116" i="3" s="1"/>
  <c r="I274" i="3"/>
  <c r="J274" i="3" s="1"/>
  <c r="M274" i="3" s="1"/>
  <c r="G96" i="3"/>
  <c r="X96" i="3"/>
  <c r="E96" i="3"/>
  <c r="W96" i="3"/>
  <c r="N96" i="3"/>
  <c r="D96" i="3"/>
  <c r="V96" i="3"/>
  <c r="C96" i="3"/>
  <c r="B97" i="3"/>
  <c r="V300" i="3"/>
  <c r="T300" i="3"/>
  <c r="B301" i="3"/>
  <c r="G300" i="3"/>
  <c r="D300" i="3"/>
  <c r="N300" i="3"/>
  <c r="C300" i="3"/>
  <c r="H300" i="3" s="1"/>
  <c r="E300" i="3"/>
  <c r="I66" i="3"/>
  <c r="J66" i="3" s="1"/>
  <c r="T66" i="3" s="1"/>
  <c r="Z173" i="3"/>
  <c r="Y173" i="3"/>
  <c r="AK254" i="3" s="1"/>
  <c r="W145" i="3"/>
  <c r="N145" i="3"/>
  <c r="D145" i="3"/>
  <c r="X145" i="3"/>
  <c r="V145" i="3"/>
  <c r="G145" i="3"/>
  <c r="E145" i="3"/>
  <c r="C145" i="3"/>
  <c r="B146" i="3"/>
  <c r="B40" i="3"/>
  <c r="N39" i="3"/>
  <c r="E39" i="3"/>
  <c r="V39" i="3"/>
  <c r="D39" i="3"/>
  <c r="U39" i="3"/>
  <c r="C39" i="3"/>
  <c r="T39" i="3"/>
  <c r="G39" i="3"/>
  <c r="F39" i="3"/>
  <c r="I245" i="3"/>
  <c r="J245" i="3"/>
  <c r="M245" i="3" s="1"/>
  <c r="T247" i="3"/>
  <c r="G247" i="3"/>
  <c r="D247" i="3"/>
  <c r="E247" i="3"/>
  <c r="V247" i="3"/>
  <c r="C247" i="3"/>
  <c r="N247" i="3"/>
  <c r="B248" i="3"/>
  <c r="H299" i="3"/>
  <c r="H275" i="3"/>
  <c r="C276" i="3"/>
  <c r="R121" i="3" l="1"/>
  <c r="Z232" i="3"/>
  <c r="W233" i="3" s="1"/>
  <c r="X233" i="3" s="1"/>
  <c r="P222" i="3"/>
  <c r="R222" i="3" s="1"/>
  <c r="O223" i="3" s="1"/>
  <c r="Q222" i="3"/>
  <c r="Q272" i="3"/>
  <c r="P272" i="3"/>
  <c r="R272" i="3" s="1"/>
  <c r="O273" i="3" s="1"/>
  <c r="Q273" i="3" s="1"/>
  <c r="Z34" i="3"/>
  <c r="W35" i="3" s="1"/>
  <c r="Q23" i="3"/>
  <c r="R23" i="3" s="1"/>
  <c r="M122" i="3"/>
  <c r="O122" i="3"/>
  <c r="Q174" i="3"/>
  <c r="P174" i="3"/>
  <c r="AK146" i="3"/>
  <c r="Z65" i="3"/>
  <c r="X174" i="3"/>
  <c r="T174" i="3"/>
  <c r="AK196" i="3"/>
  <c r="Z115" i="3"/>
  <c r="W197" i="3"/>
  <c r="N197" i="3"/>
  <c r="D197" i="3"/>
  <c r="B198" i="3"/>
  <c r="U197" i="3"/>
  <c r="V197" i="3"/>
  <c r="G197" i="3"/>
  <c r="E197" i="3"/>
  <c r="C197" i="3"/>
  <c r="I24" i="3"/>
  <c r="J24" i="3" s="1"/>
  <c r="M24" i="3" s="1"/>
  <c r="N248" i="3"/>
  <c r="C248" i="3"/>
  <c r="H248" i="3" s="1"/>
  <c r="V248" i="3"/>
  <c r="B249" i="3"/>
  <c r="G248" i="3"/>
  <c r="E248" i="3"/>
  <c r="T248" i="3"/>
  <c r="D248" i="3"/>
  <c r="W146" i="3"/>
  <c r="N146" i="3"/>
  <c r="D146" i="3"/>
  <c r="X146" i="3"/>
  <c r="V146" i="3"/>
  <c r="G146" i="3"/>
  <c r="B147" i="3"/>
  <c r="E146" i="3"/>
  <c r="C146" i="3"/>
  <c r="J300" i="3"/>
  <c r="M300" i="3" s="1"/>
  <c r="I300" i="3"/>
  <c r="B98" i="3"/>
  <c r="G97" i="3"/>
  <c r="X97" i="3"/>
  <c r="E97" i="3"/>
  <c r="W97" i="3"/>
  <c r="N97" i="3"/>
  <c r="D97" i="3"/>
  <c r="V97" i="3"/>
  <c r="C97" i="3"/>
  <c r="M72" i="3"/>
  <c r="O72" i="3" s="1"/>
  <c r="H247" i="3"/>
  <c r="I169" i="3"/>
  <c r="J169" i="3" s="1"/>
  <c r="H276" i="3"/>
  <c r="C277" i="3"/>
  <c r="H277" i="3" s="1"/>
  <c r="Z299" i="3"/>
  <c r="W300" i="3" s="1"/>
  <c r="Y299" i="3"/>
  <c r="X299" i="3"/>
  <c r="I275" i="3"/>
  <c r="J275" i="3" s="1"/>
  <c r="M275" i="3" s="1"/>
  <c r="I299" i="3"/>
  <c r="J299" i="3" s="1"/>
  <c r="M299" i="3" s="1"/>
  <c r="T40" i="3"/>
  <c r="G40" i="3"/>
  <c r="F40" i="3"/>
  <c r="B41" i="3"/>
  <c r="N40" i="3"/>
  <c r="E40" i="3"/>
  <c r="V40" i="3"/>
  <c r="D40" i="3"/>
  <c r="C40" i="3"/>
  <c r="U40" i="3"/>
  <c r="K66" i="3"/>
  <c r="H67" i="3" s="1"/>
  <c r="E301" i="3"/>
  <c r="D301" i="3"/>
  <c r="N301" i="3"/>
  <c r="C301" i="3"/>
  <c r="T301" i="3"/>
  <c r="B302" i="3"/>
  <c r="V301" i="3"/>
  <c r="G301" i="3"/>
  <c r="K116" i="3"/>
  <c r="H117" i="3" s="1"/>
  <c r="Q223" i="3" l="1"/>
  <c r="R223" i="3" s="1"/>
  <c r="O224" i="3" s="1"/>
  <c r="Q224" i="3" s="1"/>
  <c r="P223" i="3"/>
  <c r="Y233" i="3"/>
  <c r="Z233" i="3" s="1"/>
  <c r="W234" i="3" s="1"/>
  <c r="Y234" i="3" s="1"/>
  <c r="AL146" i="3"/>
  <c r="P273" i="3"/>
  <c r="Y35" i="3"/>
  <c r="X35" i="3"/>
  <c r="Z35" i="3" s="1"/>
  <c r="W36" i="3" s="1"/>
  <c r="X234" i="3"/>
  <c r="O24" i="3"/>
  <c r="R273" i="3"/>
  <c r="O274" i="3" s="1"/>
  <c r="Q274" i="3" s="1"/>
  <c r="AL196" i="3"/>
  <c r="R174" i="3"/>
  <c r="K169" i="3"/>
  <c r="H170" i="3" s="1"/>
  <c r="U116" i="3"/>
  <c r="Y116" i="3" s="1"/>
  <c r="M175" i="3"/>
  <c r="O175" i="3" s="1"/>
  <c r="U66" i="3"/>
  <c r="Y66" i="3" s="1"/>
  <c r="P224" i="3"/>
  <c r="G41" i="3"/>
  <c r="F41" i="3"/>
  <c r="B42" i="3"/>
  <c r="N41" i="3"/>
  <c r="E41" i="3"/>
  <c r="V41" i="3"/>
  <c r="D41" i="3"/>
  <c r="U41" i="3"/>
  <c r="C41" i="3"/>
  <c r="T41" i="3"/>
  <c r="I277" i="3"/>
  <c r="J277" i="3" s="1"/>
  <c r="M277" i="3" s="1"/>
  <c r="W147" i="3"/>
  <c r="N147" i="3"/>
  <c r="D147" i="3"/>
  <c r="G147" i="3"/>
  <c r="B148" i="3"/>
  <c r="E147" i="3"/>
  <c r="C147" i="3"/>
  <c r="X147" i="3"/>
  <c r="V147" i="3"/>
  <c r="Q72" i="3"/>
  <c r="P72" i="3"/>
  <c r="I67" i="3"/>
  <c r="J67" i="3" s="1"/>
  <c r="T67" i="3" s="1"/>
  <c r="I276" i="3"/>
  <c r="J276" i="3" s="1"/>
  <c r="M276" i="3" s="1"/>
  <c r="V302" i="3"/>
  <c r="T302" i="3"/>
  <c r="B303" i="3"/>
  <c r="G302" i="3"/>
  <c r="D302" i="3"/>
  <c r="N302" i="3"/>
  <c r="C302" i="3"/>
  <c r="H302" i="3" s="1"/>
  <c r="E302" i="3"/>
  <c r="Q24" i="3"/>
  <c r="P24" i="3"/>
  <c r="V98" i="3"/>
  <c r="C98" i="3"/>
  <c r="B99" i="3"/>
  <c r="G98" i="3"/>
  <c r="X98" i="3"/>
  <c r="E98" i="3"/>
  <c r="N98" i="3"/>
  <c r="D98" i="3"/>
  <c r="W98" i="3"/>
  <c r="H301" i="3"/>
  <c r="K24" i="3"/>
  <c r="H25" i="3" s="1"/>
  <c r="P274" i="3"/>
  <c r="I170" i="3"/>
  <c r="J170" i="3" s="1"/>
  <c r="I247" i="3"/>
  <c r="J247" i="3"/>
  <c r="M247" i="3" s="1"/>
  <c r="G249" i="3"/>
  <c r="D249" i="3"/>
  <c r="N249" i="3"/>
  <c r="B250" i="3"/>
  <c r="V249" i="3"/>
  <c r="E249" i="3"/>
  <c r="T249" i="3"/>
  <c r="C249" i="3"/>
  <c r="W198" i="3"/>
  <c r="N198" i="3"/>
  <c r="D198" i="3"/>
  <c r="B199" i="3"/>
  <c r="U198" i="3"/>
  <c r="V198" i="3"/>
  <c r="G198" i="3"/>
  <c r="C198" i="3"/>
  <c r="E198" i="3"/>
  <c r="Z174" i="3"/>
  <c r="Y174" i="3"/>
  <c r="Q122" i="3"/>
  <c r="P122" i="3"/>
  <c r="R122" i="3" s="1"/>
  <c r="Y300" i="3"/>
  <c r="X300" i="3"/>
  <c r="Z300" i="3" s="1"/>
  <c r="W301" i="3" s="1"/>
  <c r="I248" i="3"/>
  <c r="J248" i="3" s="1"/>
  <c r="M248" i="3" s="1"/>
  <c r="I117" i="3"/>
  <c r="J117" i="3" s="1"/>
  <c r="T117" i="3" s="1"/>
  <c r="Z234" i="3" l="1"/>
  <c r="W235" i="3" s="1"/>
  <c r="Y36" i="3"/>
  <c r="X36" i="3"/>
  <c r="R274" i="3"/>
  <c r="O275" i="3" s="1"/>
  <c r="Q275" i="3" s="1"/>
  <c r="R224" i="3"/>
  <c r="O225" i="3" s="1"/>
  <c r="P225" i="3" s="1"/>
  <c r="R24" i="3"/>
  <c r="AK255" i="3"/>
  <c r="X175" i="3" s="1"/>
  <c r="R72" i="3"/>
  <c r="M73" i="3" s="1"/>
  <c r="O73" i="3" s="1"/>
  <c r="AK147" i="3"/>
  <c r="Z66" i="3"/>
  <c r="Q175" i="3"/>
  <c r="P175" i="3"/>
  <c r="AK197" i="3"/>
  <c r="Z116" i="3"/>
  <c r="Y301" i="3"/>
  <c r="X301" i="3"/>
  <c r="Z301" i="3" s="1"/>
  <c r="W302" i="3" s="1"/>
  <c r="M123" i="3"/>
  <c r="O123" i="3" s="1"/>
  <c r="X99" i="3"/>
  <c r="E99" i="3"/>
  <c r="W99" i="3"/>
  <c r="N99" i="3"/>
  <c r="D99" i="3"/>
  <c r="V99" i="3"/>
  <c r="C99" i="3"/>
  <c r="B100" i="3"/>
  <c r="G99" i="3"/>
  <c r="I302" i="3"/>
  <c r="J302" i="3" s="1"/>
  <c r="M302" i="3" s="1"/>
  <c r="W199" i="3"/>
  <c r="N199" i="3"/>
  <c r="D199" i="3"/>
  <c r="B200" i="3"/>
  <c r="U199" i="3"/>
  <c r="E199" i="3"/>
  <c r="G199" i="3"/>
  <c r="C199" i="3"/>
  <c r="V199" i="3"/>
  <c r="I301" i="3"/>
  <c r="J301" i="3" s="1"/>
  <c r="M301" i="3" s="1"/>
  <c r="V250" i="3"/>
  <c r="B251" i="3"/>
  <c r="E250" i="3"/>
  <c r="G250" i="3"/>
  <c r="D250" i="3"/>
  <c r="T250" i="3"/>
  <c r="C250" i="3"/>
  <c r="N250" i="3"/>
  <c r="K170" i="3"/>
  <c r="H171" i="3" s="1"/>
  <c r="K67" i="3"/>
  <c r="H68" i="3" s="1"/>
  <c r="V42" i="3"/>
  <c r="D42" i="3"/>
  <c r="U42" i="3"/>
  <c r="C42" i="3"/>
  <c r="T42" i="3"/>
  <c r="G42" i="3"/>
  <c r="B43" i="3"/>
  <c r="F42" i="3"/>
  <c r="E42" i="3"/>
  <c r="N42" i="3"/>
  <c r="W148" i="3"/>
  <c r="N148" i="3"/>
  <c r="D148" i="3"/>
  <c r="B149" i="3"/>
  <c r="E148" i="3"/>
  <c r="C148" i="3"/>
  <c r="X148" i="3"/>
  <c r="V148" i="3"/>
  <c r="G148" i="3"/>
  <c r="H249" i="3"/>
  <c r="E303" i="3"/>
  <c r="D303" i="3"/>
  <c r="N303" i="3"/>
  <c r="C303" i="3"/>
  <c r="T303" i="3"/>
  <c r="G303" i="3"/>
  <c r="B304" i="3"/>
  <c r="V303" i="3"/>
  <c r="K117" i="3"/>
  <c r="H118" i="3" s="1"/>
  <c r="I25" i="3"/>
  <c r="J25" i="3" s="1"/>
  <c r="M25" i="3" s="1"/>
  <c r="O25" i="3" s="1"/>
  <c r="R175" i="3" l="1"/>
  <c r="AL147" i="3"/>
  <c r="Z36" i="3"/>
  <c r="W37" i="3" s="1"/>
  <c r="Y37" i="3" s="1"/>
  <c r="T175" i="3"/>
  <c r="Q225" i="3"/>
  <c r="R225" i="3" s="1"/>
  <c r="O226" i="3" s="1"/>
  <c r="P275" i="3"/>
  <c r="R275" i="3" s="1"/>
  <c r="O276" i="3" s="1"/>
  <c r="Q276" i="3" s="1"/>
  <c r="AL197" i="3"/>
  <c r="U117" i="3" s="1"/>
  <c r="Y117" i="3" s="1"/>
  <c r="Y235" i="3"/>
  <c r="X235" i="3"/>
  <c r="Z235" i="3" s="1"/>
  <c r="W236" i="3" s="1"/>
  <c r="M176" i="3"/>
  <c r="O176" i="3" s="1"/>
  <c r="Y302" i="3"/>
  <c r="X302" i="3"/>
  <c r="Z302" i="3" s="1"/>
  <c r="W303" i="3" s="1"/>
  <c r="U67" i="3"/>
  <c r="Y67" i="3" s="1"/>
  <c r="Q25" i="3"/>
  <c r="P25" i="3"/>
  <c r="R25" i="3" s="1"/>
  <c r="Q73" i="3"/>
  <c r="P73" i="3"/>
  <c r="I118" i="3"/>
  <c r="J118" i="3" s="1"/>
  <c r="T118" i="3" s="1"/>
  <c r="X100" i="3"/>
  <c r="G100" i="3"/>
  <c r="E100" i="3"/>
  <c r="B101" i="3"/>
  <c r="N100" i="3"/>
  <c r="D100" i="3"/>
  <c r="C100" i="3"/>
  <c r="W100" i="3"/>
  <c r="V100" i="3"/>
  <c r="V304" i="3"/>
  <c r="T304" i="3"/>
  <c r="B305" i="3"/>
  <c r="G304" i="3"/>
  <c r="D304" i="3"/>
  <c r="N304" i="3"/>
  <c r="C304" i="3"/>
  <c r="H304" i="3" s="1"/>
  <c r="E304" i="3"/>
  <c r="W149" i="3"/>
  <c r="N149" i="3"/>
  <c r="D149" i="3"/>
  <c r="X149" i="3"/>
  <c r="V149" i="3"/>
  <c r="G149" i="3"/>
  <c r="B150" i="3"/>
  <c r="E149" i="3"/>
  <c r="C149" i="3"/>
  <c r="J249" i="3"/>
  <c r="M249" i="3" s="1"/>
  <c r="I249" i="3"/>
  <c r="G43" i="3"/>
  <c r="F43" i="3"/>
  <c r="N43" i="3"/>
  <c r="E43" i="3"/>
  <c r="V43" i="3"/>
  <c r="D43" i="3"/>
  <c r="B44" i="3"/>
  <c r="U43" i="3"/>
  <c r="C43" i="3"/>
  <c r="T43" i="3"/>
  <c r="I68" i="3"/>
  <c r="J68" i="3" s="1"/>
  <c r="T68" i="3" s="1"/>
  <c r="I171" i="3"/>
  <c r="J171" i="3" s="1"/>
  <c r="W200" i="3"/>
  <c r="N200" i="3"/>
  <c r="D200" i="3"/>
  <c r="B201" i="3"/>
  <c r="U200" i="3"/>
  <c r="V200" i="3"/>
  <c r="G200" i="3"/>
  <c r="E200" i="3"/>
  <c r="C200" i="3"/>
  <c r="H303" i="3"/>
  <c r="D251" i="3"/>
  <c r="T251" i="3"/>
  <c r="N251" i="3"/>
  <c r="B252" i="3"/>
  <c r="G251" i="3"/>
  <c r="V251" i="3"/>
  <c r="E251" i="3"/>
  <c r="C251" i="3"/>
  <c r="H251" i="3" s="1"/>
  <c r="H250" i="3"/>
  <c r="Q123" i="3"/>
  <c r="P123" i="3"/>
  <c r="K25" i="3"/>
  <c r="H26" i="3" s="1"/>
  <c r="Z175" i="3"/>
  <c r="Y175" i="3"/>
  <c r="P276" i="3" l="1"/>
  <c r="R276" i="3" s="1"/>
  <c r="AT76" i="3" s="1"/>
  <c r="AW76" i="3" s="1"/>
  <c r="X37" i="3"/>
  <c r="Y236" i="3"/>
  <c r="X236" i="3"/>
  <c r="Q226" i="3"/>
  <c r="P226" i="3"/>
  <c r="Z37" i="3"/>
  <c r="W38" i="3" s="1"/>
  <c r="R123" i="3"/>
  <c r="R226" i="3"/>
  <c r="O227" i="3" s="1"/>
  <c r="Q227" i="3" s="1"/>
  <c r="K171" i="3"/>
  <c r="H172" i="3" s="1"/>
  <c r="I172" i="3" s="1"/>
  <c r="J172" i="3" s="1"/>
  <c r="R73" i="3"/>
  <c r="M74" i="3" s="1"/>
  <c r="O74" i="3" s="1"/>
  <c r="AK256" i="3"/>
  <c r="T176" i="3" s="1"/>
  <c r="Y303" i="3"/>
  <c r="X303" i="3"/>
  <c r="Z303" i="3" s="1"/>
  <c r="W304" i="3" s="1"/>
  <c r="Q176" i="3"/>
  <c r="P176" i="3"/>
  <c r="R176" i="3" s="1"/>
  <c r="M124" i="3"/>
  <c r="O124" i="3" s="1"/>
  <c r="X176" i="3"/>
  <c r="AK148" i="3"/>
  <c r="Z67" i="3"/>
  <c r="AK198" i="3"/>
  <c r="Z117" i="3"/>
  <c r="T252" i="3"/>
  <c r="B253" i="3"/>
  <c r="G252" i="3"/>
  <c r="E252" i="3"/>
  <c r="N252" i="3"/>
  <c r="C252" i="3"/>
  <c r="D252" i="3"/>
  <c r="V252" i="3"/>
  <c r="I304" i="3"/>
  <c r="J304" i="3" s="1"/>
  <c r="M304" i="3" s="1"/>
  <c r="J250" i="3"/>
  <c r="M250" i="3" s="1"/>
  <c r="I250" i="3"/>
  <c r="I251" i="3"/>
  <c r="J251" i="3"/>
  <c r="M251" i="3" s="1"/>
  <c r="K68" i="3"/>
  <c r="H69" i="3" s="1"/>
  <c r="K118" i="3"/>
  <c r="H119" i="3" s="1"/>
  <c r="I303" i="3"/>
  <c r="J303" i="3" s="1"/>
  <c r="M303" i="3" s="1"/>
  <c r="W201" i="3"/>
  <c r="N201" i="3"/>
  <c r="D201" i="3"/>
  <c r="B202" i="3"/>
  <c r="U201" i="3"/>
  <c r="C201" i="3"/>
  <c r="V201" i="3"/>
  <c r="G201" i="3"/>
  <c r="E201" i="3"/>
  <c r="E305" i="3"/>
  <c r="D305" i="3"/>
  <c r="N305" i="3"/>
  <c r="C305" i="3"/>
  <c r="T305" i="3"/>
  <c r="G305" i="3"/>
  <c r="B306" i="3"/>
  <c r="V305" i="3"/>
  <c r="I26" i="3"/>
  <c r="J26" i="3" s="1"/>
  <c r="M26" i="3" s="1"/>
  <c r="O26" i="3" s="1"/>
  <c r="W150" i="3"/>
  <c r="N150" i="3"/>
  <c r="D150" i="3"/>
  <c r="X150" i="3"/>
  <c r="V150" i="3"/>
  <c r="G150" i="3"/>
  <c r="B151" i="3"/>
  <c r="E150" i="3"/>
  <c r="C150" i="3"/>
  <c r="B102" i="3"/>
  <c r="E101" i="3"/>
  <c r="D101" i="3"/>
  <c r="C101" i="3"/>
  <c r="N101" i="3"/>
  <c r="X101" i="3"/>
  <c r="W101" i="3"/>
  <c r="V101" i="3"/>
  <c r="G101" i="3"/>
  <c r="B45" i="3"/>
  <c r="G44" i="3"/>
  <c r="F44" i="3"/>
  <c r="N44" i="3"/>
  <c r="E44" i="3"/>
  <c r="V44" i="3"/>
  <c r="D44" i="3"/>
  <c r="U44" i="3"/>
  <c r="C44" i="3"/>
  <c r="T44" i="3"/>
  <c r="Z236" i="3" l="1"/>
  <c r="W237" i="3" s="1"/>
  <c r="Y237" i="3" s="1"/>
  <c r="AL198" i="3"/>
  <c r="Y38" i="3"/>
  <c r="X38" i="3"/>
  <c r="O277" i="3"/>
  <c r="P227" i="3"/>
  <c r="R227" i="3" s="1"/>
  <c r="O228" i="3" s="1"/>
  <c r="K26" i="3"/>
  <c r="H27" i="3" s="1"/>
  <c r="I27" i="3" s="1"/>
  <c r="J27" i="3" s="1"/>
  <c r="M27" i="3" s="1"/>
  <c r="AL148" i="3"/>
  <c r="U68" i="3" s="1"/>
  <c r="Y68" i="3" s="1"/>
  <c r="Q26" i="3"/>
  <c r="P26" i="3"/>
  <c r="M177" i="3"/>
  <c r="O177" i="3" s="1"/>
  <c r="Q124" i="3"/>
  <c r="P124" i="3"/>
  <c r="U118" i="3"/>
  <c r="Y118" i="3"/>
  <c r="Y304" i="3"/>
  <c r="X304" i="3"/>
  <c r="Z304" i="3" s="1"/>
  <c r="W305" i="3" s="1"/>
  <c r="Q74" i="3"/>
  <c r="P74" i="3"/>
  <c r="E102" i="3"/>
  <c r="B103" i="3"/>
  <c r="D102" i="3"/>
  <c r="C102" i="3"/>
  <c r="N102" i="3"/>
  <c r="X102" i="3"/>
  <c r="W102" i="3"/>
  <c r="V102" i="3"/>
  <c r="G102" i="3"/>
  <c r="N253" i="3"/>
  <c r="C253" i="3"/>
  <c r="V253" i="3"/>
  <c r="T253" i="3"/>
  <c r="G253" i="3"/>
  <c r="E253" i="3"/>
  <c r="B254" i="3"/>
  <c r="D253" i="3"/>
  <c r="H252" i="3"/>
  <c r="H305" i="3"/>
  <c r="K172" i="3"/>
  <c r="H173" i="3" s="1"/>
  <c r="Z176" i="3"/>
  <c r="Y176" i="3"/>
  <c r="AK257" i="3" s="1"/>
  <c r="W151" i="3"/>
  <c r="N151" i="3"/>
  <c r="D151" i="3"/>
  <c r="G151" i="3"/>
  <c r="B152" i="3"/>
  <c r="E151" i="3"/>
  <c r="C151" i="3"/>
  <c r="X151" i="3"/>
  <c r="V151" i="3"/>
  <c r="W202" i="3"/>
  <c r="N202" i="3"/>
  <c r="D202" i="3"/>
  <c r="B203" i="3"/>
  <c r="U202" i="3"/>
  <c r="V202" i="3"/>
  <c r="G202" i="3"/>
  <c r="E202" i="3"/>
  <c r="C202" i="3"/>
  <c r="T45" i="3"/>
  <c r="B46" i="3"/>
  <c r="G45" i="3"/>
  <c r="F45" i="3"/>
  <c r="N45" i="3"/>
  <c r="E45" i="3"/>
  <c r="V45" i="3"/>
  <c r="D45" i="3"/>
  <c r="U45" i="3"/>
  <c r="C45" i="3"/>
  <c r="I119" i="3"/>
  <c r="J119" i="3" s="1"/>
  <c r="T119" i="3" s="1"/>
  <c r="Q277" i="3"/>
  <c r="P277" i="3"/>
  <c r="V306" i="3"/>
  <c r="T306" i="3"/>
  <c r="B307" i="3"/>
  <c r="G306" i="3"/>
  <c r="D306" i="3"/>
  <c r="N306" i="3"/>
  <c r="C306" i="3"/>
  <c r="H306" i="3" s="1"/>
  <c r="E306" i="3"/>
  <c r="I69" i="3"/>
  <c r="J69" i="3" s="1"/>
  <c r="T69" i="3" s="1"/>
  <c r="X237" i="3" l="1"/>
  <c r="Z237" i="3" s="1"/>
  <c r="W238" i="3" s="1"/>
  <c r="R74" i="3"/>
  <c r="M75" i="3" s="1"/>
  <c r="O75" i="3" s="1"/>
  <c r="Z38" i="3"/>
  <c r="W39" i="3" s="1"/>
  <c r="Y238" i="3"/>
  <c r="X238" i="3"/>
  <c r="Z238" i="3"/>
  <c r="W239" i="3" s="1"/>
  <c r="Q228" i="3"/>
  <c r="P228" i="3"/>
  <c r="R124" i="3"/>
  <c r="M125" i="3" s="1"/>
  <c r="O125" i="3" s="1"/>
  <c r="Y39" i="3"/>
  <c r="X39" i="3"/>
  <c r="R26" i="3"/>
  <c r="O27" i="3" s="1"/>
  <c r="Q27" i="3" s="1"/>
  <c r="R277" i="3"/>
  <c r="O278" i="3" s="1"/>
  <c r="Q278" i="3" s="1"/>
  <c r="Y305" i="3"/>
  <c r="Z305" i="3" s="1"/>
  <c r="W306" i="3" s="1"/>
  <c r="X305" i="3"/>
  <c r="Q177" i="3"/>
  <c r="P177" i="3"/>
  <c r="I306" i="3"/>
  <c r="J306" i="3" s="1"/>
  <c r="M306" i="3" s="1"/>
  <c r="W203" i="3"/>
  <c r="N203" i="3"/>
  <c r="D203" i="3"/>
  <c r="B204" i="3"/>
  <c r="U203" i="3"/>
  <c r="C203" i="3"/>
  <c r="G203" i="3"/>
  <c r="E203" i="3"/>
  <c r="V203" i="3"/>
  <c r="AK199" i="3"/>
  <c r="Z118" i="3"/>
  <c r="G254" i="3"/>
  <c r="E254" i="3"/>
  <c r="D254" i="3"/>
  <c r="N254" i="3"/>
  <c r="C254" i="3"/>
  <c r="H254" i="3" s="1"/>
  <c r="V254" i="3"/>
  <c r="B255" i="3"/>
  <c r="T254" i="3"/>
  <c r="W103" i="3"/>
  <c r="N103" i="3"/>
  <c r="D103" i="3"/>
  <c r="V103" i="3"/>
  <c r="C103" i="3"/>
  <c r="E103" i="3"/>
  <c r="B104" i="3"/>
  <c r="X103" i="3"/>
  <c r="G103" i="3"/>
  <c r="W152" i="3"/>
  <c r="N152" i="3"/>
  <c r="D152" i="3"/>
  <c r="B153" i="3"/>
  <c r="E152" i="3"/>
  <c r="C152" i="3"/>
  <c r="X152" i="3"/>
  <c r="V152" i="3"/>
  <c r="G152" i="3"/>
  <c r="X177" i="3"/>
  <c r="T177" i="3"/>
  <c r="K119" i="3"/>
  <c r="H120" i="3" s="1"/>
  <c r="I173" i="3"/>
  <c r="J173" i="3" s="1"/>
  <c r="U46" i="3"/>
  <c r="C46" i="3"/>
  <c r="T46" i="3"/>
  <c r="G46" i="3"/>
  <c r="F46" i="3"/>
  <c r="B47" i="3"/>
  <c r="N46" i="3"/>
  <c r="E46" i="3"/>
  <c r="D46" i="3"/>
  <c r="V46" i="3"/>
  <c r="K69" i="3"/>
  <c r="H70" i="3" s="1"/>
  <c r="E307" i="3"/>
  <c r="D307" i="3"/>
  <c r="N307" i="3"/>
  <c r="C307" i="3"/>
  <c r="T307" i="3"/>
  <c r="B308" i="3"/>
  <c r="V307" i="3"/>
  <c r="G307" i="3"/>
  <c r="K27" i="3"/>
  <c r="H28" i="3" s="1"/>
  <c r="I305" i="3"/>
  <c r="J305" i="3"/>
  <c r="M305" i="3" s="1"/>
  <c r="AK149" i="3"/>
  <c r="Z68" i="3"/>
  <c r="AL149" i="3" s="1"/>
  <c r="I252" i="3"/>
  <c r="J252" i="3"/>
  <c r="M252" i="3" s="1"/>
  <c r="H253" i="3"/>
  <c r="R228" i="3" l="1"/>
  <c r="O229" i="3" s="1"/>
  <c r="Z39" i="3"/>
  <c r="W40" i="3" s="1"/>
  <c r="Y40" i="3" s="1"/>
  <c r="Q229" i="3"/>
  <c r="R229" i="3" s="1"/>
  <c r="O230" i="3" s="1"/>
  <c r="P229" i="3"/>
  <c r="P27" i="3"/>
  <c r="R27" i="3" s="1"/>
  <c r="P278" i="3"/>
  <c r="R278" i="3" s="1"/>
  <c r="O279" i="3" s="1"/>
  <c r="P279" i="3" s="1"/>
  <c r="Y239" i="3"/>
  <c r="X239" i="3"/>
  <c r="Z239" i="3" s="1"/>
  <c r="W240" i="3" s="1"/>
  <c r="AL199" i="3"/>
  <c r="R177" i="3"/>
  <c r="M178" i="3" s="1"/>
  <c r="O178" i="3" s="1"/>
  <c r="Y306" i="3"/>
  <c r="X306" i="3"/>
  <c r="Z306" i="3" s="1"/>
  <c r="W307" i="3" s="1"/>
  <c r="U69" i="3"/>
  <c r="Y69" i="3" s="1"/>
  <c r="W204" i="3"/>
  <c r="N204" i="3"/>
  <c r="D204" i="3"/>
  <c r="B205" i="3"/>
  <c r="U204" i="3"/>
  <c r="E204" i="3"/>
  <c r="C204" i="3"/>
  <c r="G204" i="3"/>
  <c r="V204" i="3"/>
  <c r="G47" i="3"/>
  <c r="F47" i="3"/>
  <c r="B48" i="3"/>
  <c r="N47" i="3"/>
  <c r="E47" i="3"/>
  <c r="V47" i="3"/>
  <c r="D47" i="3"/>
  <c r="U47" i="3"/>
  <c r="C47" i="3"/>
  <c r="T47" i="3"/>
  <c r="K173" i="3"/>
  <c r="H174" i="3" s="1"/>
  <c r="I28" i="3"/>
  <c r="J28" i="3" s="1"/>
  <c r="M28" i="3" s="1"/>
  <c r="O28" i="3" s="1"/>
  <c r="I120" i="3"/>
  <c r="J120" i="3" s="1"/>
  <c r="T120" i="3" s="1"/>
  <c r="Q125" i="3"/>
  <c r="P125" i="3"/>
  <c r="V308" i="3"/>
  <c r="T308" i="3"/>
  <c r="B309" i="3"/>
  <c r="G308" i="3"/>
  <c r="D308" i="3"/>
  <c r="N308" i="3"/>
  <c r="C308" i="3"/>
  <c r="E308" i="3"/>
  <c r="I70" i="3"/>
  <c r="J70" i="3" s="1"/>
  <c r="T70" i="3" s="1"/>
  <c r="W153" i="3"/>
  <c r="N153" i="3"/>
  <c r="D153" i="3"/>
  <c r="X153" i="3"/>
  <c r="V153" i="3"/>
  <c r="G153" i="3"/>
  <c r="B154" i="3"/>
  <c r="E153" i="3"/>
  <c r="C153" i="3"/>
  <c r="Q75" i="3"/>
  <c r="P75" i="3"/>
  <c r="U119" i="3"/>
  <c r="Y119" i="3" s="1"/>
  <c r="J253" i="3"/>
  <c r="M253" i="3" s="1"/>
  <c r="I253" i="3"/>
  <c r="Z177" i="3"/>
  <c r="Y177" i="3"/>
  <c r="G104" i="3"/>
  <c r="X104" i="3"/>
  <c r="E104" i="3"/>
  <c r="C104" i="3"/>
  <c r="B105" i="3"/>
  <c r="N104" i="3"/>
  <c r="W104" i="3"/>
  <c r="V104" i="3"/>
  <c r="D104" i="3"/>
  <c r="V255" i="3"/>
  <c r="T255" i="3"/>
  <c r="B256" i="3"/>
  <c r="G255" i="3"/>
  <c r="D255" i="3"/>
  <c r="E255" i="3"/>
  <c r="C255" i="3"/>
  <c r="N255" i="3"/>
  <c r="I254" i="3"/>
  <c r="J254" i="3" s="1"/>
  <c r="M254" i="3" s="1"/>
  <c r="H307" i="3"/>
  <c r="Q230" i="3" l="1"/>
  <c r="P230" i="3"/>
  <c r="R230" i="3" s="1"/>
  <c r="O231" i="3" s="1"/>
  <c r="P231" i="3" s="1"/>
  <c r="X40" i="3"/>
  <c r="Z40" i="3" s="1"/>
  <c r="W41" i="3" s="1"/>
  <c r="AK258" i="3"/>
  <c r="T178" i="3" s="1"/>
  <c r="K70" i="3"/>
  <c r="H71" i="3" s="1"/>
  <c r="Q279" i="3"/>
  <c r="R75" i="3"/>
  <c r="Y240" i="3"/>
  <c r="Z240" i="3" s="1"/>
  <c r="W241" i="3" s="1"/>
  <c r="X240" i="3"/>
  <c r="K120" i="3"/>
  <c r="H121" i="3" s="1"/>
  <c r="I121" i="3" s="1"/>
  <c r="J121" i="3" s="1"/>
  <c r="T121" i="3" s="1"/>
  <c r="Y41" i="3"/>
  <c r="X41" i="3"/>
  <c r="Z41" i="3" s="1"/>
  <c r="W42" i="3" s="1"/>
  <c r="R279" i="3"/>
  <c r="O280" i="3" s="1"/>
  <c r="P280" i="3" s="1"/>
  <c r="R125" i="3"/>
  <c r="M126" i="3"/>
  <c r="O126" i="3" s="1"/>
  <c r="Y307" i="3"/>
  <c r="X307" i="3"/>
  <c r="Z307" i="3" s="1"/>
  <c r="W308" i="3" s="1"/>
  <c r="Q28" i="3"/>
  <c r="P28" i="3"/>
  <c r="AK200" i="3"/>
  <c r="Z119" i="3"/>
  <c r="X178" i="3"/>
  <c r="Q231" i="3"/>
  <c r="Q178" i="3"/>
  <c r="P178" i="3"/>
  <c r="R178" i="3" s="1"/>
  <c r="W154" i="3"/>
  <c r="N154" i="3"/>
  <c r="D154" i="3"/>
  <c r="X154" i="3"/>
  <c r="V154" i="3"/>
  <c r="G154" i="3"/>
  <c r="B155" i="3"/>
  <c r="E154" i="3"/>
  <c r="C154" i="3"/>
  <c r="I71" i="3"/>
  <c r="J71" i="3" s="1"/>
  <c r="T71" i="3" s="1"/>
  <c r="AK150" i="3"/>
  <c r="Z69" i="3"/>
  <c r="H255" i="3"/>
  <c r="E309" i="3"/>
  <c r="D309" i="3"/>
  <c r="N309" i="3"/>
  <c r="C309" i="3"/>
  <c r="T309" i="3"/>
  <c r="B310" i="3"/>
  <c r="V309" i="3"/>
  <c r="G309" i="3"/>
  <c r="K28" i="3"/>
  <c r="H29" i="3" s="1"/>
  <c r="I174" i="3"/>
  <c r="J174" i="3" s="1"/>
  <c r="N48" i="3"/>
  <c r="E48" i="3"/>
  <c r="V48" i="3"/>
  <c r="D48" i="3"/>
  <c r="U48" i="3"/>
  <c r="C48" i="3"/>
  <c r="T48" i="3"/>
  <c r="B49" i="3"/>
  <c r="G48" i="3"/>
  <c r="F48" i="3"/>
  <c r="H308" i="3"/>
  <c r="I307" i="3"/>
  <c r="J307" i="3"/>
  <c r="M307" i="3" s="1"/>
  <c r="M76" i="3"/>
  <c r="O76" i="3" s="1"/>
  <c r="D256" i="3"/>
  <c r="N256" i="3"/>
  <c r="C256" i="3"/>
  <c r="V256" i="3"/>
  <c r="B257" i="3"/>
  <c r="G256" i="3"/>
  <c r="E256" i="3"/>
  <c r="T256" i="3"/>
  <c r="B106" i="3"/>
  <c r="X105" i="3"/>
  <c r="V105" i="3"/>
  <c r="C105" i="3"/>
  <c r="N105" i="3"/>
  <c r="W105" i="3"/>
  <c r="G105" i="3"/>
  <c r="E105" i="3"/>
  <c r="D105" i="3"/>
  <c r="W205" i="3"/>
  <c r="N205" i="3"/>
  <c r="D205" i="3"/>
  <c r="B206" i="3"/>
  <c r="U205" i="3"/>
  <c r="V205" i="3"/>
  <c r="G205" i="3"/>
  <c r="E205" i="3"/>
  <c r="C205" i="3"/>
  <c r="Q280" i="3" l="1"/>
  <c r="R280" i="3" s="1"/>
  <c r="O281" i="3" s="1"/>
  <c r="AL150" i="3"/>
  <c r="Y42" i="3"/>
  <c r="X42" i="3"/>
  <c r="Y241" i="3"/>
  <c r="Z241" i="3" s="1"/>
  <c r="W242" i="3" s="1"/>
  <c r="X241" i="3"/>
  <c r="K121" i="3"/>
  <c r="H122" i="3" s="1"/>
  <c r="I122" i="3" s="1"/>
  <c r="J122" i="3" s="1"/>
  <c r="T122" i="3" s="1"/>
  <c r="R28" i="3"/>
  <c r="R231" i="3"/>
  <c r="O232" i="3" s="1"/>
  <c r="Q232" i="3" s="1"/>
  <c r="K71" i="3"/>
  <c r="H72" i="3" s="1"/>
  <c r="I72" i="3" s="1"/>
  <c r="J72" i="3" s="1"/>
  <c r="T72" i="3" s="1"/>
  <c r="AL200" i="3"/>
  <c r="U120" i="3" s="1"/>
  <c r="Y120" i="3" s="1"/>
  <c r="M179" i="3"/>
  <c r="O179" i="3" s="1"/>
  <c r="Y308" i="3"/>
  <c r="X308" i="3"/>
  <c r="Z308" i="3" s="1"/>
  <c r="W309" i="3" s="1"/>
  <c r="Q76" i="3"/>
  <c r="P76" i="3"/>
  <c r="U70" i="3"/>
  <c r="Y70" i="3" s="1"/>
  <c r="W206" i="3"/>
  <c r="N206" i="3"/>
  <c r="D206" i="3"/>
  <c r="B207" i="3"/>
  <c r="U206" i="3"/>
  <c r="V206" i="3"/>
  <c r="G206" i="3"/>
  <c r="C206" i="3"/>
  <c r="E206" i="3"/>
  <c r="V310" i="3"/>
  <c r="T310" i="3"/>
  <c r="B311" i="3"/>
  <c r="G310" i="3"/>
  <c r="D310" i="3"/>
  <c r="N310" i="3"/>
  <c r="C310" i="3"/>
  <c r="E310" i="3"/>
  <c r="I255" i="3"/>
  <c r="J255" i="3" s="1"/>
  <c r="M255" i="3" s="1"/>
  <c r="Z178" i="3"/>
  <c r="Y178" i="3"/>
  <c r="Q126" i="3"/>
  <c r="P126" i="3"/>
  <c r="G49" i="3"/>
  <c r="F49" i="3"/>
  <c r="N49" i="3"/>
  <c r="E49" i="3"/>
  <c r="V49" i="3"/>
  <c r="D49" i="3"/>
  <c r="U49" i="3"/>
  <c r="C49" i="3"/>
  <c r="T49" i="3"/>
  <c r="B50" i="3"/>
  <c r="W155" i="3"/>
  <c r="N155" i="3"/>
  <c r="D155" i="3"/>
  <c r="G155" i="3"/>
  <c r="B156" i="3"/>
  <c r="E155" i="3"/>
  <c r="C155" i="3"/>
  <c r="X155" i="3"/>
  <c r="V155" i="3"/>
  <c r="B258" i="3"/>
  <c r="G257" i="3"/>
  <c r="E257" i="3"/>
  <c r="D257" i="3"/>
  <c r="C257" i="3"/>
  <c r="V257" i="3"/>
  <c r="T257" i="3"/>
  <c r="N257" i="3"/>
  <c r="K174" i="3"/>
  <c r="H175" i="3" s="1"/>
  <c r="H309" i="3"/>
  <c r="X106" i="3"/>
  <c r="E106" i="3"/>
  <c r="G106" i="3"/>
  <c r="D106" i="3"/>
  <c r="W106" i="3"/>
  <c r="C106" i="3"/>
  <c r="V106" i="3"/>
  <c r="N106" i="3"/>
  <c r="I29" i="3"/>
  <c r="J29" i="3" s="1"/>
  <c r="M29" i="3" s="1"/>
  <c r="O29" i="3" s="1"/>
  <c r="H256" i="3"/>
  <c r="I308" i="3"/>
  <c r="J308" i="3" s="1"/>
  <c r="M308" i="3" s="1"/>
  <c r="Q281" i="3" l="1"/>
  <c r="P281" i="3"/>
  <c r="P232" i="3"/>
  <c r="Z42" i="3"/>
  <c r="W43" i="3" s="1"/>
  <c r="X43" i="3" s="1"/>
  <c r="Z43" i="3" s="1"/>
  <c r="W44" i="3" s="1"/>
  <c r="R232" i="3"/>
  <c r="O233" i="3" s="1"/>
  <c r="Y242" i="3"/>
  <c r="X242" i="3"/>
  <c r="Y43" i="3"/>
  <c r="R126" i="3"/>
  <c r="K122" i="3"/>
  <c r="H123" i="3" s="1"/>
  <c r="AK259" i="3"/>
  <c r="T179" i="3" s="1"/>
  <c r="R281" i="3"/>
  <c r="O282" i="3" s="1"/>
  <c r="Q282" i="3" s="1"/>
  <c r="K29" i="3"/>
  <c r="H30" i="3" s="1"/>
  <c r="R76" i="3"/>
  <c r="M77" i="3" s="1"/>
  <c r="O77" i="3" s="1"/>
  <c r="M127" i="3"/>
  <c r="O127" i="3" s="1"/>
  <c r="AK151" i="3"/>
  <c r="Z70" i="3"/>
  <c r="AL151" i="3" s="1"/>
  <c r="Q29" i="3"/>
  <c r="P29" i="3"/>
  <c r="Q179" i="3"/>
  <c r="P179" i="3"/>
  <c r="AK201" i="3"/>
  <c r="Z120" i="3"/>
  <c r="Y309" i="3"/>
  <c r="X309" i="3"/>
  <c r="Z309" i="3" s="1"/>
  <c r="W310" i="3" s="1"/>
  <c r="Q233" i="3"/>
  <c r="P233" i="3"/>
  <c r="W156" i="3"/>
  <c r="N156" i="3"/>
  <c r="D156" i="3"/>
  <c r="E156" i="3"/>
  <c r="C156" i="3"/>
  <c r="X156" i="3"/>
  <c r="V156" i="3"/>
  <c r="G156" i="3"/>
  <c r="E311" i="3"/>
  <c r="D311" i="3"/>
  <c r="N311" i="3"/>
  <c r="C311" i="3"/>
  <c r="V311" i="3"/>
  <c r="T311" i="3"/>
  <c r="G311" i="3"/>
  <c r="I123" i="3"/>
  <c r="J123" i="3" s="1"/>
  <c r="T123" i="3" s="1"/>
  <c r="V258" i="3"/>
  <c r="T258" i="3"/>
  <c r="B259" i="3"/>
  <c r="E258" i="3"/>
  <c r="G258" i="3"/>
  <c r="D258" i="3"/>
  <c r="C258" i="3"/>
  <c r="N258" i="3"/>
  <c r="W207" i="3"/>
  <c r="N207" i="3"/>
  <c r="D207" i="3"/>
  <c r="V207" i="3"/>
  <c r="B208" i="3"/>
  <c r="U207" i="3"/>
  <c r="E207" i="3"/>
  <c r="G207" i="3"/>
  <c r="C207" i="3"/>
  <c r="I175" i="3"/>
  <c r="J175" i="3" s="1"/>
  <c r="K72" i="3"/>
  <c r="H73" i="3" s="1"/>
  <c r="H310" i="3"/>
  <c r="H257" i="3"/>
  <c r="I256" i="3"/>
  <c r="J256" i="3" s="1"/>
  <c r="M256" i="3" s="1"/>
  <c r="I30" i="3"/>
  <c r="J30" i="3" s="1"/>
  <c r="M30" i="3" s="1"/>
  <c r="G50" i="3"/>
  <c r="F50" i="3"/>
  <c r="N50" i="3"/>
  <c r="E50" i="3"/>
  <c r="B51" i="3"/>
  <c r="V50" i="3"/>
  <c r="D50" i="3"/>
  <c r="U50" i="3"/>
  <c r="C50" i="3"/>
  <c r="T50" i="3"/>
  <c r="I309" i="3"/>
  <c r="J309" i="3"/>
  <c r="M309" i="3" s="1"/>
  <c r="Z242" i="3" l="1"/>
  <c r="W243" i="3" s="1"/>
  <c r="P282" i="3"/>
  <c r="R29" i="3"/>
  <c r="R282" i="3"/>
  <c r="O283" i="3" s="1"/>
  <c r="Y44" i="3"/>
  <c r="X44" i="3"/>
  <c r="Z44" i="3" s="1"/>
  <c r="W45" i="3" s="1"/>
  <c r="X179" i="3"/>
  <c r="Y243" i="3"/>
  <c r="X243" i="3"/>
  <c r="R179" i="3"/>
  <c r="O30" i="3"/>
  <c r="K30" i="3"/>
  <c r="H31" i="3" s="1"/>
  <c r="I31" i="3" s="1"/>
  <c r="J31" i="3" s="1"/>
  <c r="M31" i="3" s="1"/>
  <c r="R233" i="3"/>
  <c r="O234" i="3" s="1"/>
  <c r="Q234" i="3" s="1"/>
  <c r="AL201" i="3"/>
  <c r="U121" i="3" s="1"/>
  <c r="Q77" i="3"/>
  <c r="P77" i="3"/>
  <c r="R77" i="3" s="1"/>
  <c r="Y310" i="3"/>
  <c r="X310" i="3"/>
  <c r="Z310" i="3" s="1"/>
  <c r="W311" i="3" s="1"/>
  <c r="U71" i="3"/>
  <c r="Y71" i="3" s="1"/>
  <c r="Q283" i="3"/>
  <c r="P283" i="3"/>
  <c r="M180" i="3"/>
  <c r="O180" i="3" s="1"/>
  <c r="Q127" i="3"/>
  <c r="P127" i="3"/>
  <c r="I310" i="3"/>
  <c r="J310" i="3" s="1"/>
  <c r="M310" i="3" s="1"/>
  <c r="I73" i="3"/>
  <c r="J73" i="3" s="1"/>
  <c r="T73" i="3" s="1"/>
  <c r="H258" i="3"/>
  <c r="Z179" i="3"/>
  <c r="Y179" i="3"/>
  <c r="W208" i="3"/>
  <c r="N208" i="3"/>
  <c r="D208" i="3"/>
  <c r="V208" i="3"/>
  <c r="C208" i="3"/>
  <c r="U208" i="3"/>
  <c r="E208" i="3"/>
  <c r="G208" i="3"/>
  <c r="K123" i="3"/>
  <c r="H124" i="3" s="1"/>
  <c r="K175" i="3"/>
  <c r="H176" i="3" s="1"/>
  <c r="I257" i="3"/>
  <c r="J257" i="3"/>
  <c r="M257" i="3" s="1"/>
  <c r="Q30" i="3"/>
  <c r="P30" i="3"/>
  <c r="R30" i="3" s="1"/>
  <c r="G51" i="3"/>
  <c r="F51" i="3"/>
  <c r="N51" i="3"/>
  <c r="E51" i="3"/>
  <c r="B52" i="3"/>
  <c r="V51" i="3"/>
  <c r="D51" i="3"/>
  <c r="U51" i="3"/>
  <c r="C51" i="3"/>
  <c r="T51" i="3"/>
  <c r="E259" i="3"/>
  <c r="D259" i="3"/>
  <c r="N259" i="3"/>
  <c r="C259" i="3"/>
  <c r="H259" i="3" s="1"/>
  <c r="T259" i="3"/>
  <c r="G259" i="3"/>
  <c r="B260" i="3"/>
  <c r="V259" i="3"/>
  <c r="H311" i="3"/>
  <c r="AK260" i="3" l="1"/>
  <c r="Z243" i="3"/>
  <c r="W244" i="3" s="1"/>
  <c r="X244" i="3" s="1"/>
  <c r="Z244" i="3" s="1"/>
  <c r="W245" i="3" s="1"/>
  <c r="Y244" i="3"/>
  <c r="Y45" i="3"/>
  <c r="X45" i="3"/>
  <c r="K31" i="3"/>
  <c r="H32" i="3" s="1"/>
  <c r="I32" i="3" s="1"/>
  <c r="J32" i="3" s="1"/>
  <c r="M32" i="3" s="1"/>
  <c r="O31" i="3"/>
  <c r="R283" i="3"/>
  <c r="O284" i="3" s="1"/>
  <c r="Q284" i="3" s="1"/>
  <c r="R127" i="3"/>
  <c r="M128" i="3" s="1"/>
  <c r="O128" i="3" s="1"/>
  <c r="P234" i="3"/>
  <c r="R234" i="3" s="1"/>
  <c r="O235" i="3" s="1"/>
  <c r="Q235" i="3" s="1"/>
  <c r="Y121" i="3"/>
  <c r="Z121" i="3" s="1"/>
  <c r="AU65" i="3" s="1"/>
  <c r="M78" i="3"/>
  <c r="O78" i="3" s="1"/>
  <c r="Q31" i="3"/>
  <c r="P31" i="3"/>
  <c r="Y311" i="3"/>
  <c r="X311" i="3"/>
  <c r="Z311" i="3" s="1"/>
  <c r="X180" i="3"/>
  <c r="T180" i="3"/>
  <c r="Q180" i="3"/>
  <c r="P180" i="3"/>
  <c r="I258" i="3"/>
  <c r="J258" i="3" s="1"/>
  <c r="M258" i="3" s="1"/>
  <c r="I176" i="3"/>
  <c r="J176" i="3" s="1"/>
  <c r="I124" i="3"/>
  <c r="J124" i="3" s="1"/>
  <c r="T124" i="3" s="1"/>
  <c r="K73" i="3"/>
  <c r="H74" i="3" s="1"/>
  <c r="I311" i="3"/>
  <c r="J311" i="3"/>
  <c r="M311" i="3" s="1"/>
  <c r="N52" i="3"/>
  <c r="E52" i="3"/>
  <c r="B53" i="3"/>
  <c r="V52" i="3"/>
  <c r="D52" i="3"/>
  <c r="U52" i="3"/>
  <c r="C52" i="3"/>
  <c r="T52" i="3"/>
  <c r="G52" i="3"/>
  <c r="F52" i="3"/>
  <c r="AK202" i="3"/>
  <c r="T260" i="3"/>
  <c r="G260" i="3"/>
  <c r="E260" i="3"/>
  <c r="N260" i="3"/>
  <c r="C260" i="3"/>
  <c r="D260" i="3"/>
  <c r="V260" i="3"/>
  <c r="I259" i="3"/>
  <c r="J259" i="3"/>
  <c r="M259" i="3" s="1"/>
  <c r="AK152" i="3"/>
  <c r="Z71" i="3"/>
  <c r="Z45" i="3" l="1"/>
  <c r="W46" i="3" s="1"/>
  <c r="R31" i="3"/>
  <c r="Y46" i="3"/>
  <c r="X46" i="3"/>
  <c r="Z46" i="3"/>
  <c r="W47" i="3" s="1"/>
  <c r="AL152" i="3"/>
  <c r="U72" i="3" s="1"/>
  <c r="Y72" i="3" s="1"/>
  <c r="X245" i="3"/>
  <c r="Y245" i="3"/>
  <c r="Z245" i="3" s="1"/>
  <c r="W246" i="3" s="1"/>
  <c r="R180" i="3"/>
  <c r="K124" i="3"/>
  <c r="H125" i="3" s="1"/>
  <c r="I125" i="3" s="1"/>
  <c r="J125" i="3" s="1"/>
  <c r="T125" i="3" s="1"/>
  <c r="K176" i="3"/>
  <c r="H177" i="3" s="1"/>
  <c r="P235" i="3"/>
  <c r="R235" i="3" s="1"/>
  <c r="O236" i="3" s="1"/>
  <c r="P236" i="3" s="1"/>
  <c r="P284" i="3"/>
  <c r="R284" i="3" s="1"/>
  <c r="O285" i="3" s="1"/>
  <c r="Q285" i="3" s="1"/>
  <c r="O32" i="3"/>
  <c r="Q32" i="3" s="1"/>
  <c r="Q128" i="3"/>
  <c r="P128" i="3"/>
  <c r="M181" i="3"/>
  <c r="O181" i="3" s="1"/>
  <c r="Q78" i="3"/>
  <c r="P78" i="3"/>
  <c r="Z180" i="3"/>
  <c r="Y180" i="3"/>
  <c r="I177" i="3"/>
  <c r="J177" i="3" s="1"/>
  <c r="H260" i="3"/>
  <c r="AL202" i="3"/>
  <c r="I74" i="3"/>
  <c r="J74" i="3" s="1"/>
  <c r="T74" i="3" s="1"/>
  <c r="U53" i="3"/>
  <c r="C53" i="3"/>
  <c r="V53" i="3"/>
  <c r="T53" i="3"/>
  <c r="B54" i="3"/>
  <c r="G53" i="3"/>
  <c r="F53" i="3"/>
  <c r="E53" i="3"/>
  <c r="N53" i="3"/>
  <c r="D53" i="3"/>
  <c r="K32" i="3"/>
  <c r="H33" i="3" s="1"/>
  <c r="Q236" i="3" l="1"/>
  <c r="Y246" i="3"/>
  <c r="X246" i="3"/>
  <c r="Z246" i="3"/>
  <c r="W247" i="3" s="1"/>
  <c r="Y47" i="3"/>
  <c r="X47" i="3"/>
  <c r="R128" i="3"/>
  <c r="M129" i="3" s="1"/>
  <c r="O129" i="3" s="1"/>
  <c r="P32" i="3"/>
  <c r="R32" i="3" s="1"/>
  <c r="P285" i="3"/>
  <c r="R285" i="3" s="1"/>
  <c r="O286" i="3" s="1"/>
  <c r="Q286" i="3" s="1"/>
  <c r="AK261" i="3"/>
  <c r="X181" i="3" s="1"/>
  <c r="K125" i="3"/>
  <c r="H126" i="3" s="1"/>
  <c r="R78" i="3"/>
  <c r="R236" i="3"/>
  <c r="O237" i="3" s="1"/>
  <c r="P237" i="3" s="1"/>
  <c r="Q181" i="3"/>
  <c r="P181" i="3"/>
  <c r="R181" i="3" s="1"/>
  <c r="M79" i="3"/>
  <c r="O79" i="3" s="1"/>
  <c r="AK153" i="3"/>
  <c r="Z72" i="3"/>
  <c r="AL153" i="3" s="1"/>
  <c r="P286" i="3"/>
  <c r="I260" i="3"/>
  <c r="J260" i="3"/>
  <c r="M260" i="3" s="1"/>
  <c r="K177" i="3"/>
  <c r="H178" i="3" s="1"/>
  <c r="U122" i="3"/>
  <c r="Y122" i="3" s="1"/>
  <c r="I126" i="3"/>
  <c r="J126" i="3" s="1"/>
  <c r="T126" i="3" s="1"/>
  <c r="K74" i="3"/>
  <c r="H75" i="3" s="1"/>
  <c r="I33" i="3"/>
  <c r="J33" i="3" s="1"/>
  <c r="M33" i="3" s="1"/>
  <c r="V54" i="3"/>
  <c r="D54" i="3"/>
  <c r="T54" i="3"/>
  <c r="G54" i="3"/>
  <c r="F54" i="3"/>
  <c r="B55" i="3"/>
  <c r="E54" i="3"/>
  <c r="C54" i="3"/>
  <c r="N54" i="3"/>
  <c r="U54" i="3"/>
  <c r="O33" i="3" l="1"/>
  <c r="Z47" i="3"/>
  <c r="W48" i="3" s="1"/>
  <c r="Y247" i="3"/>
  <c r="X247" i="3"/>
  <c r="Z247" i="3" s="1"/>
  <c r="W248" i="3" s="1"/>
  <c r="Q237" i="3"/>
  <c r="R237" i="3" s="1"/>
  <c r="O238" i="3" s="1"/>
  <c r="Q238" i="3" s="1"/>
  <c r="R286" i="3"/>
  <c r="T181" i="3"/>
  <c r="Q33" i="3"/>
  <c r="P33" i="3"/>
  <c r="AK203" i="3"/>
  <c r="Z122" i="3"/>
  <c r="AL203" i="3" s="1"/>
  <c r="O287" i="3"/>
  <c r="AT77" i="3"/>
  <c r="AW77" i="3" s="1"/>
  <c r="Q79" i="3"/>
  <c r="P79" i="3"/>
  <c r="M182" i="3"/>
  <c r="O182" i="3" s="1"/>
  <c r="U73" i="3"/>
  <c r="Y73" i="3" s="1"/>
  <c r="Q129" i="3"/>
  <c r="P129" i="3"/>
  <c r="R129" i="3" s="1"/>
  <c r="K126" i="3"/>
  <c r="H127" i="3" s="1"/>
  <c r="Z181" i="3"/>
  <c r="Y181" i="3"/>
  <c r="I75" i="3"/>
  <c r="J75" i="3" s="1"/>
  <c r="T75" i="3" s="1"/>
  <c r="I178" i="3"/>
  <c r="J178" i="3" s="1"/>
  <c r="K33" i="3"/>
  <c r="H34" i="3" s="1"/>
  <c r="V55" i="3"/>
  <c r="D55" i="3"/>
  <c r="E55" i="3"/>
  <c r="C55" i="3"/>
  <c r="N55" i="3"/>
  <c r="B56" i="3"/>
  <c r="U55" i="3"/>
  <c r="T55" i="3"/>
  <c r="G55" i="3"/>
  <c r="F55" i="3"/>
  <c r="R33" i="3" l="1"/>
  <c r="X248" i="3"/>
  <c r="Y248" i="3"/>
  <c r="Z248" i="3" s="1"/>
  <c r="W249" i="3" s="1"/>
  <c r="AK262" i="3"/>
  <c r="T182" i="3" s="1"/>
  <c r="X48" i="3"/>
  <c r="Y48" i="3"/>
  <c r="Z48" i="3"/>
  <c r="W49" i="3" s="1"/>
  <c r="K75" i="3"/>
  <c r="H76" i="3" s="1"/>
  <c r="I76" i="3" s="1"/>
  <c r="P238" i="3"/>
  <c r="R238" i="3" s="1"/>
  <c r="O239" i="3" s="1"/>
  <c r="R79" i="3"/>
  <c r="M80" i="3" s="1"/>
  <c r="O80" i="3" s="1"/>
  <c r="Q182" i="3"/>
  <c r="P182" i="3"/>
  <c r="R182" i="3" s="1"/>
  <c r="X182" i="3"/>
  <c r="M130" i="3"/>
  <c r="O130" i="3"/>
  <c r="AK154" i="3"/>
  <c r="Z73" i="3"/>
  <c r="U123" i="3"/>
  <c r="Y123" i="3" s="1"/>
  <c r="F56" i="3"/>
  <c r="N56" i="3"/>
  <c r="E56" i="3"/>
  <c r="V56" i="3"/>
  <c r="G56" i="3"/>
  <c r="U56" i="3"/>
  <c r="D56" i="3"/>
  <c r="T56" i="3"/>
  <c r="C56" i="3"/>
  <c r="I34" i="3"/>
  <c r="J34" i="3" s="1"/>
  <c r="M34" i="3" s="1"/>
  <c r="O34" i="3" s="1"/>
  <c r="I127" i="3"/>
  <c r="J127" i="3" s="1"/>
  <c r="T127" i="3" s="1"/>
  <c r="K178" i="3"/>
  <c r="H179" i="3" s="1"/>
  <c r="Q287" i="3"/>
  <c r="P287" i="3"/>
  <c r="Y49" i="3" l="1"/>
  <c r="X49" i="3"/>
  <c r="Z49" i="3" s="1"/>
  <c r="W50" i="3" s="1"/>
  <c r="Y249" i="3"/>
  <c r="X249" i="3"/>
  <c r="K127" i="3"/>
  <c r="H128" i="3" s="1"/>
  <c r="I128" i="3" s="1"/>
  <c r="J128" i="3" s="1"/>
  <c r="T128" i="3" s="1"/>
  <c r="J76" i="3"/>
  <c r="T76" i="3" s="1"/>
  <c r="K76" i="3"/>
  <c r="H77" i="3" s="1"/>
  <c r="I77" i="3" s="1"/>
  <c r="J77" i="3" s="1"/>
  <c r="T77" i="3" s="1"/>
  <c r="Q239" i="3"/>
  <c r="P239" i="3"/>
  <c r="R287" i="3"/>
  <c r="AL154" i="3"/>
  <c r="U74" i="3" s="1"/>
  <c r="Y74" i="3" s="1"/>
  <c r="AK204" i="3"/>
  <c r="Z123" i="3"/>
  <c r="AL204" i="3" s="1"/>
  <c r="Q80" i="3"/>
  <c r="P80" i="3"/>
  <c r="R80" i="3" s="1"/>
  <c r="Q34" i="3"/>
  <c r="P34" i="3"/>
  <c r="M183" i="3"/>
  <c r="O183" i="3" s="1"/>
  <c r="O288" i="3"/>
  <c r="AT78" i="3"/>
  <c r="AW78" i="3" s="1"/>
  <c r="K34" i="3"/>
  <c r="H35" i="3" s="1"/>
  <c r="Q130" i="3"/>
  <c r="P130" i="3"/>
  <c r="I179" i="3"/>
  <c r="J179" i="3" s="1"/>
  <c r="Z182" i="3"/>
  <c r="Y182" i="3"/>
  <c r="R34" i="3" l="1"/>
  <c r="Z249" i="3"/>
  <c r="W250" i="3" s="1"/>
  <c r="Y50" i="3"/>
  <c r="X50" i="3"/>
  <c r="Z50" i="3" s="1"/>
  <c r="W51" i="3" s="1"/>
  <c r="AK263" i="3"/>
  <c r="T183" i="3" s="1"/>
  <c r="R239" i="3"/>
  <c r="O240" i="3" s="1"/>
  <c r="R130" i="3"/>
  <c r="M131" i="3" s="1"/>
  <c r="O131" i="3" s="1"/>
  <c r="X183" i="3"/>
  <c r="U124" i="3"/>
  <c r="Y124" i="3" s="1"/>
  <c r="AK155" i="3"/>
  <c r="Z74" i="3"/>
  <c r="Q183" i="3"/>
  <c r="P183" i="3"/>
  <c r="Q288" i="3"/>
  <c r="P288" i="3"/>
  <c r="M81" i="3"/>
  <c r="O81" i="3" s="1"/>
  <c r="I35" i="3"/>
  <c r="J35" i="3" s="1"/>
  <c r="M35" i="3" s="1"/>
  <c r="O35" i="3" s="1"/>
  <c r="K128" i="3"/>
  <c r="H129" i="3" s="1"/>
  <c r="K179" i="3"/>
  <c r="H180" i="3" s="1"/>
  <c r="K77" i="3"/>
  <c r="H78" i="3" s="1"/>
  <c r="R288" i="3" l="1"/>
  <c r="O289" i="3" s="1"/>
  <c r="Y51" i="3"/>
  <c r="X51" i="3"/>
  <c r="Z51" i="3" s="1"/>
  <c r="W52" i="3" s="1"/>
  <c r="R183" i="3"/>
  <c r="M184" i="3" s="1"/>
  <c r="O184" i="3" s="1"/>
  <c r="X250" i="3"/>
  <c r="Y250" i="3"/>
  <c r="Z250" i="3" s="1"/>
  <c r="W251" i="3" s="1"/>
  <c r="Q240" i="3"/>
  <c r="P240" i="3"/>
  <c r="R240" i="3" s="1"/>
  <c r="O241" i="3" s="1"/>
  <c r="AL155" i="3"/>
  <c r="Q35" i="3"/>
  <c r="P35" i="3"/>
  <c r="R35" i="3" s="1"/>
  <c r="Q81" i="3"/>
  <c r="P81" i="3"/>
  <c r="AK205" i="3"/>
  <c r="Z124" i="3"/>
  <c r="AL205" i="3" s="1"/>
  <c r="Q131" i="3"/>
  <c r="P131" i="3"/>
  <c r="I180" i="3"/>
  <c r="J180" i="3" s="1"/>
  <c r="Q289" i="3"/>
  <c r="P289" i="3"/>
  <c r="I129" i="3"/>
  <c r="J129" i="3" s="1"/>
  <c r="T129" i="3" s="1"/>
  <c r="K35" i="3"/>
  <c r="H36" i="3" s="1"/>
  <c r="I78" i="3"/>
  <c r="J78" i="3" s="1"/>
  <c r="T78" i="3" s="1"/>
  <c r="U75" i="3"/>
  <c r="Y75" i="3" s="1"/>
  <c r="Z183" i="3"/>
  <c r="Y183" i="3"/>
  <c r="AK264" i="3" s="1"/>
  <c r="Y251" i="3" l="1"/>
  <c r="X251" i="3"/>
  <c r="Y52" i="3"/>
  <c r="X52" i="3"/>
  <c r="Z52" i="3" s="1"/>
  <c r="W53" i="3" s="1"/>
  <c r="Q241" i="3"/>
  <c r="P241" i="3"/>
  <c r="R289" i="3"/>
  <c r="O290" i="3" s="1"/>
  <c r="P290" i="3" s="1"/>
  <c r="K180" i="3"/>
  <c r="H181" i="3" s="1"/>
  <c r="I181" i="3" s="1"/>
  <c r="J181" i="3" s="1"/>
  <c r="R131" i="3"/>
  <c r="M132" i="3" s="1"/>
  <c r="O132" i="3" s="1"/>
  <c r="R81" i="3"/>
  <c r="M82" i="3" s="1"/>
  <c r="O82" i="3" s="1"/>
  <c r="U125" i="3"/>
  <c r="Y125" i="3" s="1"/>
  <c r="X184" i="3"/>
  <c r="T184" i="3"/>
  <c r="K129" i="3"/>
  <c r="H130" i="3" s="1"/>
  <c r="I36" i="3"/>
  <c r="J36" i="3" s="1"/>
  <c r="M36" i="3" s="1"/>
  <c r="O36" i="3" s="1"/>
  <c r="AK156" i="3"/>
  <c r="Z75" i="3"/>
  <c r="Q184" i="3"/>
  <c r="P184" i="3"/>
  <c r="K78" i="3"/>
  <c r="H79" i="3" s="1"/>
  <c r="R184" i="3" l="1"/>
  <c r="R241" i="3"/>
  <c r="O242" i="3" s="1"/>
  <c r="Q290" i="3"/>
  <c r="R290" i="3" s="1"/>
  <c r="O291" i="3" s="1"/>
  <c r="Z251" i="3"/>
  <c r="W252" i="3" s="1"/>
  <c r="X53" i="3"/>
  <c r="Y53" i="3"/>
  <c r="X252" i="3"/>
  <c r="Y252" i="3"/>
  <c r="Z252" i="3" s="1"/>
  <c r="W253" i="3" s="1"/>
  <c r="Q242" i="3"/>
  <c r="P242" i="3"/>
  <c r="R242" i="3" s="1"/>
  <c r="O243" i="3" s="1"/>
  <c r="AL156" i="3"/>
  <c r="U76" i="3" s="1"/>
  <c r="Y76" i="3" s="1"/>
  <c r="AT47" i="3"/>
  <c r="AT48" i="3"/>
  <c r="AU47" i="3"/>
  <c r="AV47" i="3" s="1"/>
  <c r="AU46" i="3"/>
  <c r="AT46" i="3"/>
  <c r="AU44" i="3"/>
  <c r="AT44" i="3"/>
  <c r="AS44" i="3"/>
  <c r="Q132" i="3"/>
  <c r="P132" i="3"/>
  <c r="R132" i="3" s="1"/>
  <c r="M185" i="3"/>
  <c r="O185" i="3" s="1"/>
  <c r="Q36" i="3"/>
  <c r="P36" i="3"/>
  <c r="R36" i="3" s="1"/>
  <c r="K36" i="3"/>
  <c r="H37" i="3" s="1"/>
  <c r="I130" i="3"/>
  <c r="J130" i="3" s="1"/>
  <c r="T130" i="3" s="1"/>
  <c r="AK206" i="3"/>
  <c r="Z125" i="3"/>
  <c r="K181" i="3"/>
  <c r="H182" i="3" s="1"/>
  <c r="Q82" i="3"/>
  <c r="P82" i="3"/>
  <c r="R82" i="3" s="1"/>
  <c r="I79" i="3"/>
  <c r="J79" i="3" s="1"/>
  <c r="T79" i="3" s="1"/>
  <c r="Z184" i="3"/>
  <c r="Y184" i="3"/>
  <c r="AK265" i="3" s="1"/>
  <c r="Q291" i="3" l="1"/>
  <c r="P291" i="3"/>
  <c r="X253" i="3"/>
  <c r="Y253" i="3"/>
  <c r="Z53" i="3"/>
  <c r="W54" i="3" s="1"/>
  <c r="AV46" i="3"/>
  <c r="Q243" i="3"/>
  <c r="P243" i="3"/>
  <c r="R243" i="3" s="1"/>
  <c r="O244" i="3" s="1"/>
  <c r="R291" i="3"/>
  <c r="O292" i="3" s="1"/>
  <c r="Q292" i="3" s="1"/>
  <c r="AL206" i="3"/>
  <c r="M133" i="3"/>
  <c r="O133" i="3" s="1"/>
  <c r="Q185" i="3"/>
  <c r="P185" i="3"/>
  <c r="U126" i="3"/>
  <c r="Y126" i="3" s="1"/>
  <c r="X185" i="3"/>
  <c r="T185" i="3"/>
  <c r="K79" i="3"/>
  <c r="H80" i="3" s="1"/>
  <c r="K130" i="3"/>
  <c r="H131" i="3" s="1"/>
  <c r="I37" i="3"/>
  <c r="J37" i="3" s="1"/>
  <c r="M37" i="3" s="1"/>
  <c r="O37" i="3" s="1"/>
  <c r="M83" i="3"/>
  <c r="O83" i="3" s="1"/>
  <c r="I182" i="3"/>
  <c r="J182" i="3" s="1"/>
  <c r="AK157" i="3"/>
  <c r="Z76" i="3"/>
  <c r="R185" i="3" l="1"/>
  <c r="P292" i="3"/>
  <c r="R292" i="3" s="1"/>
  <c r="O293" i="3" s="1"/>
  <c r="Q293" i="3" s="1"/>
  <c r="Y54" i="3"/>
  <c r="X54" i="3"/>
  <c r="Z253" i="3"/>
  <c r="W254" i="3" s="1"/>
  <c r="P244" i="3"/>
  <c r="Q244" i="3"/>
  <c r="AL157" i="3"/>
  <c r="M186" i="3"/>
  <c r="O186" i="3" s="1"/>
  <c r="Q37" i="3"/>
  <c r="P37" i="3"/>
  <c r="Q133" i="3"/>
  <c r="P133" i="3"/>
  <c r="K37" i="3"/>
  <c r="H38" i="3" s="1"/>
  <c r="I131" i="3"/>
  <c r="J131" i="3" s="1"/>
  <c r="T131" i="3" s="1"/>
  <c r="Z185" i="3"/>
  <c r="Y185" i="3"/>
  <c r="AK266" i="3" s="1"/>
  <c r="AK207" i="3"/>
  <c r="Z126" i="3"/>
  <c r="AL207" i="3" s="1"/>
  <c r="Q83" i="3"/>
  <c r="P83" i="3"/>
  <c r="K182" i="3"/>
  <c r="H183" i="3" s="1"/>
  <c r="I80" i="3"/>
  <c r="J80" i="3" s="1"/>
  <c r="T80" i="3" s="1"/>
  <c r="R244" i="3" l="1"/>
  <c r="O245" i="3" s="1"/>
  <c r="Y254" i="3"/>
  <c r="X254" i="3"/>
  <c r="U77" i="3"/>
  <c r="Y77" i="3" s="1"/>
  <c r="Z54" i="3"/>
  <c r="W55" i="3" s="1"/>
  <c r="P293" i="3"/>
  <c r="R293" i="3" s="1"/>
  <c r="O294" i="3" s="1"/>
  <c r="Q245" i="3"/>
  <c r="P245" i="3"/>
  <c r="R37" i="3"/>
  <c r="R83" i="3"/>
  <c r="M84" i="3" s="1"/>
  <c r="O84" i="3" s="1"/>
  <c r="R133" i="3"/>
  <c r="M134" i="3" s="1"/>
  <c r="O134" i="3" s="1"/>
  <c r="Q186" i="3"/>
  <c r="P186" i="3"/>
  <c r="X186" i="3"/>
  <c r="T186" i="3"/>
  <c r="U127" i="3"/>
  <c r="Y127" i="3" s="1"/>
  <c r="I183" i="3"/>
  <c r="J183" i="3" s="1"/>
  <c r="K131" i="3"/>
  <c r="H132" i="3" s="1"/>
  <c r="K80" i="3"/>
  <c r="H81" i="3" s="1"/>
  <c r="I38" i="3"/>
  <c r="J38" i="3" s="1"/>
  <c r="M38" i="3" s="1"/>
  <c r="O38" i="3" s="1"/>
  <c r="Q294" i="3" l="1"/>
  <c r="R294" i="3" s="1"/>
  <c r="O295" i="3" s="1"/>
  <c r="Q295" i="3" s="1"/>
  <c r="P294" i="3"/>
  <c r="AK158" i="3"/>
  <c r="Z77" i="3"/>
  <c r="AL158" i="3" s="1"/>
  <c r="Y55" i="3"/>
  <c r="X55" i="3"/>
  <c r="Z55" i="3" s="1"/>
  <c r="W56" i="3" s="1"/>
  <c r="Z254" i="3"/>
  <c r="W255" i="3" s="1"/>
  <c r="R245" i="3"/>
  <c r="O246" i="3" s="1"/>
  <c r="R186" i="3"/>
  <c r="M187" i="3" s="1"/>
  <c r="O187" i="3" s="1"/>
  <c r="Q134" i="3"/>
  <c r="P134" i="3"/>
  <c r="R134" i="3" s="1"/>
  <c r="AK208" i="3"/>
  <c r="Z127" i="3"/>
  <c r="U78" i="3"/>
  <c r="Y78" i="3" s="1"/>
  <c r="Z186" i="3"/>
  <c r="Y186" i="3"/>
  <c r="K38" i="3"/>
  <c r="H39" i="3" s="1"/>
  <c r="I81" i="3"/>
  <c r="J81" i="3" s="1"/>
  <c r="T81" i="3" s="1"/>
  <c r="K183" i="3"/>
  <c r="H184" i="3" s="1"/>
  <c r="Q38" i="3"/>
  <c r="P38" i="3"/>
  <c r="I132" i="3"/>
  <c r="J132" i="3" s="1"/>
  <c r="T132" i="3" s="1"/>
  <c r="Q84" i="3"/>
  <c r="P84" i="3"/>
  <c r="R84" i="3" l="1"/>
  <c r="AK267" i="3"/>
  <c r="AL208" i="3"/>
  <c r="U128" i="3" s="1"/>
  <c r="Y128" i="3" s="1"/>
  <c r="Y255" i="3"/>
  <c r="X255" i="3"/>
  <c r="Z255" i="3" s="1"/>
  <c r="W256" i="3" s="1"/>
  <c r="Y56" i="3"/>
  <c r="X56" i="3"/>
  <c r="Z56" i="3" s="1"/>
  <c r="P295" i="3"/>
  <c r="R295" i="3" s="1"/>
  <c r="O296" i="3" s="1"/>
  <c r="Q296" i="3" s="1"/>
  <c r="R38" i="3"/>
  <c r="Q246" i="3"/>
  <c r="P246" i="3"/>
  <c r="K132" i="3"/>
  <c r="H133" i="3" s="1"/>
  <c r="I133" i="3" s="1"/>
  <c r="J133" i="3" s="1"/>
  <c r="T133" i="3" s="1"/>
  <c r="Q187" i="3"/>
  <c r="P187" i="3"/>
  <c r="AK159" i="3"/>
  <c r="Z78" i="3"/>
  <c r="AL159" i="3" s="1"/>
  <c r="M85" i="3"/>
  <c r="O85" i="3" s="1"/>
  <c r="M135" i="3"/>
  <c r="O135" i="3" s="1"/>
  <c r="T187" i="3"/>
  <c r="X187" i="3"/>
  <c r="I184" i="3"/>
  <c r="J184" i="3" s="1"/>
  <c r="K81" i="3"/>
  <c r="H82" i="3" s="1"/>
  <c r="I39" i="3"/>
  <c r="J39" i="3" s="1"/>
  <c r="M39" i="3" s="1"/>
  <c r="K184" i="3" l="1"/>
  <c r="H185" i="3" s="1"/>
  <c r="R187" i="3"/>
  <c r="Y256" i="3"/>
  <c r="X256" i="3"/>
  <c r="Z256" i="3" s="1"/>
  <c r="W257" i="3" s="1"/>
  <c r="O39" i="3"/>
  <c r="Q39" i="3" s="1"/>
  <c r="P296" i="3"/>
  <c r="R296" i="3" s="1"/>
  <c r="O297" i="3" s="1"/>
  <c r="Q297" i="3" s="1"/>
  <c r="R246" i="3"/>
  <c r="O247" i="3" s="1"/>
  <c r="Q247" i="3" s="1"/>
  <c r="K133" i="3"/>
  <c r="H134" i="3" s="1"/>
  <c r="Q85" i="3"/>
  <c r="P85" i="3"/>
  <c r="R85" i="3" s="1"/>
  <c r="U79" i="3"/>
  <c r="Y79" i="3" s="1"/>
  <c r="P39" i="3"/>
  <c r="AK209" i="3"/>
  <c r="Z128" i="3"/>
  <c r="AL209" i="3" s="1"/>
  <c r="Q135" i="3"/>
  <c r="P135" i="3"/>
  <c r="M188" i="3"/>
  <c r="O188" i="3" s="1"/>
  <c r="I185" i="3"/>
  <c r="J185" i="3" s="1"/>
  <c r="I82" i="3"/>
  <c r="J82" i="3" s="1"/>
  <c r="T82" i="3" s="1"/>
  <c r="Z187" i="3"/>
  <c r="Y187" i="3"/>
  <c r="AK268" i="3" s="1"/>
  <c r="K39" i="3"/>
  <c r="H40" i="3" s="1"/>
  <c r="I134" i="3"/>
  <c r="J134" i="3" s="1"/>
  <c r="T134" i="3" s="1"/>
  <c r="P297" i="3" l="1"/>
  <c r="Y257" i="3"/>
  <c r="X257" i="3"/>
  <c r="P247" i="3"/>
  <c r="R247" i="3" s="1"/>
  <c r="O248" i="3" s="1"/>
  <c r="K185" i="3"/>
  <c r="H186" i="3" s="1"/>
  <c r="Q248" i="3"/>
  <c r="P248" i="3"/>
  <c r="R135" i="3"/>
  <c r="M136" i="3" s="1"/>
  <c r="O136" i="3" s="1"/>
  <c r="R297" i="3"/>
  <c r="O298" i="3" s="1"/>
  <c r="P298" i="3" s="1"/>
  <c r="R39" i="3"/>
  <c r="M86" i="3"/>
  <c r="O86" i="3"/>
  <c r="X188" i="3"/>
  <c r="T188" i="3"/>
  <c r="U129" i="3"/>
  <c r="Y129" i="3" s="1"/>
  <c r="K134" i="3"/>
  <c r="H135" i="3" s="1"/>
  <c r="AK160" i="3"/>
  <c r="Z79" i="3"/>
  <c r="AL160" i="3" s="1"/>
  <c r="Q188" i="3"/>
  <c r="P188" i="3"/>
  <c r="R188" i="3" s="1"/>
  <c r="I186" i="3"/>
  <c r="J186" i="3" s="1"/>
  <c r="I40" i="3"/>
  <c r="J40" i="3" s="1"/>
  <c r="M40" i="3" s="1"/>
  <c r="O40" i="3" s="1"/>
  <c r="K82" i="3"/>
  <c r="H83" i="3" s="1"/>
  <c r="R248" i="3" l="1"/>
  <c r="O249" i="3" s="1"/>
  <c r="Z257" i="3"/>
  <c r="W258" i="3" s="1"/>
  <c r="Y258" i="3"/>
  <c r="X258" i="3"/>
  <c r="Z258" i="3" s="1"/>
  <c r="W259" i="3" s="1"/>
  <c r="Q298" i="3"/>
  <c r="R298" i="3" s="1"/>
  <c r="O299" i="3" s="1"/>
  <c r="Q299" i="3" s="1"/>
  <c r="Q249" i="3"/>
  <c r="P249" i="3"/>
  <c r="K40" i="3"/>
  <c r="H41" i="3" s="1"/>
  <c r="I41" i="3" s="1"/>
  <c r="J41" i="3" s="1"/>
  <c r="M41" i="3" s="1"/>
  <c r="K186" i="3"/>
  <c r="H187" i="3" s="1"/>
  <c r="I187" i="3" s="1"/>
  <c r="J187" i="3" s="1"/>
  <c r="U80" i="3"/>
  <c r="Y80" i="3" s="1"/>
  <c r="Q40" i="3"/>
  <c r="P40" i="3"/>
  <c r="R40" i="3" s="1"/>
  <c r="M189" i="3"/>
  <c r="O189" i="3" s="1"/>
  <c r="AK210" i="3"/>
  <c r="Z129" i="3"/>
  <c r="AL210" i="3" s="1"/>
  <c r="Q136" i="3"/>
  <c r="P136" i="3"/>
  <c r="I83" i="3"/>
  <c r="J83" i="3" s="1"/>
  <c r="T83" i="3" s="1"/>
  <c r="Q86" i="3"/>
  <c r="P86" i="3"/>
  <c r="R86" i="3" s="1"/>
  <c r="I135" i="3"/>
  <c r="J135" i="3" s="1"/>
  <c r="T135" i="3" s="1"/>
  <c r="Z188" i="3"/>
  <c r="Y188" i="3"/>
  <c r="R249" i="3" l="1"/>
  <c r="O250" i="3" s="1"/>
  <c r="Y259" i="3"/>
  <c r="X259" i="3"/>
  <c r="P299" i="3"/>
  <c r="R299" i="3" s="1"/>
  <c r="O300" i="3" s="1"/>
  <c r="Q250" i="3"/>
  <c r="P250" i="3"/>
  <c r="R250" i="3" s="1"/>
  <c r="O251" i="3" s="1"/>
  <c r="AK269" i="3"/>
  <c r="X189" i="3" s="1"/>
  <c r="K187" i="3"/>
  <c r="H188" i="3" s="1"/>
  <c r="I188" i="3" s="1"/>
  <c r="J188" i="3" s="1"/>
  <c r="O41" i="3"/>
  <c r="Q41" i="3" s="1"/>
  <c r="R136" i="3"/>
  <c r="M137" i="3" s="1"/>
  <c r="O137" i="3" s="1"/>
  <c r="U130" i="3"/>
  <c r="Y130" i="3" s="1"/>
  <c r="Q189" i="3"/>
  <c r="P189" i="3"/>
  <c r="Q300" i="3"/>
  <c r="P300" i="3"/>
  <c r="AK161" i="3"/>
  <c r="Z80" i="3"/>
  <c r="K83" i="3"/>
  <c r="H84" i="3" s="1"/>
  <c r="K41" i="3"/>
  <c r="H42" i="3" s="1"/>
  <c r="K135" i="3"/>
  <c r="H136" i="3" s="1"/>
  <c r="M87" i="3"/>
  <c r="O87" i="3" s="1"/>
  <c r="R300" i="3" l="1"/>
  <c r="O301" i="3" s="1"/>
  <c r="K188" i="3"/>
  <c r="H189" i="3" s="1"/>
  <c r="T189" i="3"/>
  <c r="Z259" i="3"/>
  <c r="W260" i="3" s="1"/>
  <c r="P41" i="3"/>
  <c r="R41" i="3" s="1"/>
  <c r="P251" i="3"/>
  <c r="Q251" i="3"/>
  <c r="R189" i="3"/>
  <c r="AL161" i="3"/>
  <c r="U81" i="3" s="1"/>
  <c r="Y81" i="3" s="1"/>
  <c r="AK211" i="3"/>
  <c r="Z130" i="3"/>
  <c r="AL211" i="3" s="1"/>
  <c r="Q137" i="3"/>
  <c r="P137" i="3"/>
  <c r="R137" i="3" s="1"/>
  <c r="Q301" i="3"/>
  <c r="R301" i="3" s="1"/>
  <c r="O302" i="3" s="1"/>
  <c r="P301" i="3"/>
  <c r="I42" i="3"/>
  <c r="J42" i="3" s="1"/>
  <c r="M42" i="3" s="1"/>
  <c r="I84" i="3"/>
  <c r="J84" i="3" s="1"/>
  <c r="T84" i="3" s="1"/>
  <c r="I189" i="3"/>
  <c r="J189" i="3" s="1"/>
  <c r="I136" i="3"/>
  <c r="J136" i="3" s="1"/>
  <c r="T136" i="3" s="1"/>
  <c r="Q87" i="3"/>
  <c r="P87" i="3"/>
  <c r="Z189" i="3"/>
  <c r="Y189" i="3"/>
  <c r="M190" i="3" l="1"/>
  <c r="O190" i="3" s="1"/>
  <c r="Y260" i="3"/>
  <c r="X260" i="3"/>
  <c r="Z260" i="3" s="1"/>
  <c r="O42" i="3"/>
  <c r="Q42" i="3" s="1"/>
  <c r="AK270" i="3"/>
  <c r="T190" i="3" s="1"/>
  <c r="R251" i="3"/>
  <c r="O252" i="3" s="1"/>
  <c r="K189" i="3"/>
  <c r="H190" i="3" s="1"/>
  <c r="I190" i="3" s="1"/>
  <c r="J190" i="3" s="1"/>
  <c r="R87" i="3"/>
  <c r="M88" i="3" s="1"/>
  <c r="O88" i="3" s="1"/>
  <c r="K136" i="3"/>
  <c r="H137" i="3" s="1"/>
  <c r="I137" i="3" s="1"/>
  <c r="J137" i="3" s="1"/>
  <c r="T137" i="3" s="1"/>
  <c r="X190" i="3"/>
  <c r="U131" i="3"/>
  <c r="Y131" i="3" s="1"/>
  <c r="AK162" i="3"/>
  <c r="Z81" i="3"/>
  <c r="AL162" i="3" s="1"/>
  <c r="Q302" i="3"/>
  <c r="R302" i="3" s="1"/>
  <c r="O303" i="3" s="1"/>
  <c r="P302" i="3"/>
  <c r="M138" i="3"/>
  <c r="O138" i="3" s="1"/>
  <c r="K84" i="3"/>
  <c r="H85" i="3" s="1"/>
  <c r="K42" i="3"/>
  <c r="H43" i="3" s="1"/>
  <c r="Q190" i="3" l="1"/>
  <c r="P190" i="3"/>
  <c r="R190" i="3" s="1"/>
  <c r="M191" i="3" s="1"/>
  <c r="O191" i="3" s="1"/>
  <c r="K190" i="3"/>
  <c r="H191" i="3" s="1"/>
  <c r="P42" i="3"/>
  <c r="R42" i="3" s="1"/>
  <c r="P252" i="3"/>
  <c r="Q252" i="3"/>
  <c r="U82" i="3"/>
  <c r="Y82" i="3" s="1"/>
  <c r="Q88" i="3"/>
  <c r="P88" i="3"/>
  <c r="Z190" i="3"/>
  <c r="Y190" i="3"/>
  <c r="AK271" i="3" s="1"/>
  <c r="Q303" i="3"/>
  <c r="P303" i="3"/>
  <c r="I43" i="3"/>
  <c r="J43" i="3" s="1"/>
  <c r="M43" i="3" s="1"/>
  <c r="K137" i="3"/>
  <c r="H138" i="3" s="1"/>
  <c r="I85" i="3"/>
  <c r="J85" i="3" s="1"/>
  <c r="T85" i="3" s="1"/>
  <c r="Q138" i="3"/>
  <c r="P138" i="3"/>
  <c r="AK212" i="3"/>
  <c r="Z131" i="3"/>
  <c r="AU66" i="3" s="1"/>
  <c r="I191" i="3"/>
  <c r="J191" i="3" s="1"/>
  <c r="O43" i="3" l="1"/>
  <c r="R303" i="3"/>
  <c r="O304" i="3" s="1"/>
  <c r="R138" i="3"/>
  <c r="R252" i="3"/>
  <c r="O253" i="3" s="1"/>
  <c r="R88" i="3"/>
  <c r="M89" i="3" s="1"/>
  <c r="O89" i="3" s="1"/>
  <c r="K85" i="3"/>
  <c r="H86" i="3" s="1"/>
  <c r="I86" i="3" s="1"/>
  <c r="J86" i="3" s="1"/>
  <c r="T86" i="3" s="1"/>
  <c r="Q304" i="3"/>
  <c r="P304" i="3"/>
  <c r="Q43" i="3"/>
  <c r="P43" i="3"/>
  <c r="Q191" i="3"/>
  <c r="P191" i="3"/>
  <c r="R191" i="3" s="1"/>
  <c r="X191" i="3"/>
  <c r="T191" i="3"/>
  <c r="M139" i="3"/>
  <c r="O139" i="3" s="1"/>
  <c r="K191" i="3"/>
  <c r="H192" i="3" s="1"/>
  <c r="I138" i="3"/>
  <c r="J138" i="3" s="1"/>
  <c r="T138" i="3" s="1"/>
  <c r="AL212" i="3"/>
  <c r="K43" i="3"/>
  <c r="H44" i="3" s="1"/>
  <c r="AK163" i="3"/>
  <c r="Z82" i="3"/>
  <c r="R304" i="3" l="1"/>
  <c r="O305" i="3" s="1"/>
  <c r="Q253" i="3"/>
  <c r="P253" i="3"/>
  <c r="AL163" i="3"/>
  <c r="R43" i="3"/>
  <c r="Q305" i="3"/>
  <c r="P305" i="3"/>
  <c r="U83" i="3"/>
  <c r="Y83" i="3" s="1"/>
  <c r="Q139" i="3"/>
  <c r="P139" i="3"/>
  <c r="R139" i="3" s="1"/>
  <c r="AU48" i="3"/>
  <c r="Q89" i="3"/>
  <c r="P89" i="3"/>
  <c r="M192" i="3"/>
  <c r="O192" i="3" s="1"/>
  <c r="K138" i="3"/>
  <c r="H139" i="3" s="1"/>
  <c r="Z191" i="3"/>
  <c r="Y191" i="3"/>
  <c r="I192" i="3"/>
  <c r="J192" i="3" s="1"/>
  <c r="U132" i="3"/>
  <c r="Y132" i="3" s="1"/>
  <c r="I44" i="3"/>
  <c r="J44" i="3" s="1"/>
  <c r="M44" i="3" s="1"/>
  <c r="K86" i="3"/>
  <c r="H87" i="3" s="1"/>
  <c r="O44" i="3" l="1"/>
  <c r="R253" i="3"/>
  <c r="O254" i="3" s="1"/>
  <c r="R305" i="3"/>
  <c r="O306" i="3" s="1"/>
  <c r="Q254" i="3"/>
  <c r="P254" i="3"/>
  <c r="K44" i="3"/>
  <c r="H45" i="3" s="1"/>
  <c r="R89" i="3"/>
  <c r="M90" i="3" s="1"/>
  <c r="O90" i="3" s="1"/>
  <c r="AK272" i="3"/>
  <c r="X192" i="3" s="1"/>
  <c r="Q44" i="3"/>
  <c r="P44" i="3"/>
  <c r="R44" i="3" s="1"/>
  <c r="M140" i="3"/>
  <c r="O140" i="3" s="1"/>
  <c r="Q306" i="3"/>
  <c r="P306" i="3"/>
  <c r="R306" i="3" s="1"/>
  <c r="O307" i="3" s="1"/>
  <c r="AK213" i="3"/>
  <c r="Z132" i="3"/>
  <c r="K192" i="3"/>
  <c r="H193" i="3" s="1"/>
  <c r="I87" i="3"/>
  <c r="J87" i="3" s="1"/>
  <c r="T87" i="3" s="1"/>
  <c r="AK164" i="3"/>
  <c r="Z83" i="3"/>
  <c r="I45" i="3"/>
  <c r="J45" i="3" s="1"/>
  <c r="M45" i="3" s="1"/>
  <c r="I139" i="3"/>
  <c r="J139" i="3" s="1"/>
  <c r="T139" i="3" s="1"/>
  <c r="Q192" i="3"/>
  <c r="P192" i="3"/>
  <c r="T192" i="3" l="1"/>
  <c r="R254" i="3"/>
  <c r="O255" i="3" s="1"/>
  <c r="R192" i="3"/>
  <c r="AL213" i="3"/>
  <c r="AL164" i="3"/>
  <c r="O45" i="3"/>
  <c r="K45" i="3"/>
  <c r="H46" i="3" s="1"/>
  <c r="I46" i="3" s="1"/>
  <c r="J46" i="3" s="1"/>
  <c r="M46" i="3" s="1"/>
  <c r="M193" i="3"/>
  <c r="O193" i="3" s="1"/>
  <c r="Q307" i="3"/>
  <c r="P307" i="3"/>
  <c r="Q90" i="3"/>
  <c r="P90" i="3"/>
  <c r="U84" i="3"/>
  <c r="Y84" i="3" s="1"/>
  <c r="Q45" i="3"/>
  <c r="P45" i="3"/>
  <c r="U133" i="3"/>
  <c r="Q140" i="3"/>
  <c r="P140" i="3"/>
  <c r="K87" i="3"/>
  <c r="H88" i="3" s="1"/>
  <c r="Z192" i="3"/>
  <c r="Y192" i="3"/>
  <c r="K139" i="3"/>
  <c r="H140" i="3" s="1"/>
  <c r="I193" i="3"/>
  <c r="J193" i="3" s="1"/>
  <c r="R45" i="3" l="1"/>
  <c r="Y133" i="3"/>
  <c r="R140" i="3"/>
  <c r="Q255" i="3"/>
  <c r="P255" i="3"/>
  <c r="R307" i="3"/>
  <c r="O308" i="3" s="1"/>
  <c r="Q308" i="3" s="1"/>
  <c r="AK273" i="3"/>
  <c r="T193" i="3" s="1"/>
  <c r="O46" i="3"/>
  <c r="Q46" i="3" s="1"/>
  <c r="R90" i="3"/>
  <c r="M91" i="3" s="1"/>
  <c r="O91" i="3" s="1"/>
  <c r="AK165" i="3"/>
  <c r="Z84" i="3"/>
  <c r="AL165" i="3" s="1"/>
  <c r="Q193" i="3"/>
  <c r="P193" i="3"/>
  <c r="K46" i="3"/>
  <c r="H47" i="3" s="1"/>
  <c r="AK214" i="3"/>
  <c r="Z133" i="3"/>
  <c r="I88" i="3"/>
  <c r="J88" i="3" s="1"/>
  <c r="T88" i="3" s="1"/>
  <c r="K193" i="3"/>
  <c r="I140" i="3"/>
  <c r="J140" i="3" s="1"/>
  <c r="T140" i="3" s="1"/>
  <c r="M141" i="3"/>
  <c r="O141" i="3" s="1"/>
  <c r="X193" i="3" l="1"/>
  <c r="R255" i="3"/>
  <c r="O256" i="3" s="1"/>
  <c r="P308" i="3"/>
  <c r="Q256" i="3"/>
  <c r="P256" i="3"/>
  <c r="P46" i="3"/>
  <c r="R46" i="3" s="1"/>
  <c r="R308" i="3"/>
  <c r="O309" i="3" s="1"/>
  <c r="P309" i="3" s="1"/>
  <c r="AL214" i="3"/>
  <c r="R193" i="3"/>
  <c r="U85" i="3"/>
  <c r="Y85" i="3" s="1"/>
  <c r="Q91" i="3"/>
  <c r="P91" i="3"/>
  <c r="R91" i="3" s="1"/>
  <c r="Q141" i="3"/>
  <c r="P141" i="3"/>
  <c r="R141" i="3" s="1"/>
  <c r="Q309" i="3"/>
  <c r="H194" i="3"/>
  <c r="AV67" i="3"/>
  <c r="K88" i="3"/>
  <c r="H89" i="3" s="1"/>
  <c r="Z193" i="3"/>
  <c r="Y193" i="3"/>
  <c r="AK274" i="3" s="1"/>
  <c r="K140" i="3"/>
  <c r="H141" i="3" s="1"/>
  <c r="I47" i="3"/>
  <c r="J47" i="3" s="1"/>
  <c r="M47" i="3" s="1"/>
  <c r="O47" i="3" s="1"/>
  <c r="R256" i="3" l="1"/>
  <c r="O257" i="3" s="1"/>
  <c r="U134" i="3"/>
  <c r="Y134" i="3" s="1"/>
  <c r="M194" i="3"/>
  <c r="O194" i="3" s="1"/>
  <c r="Q257" i="3"/>
  <c r="P257" i="3"/>
  <c r="K47" i="3"/>
  <c r="H48" i="3" s="1"/>
  <c r="I48" i="3" s="1"/>
  <c r="J48" i="3" s="1"/>
  <c r="M48" i="3" s="1"/>
  <c r="R309" i="3"/>
  <c r="O310" i="3" s="1"/>
  <c r="Q310" i="3" s="1"/>
  <c r="M92" i="3"/>
  <c r="O92" i="3" s="1"/>
  <c r="X194" i="3"/>
  <c r="T194" i="3"/>
  <c r="AK166" i="3"/>
  <c r="Z85" i="3"/>
  <c r="I141" i="3"/>
  <c r="J141" i="3" s="1"/>
  <c r="T141" i="3" s="1"/>
  <c r="Q47" i="3"/>
  <c r="P47" i="3"/>
  <c r="R47" i="3" s="1"/>
  <c r="I89" i="3"/>
  <c r="J89" i="3" s="1"/>
  <c r="T89" i="3" s="1"/>
  <c r="M142" i="3"/>
  <c r="O142" i="3" s="1"/>
  <c r="I194" i="3"/>
  <c r="J194" i="3" s="1"/>
  <c r="R257" i="3" l="1"/>
  <c r="O258" i="3" s="1"/>
  <c r="Q194" i="3"/>
  <c r="P194" i="3"/>
  <c r="R194" i="3" s="1"/>
  <c r="AK215" i="3"/>
  <c r="Z134" i="3"/>
  <c r="AL215" i="3" s="1"/>
  <c r="U135" i="3" s="1"/>
  <c r="Y135" i="3" s="1"/>
  <c r="K89" i="3"/>
  <c r="H90" i="3" s="1"/>
  <c r="I90" i="3" s="1"/>
  <c r="J90" i="3" s="1"/>
  <c r="T90" i="3" s="1"/>
  <c r="AL166" i="3"/>
  <c r="U86" i="3" s="1"/>
  <c r="Y86" i="3" s="1"/>
  <c r="Q258" i="3"/>
  <c r="P258" i="3"/>
  <c r="P310" i="3"/>
  <c r="R310" i="3" s="1"/>
  <c r="O311" i="3" s="1"/>
  <c r="Q311" i="3" s="1"/>
  <c r="O48" i="3"/>
  <c r="M195" i="3"/>
  <c r="O195" i="3" s="1"/>
  <c r="Q142" i="3"/>
  <c r="P142" i="3"/>
  <c r="P311" i="3"/>
  <c r="Q92" i="3"/>
  <c r="P92" i="3"/>
  <c r="Q48" i="3"/>
  <c r="P48" i="3"/>
  <c r="K48" i="3"/>
  <c r="H49" i="3" s="1"/>
  <c r="K194" i="3"/>
  <c r="H195" i="3" s="1"/>
  <c r="K141" i="3"/>
  <c r="H142" i="3" s="1"/>
  <c r="Z194" i="3"/>
  <c r="Y194" i="3"/>
  <c r="R48" i="3" l="1"/>
  <c r="AK275" i="3"/>
  <c r="R258" i="3"/>
  <c r="O259" i="3" s="1"/>
  <c r="R92" i="3"/>
  <c r="P259" i="3"/>
  <c r="Q259" i="3"/>
  <c r="R259" i="3" s="1"/>
  <c r="O260" i="3" s="1"/>
  <c r="R142" i="3"/>
  <c r="M143" i="3" s="1"/>
  <c r="O143" i="3" s="1"/>
  <c r="R311" i="3"/>
  <c r="Q195" i="3"/>
  <c r="P195" i="3"/>
  <c r="AK167" i="3"/>
  <c r="Z86" i="3"/>
  <c r="M93" i="3"/>
  <c r="O93" i="3" s="1"/>
  <c r="I142" i="3"/>
  <c r="J142" i="3" s="1"/>
  <c r="T142" i="3" s="1"/>
  <c r="X195" i="3"/>
  <c r="T195" i="3"/>
  <c r="I195" i="3"/>
  <c r="J195" i="3" s="1"/>
  <c r="K195" i="3" s="1"/>
  <c r="H196" i="3" s="1"/>
  <c r="I49" i="3"/>
  <c r="J49" i="3" s="1"/>
  <c r="M49" i="3" s="1"/>
  <c r="O49" i="3" s="1"/>
  <c r="AK216" i="3"/>
  <c r="Z135" i="3"/>
  <c r="K90" i="3"/>
  <c r="H91" i="3" s="1"/>
  <c r="R195" i="3" l="1"/>
  <c r="Q260" i="3"/>
  <c r="P260" i="3"/>
  <c r="R260" i="3"/>
  <c r="AL216" i="3"/>
  <c r="U136" i="3" s="1"/>
  <c r="Y136" i="3" s="1"/>
  <c r="AL167" i="3"/>
  <c r="U87" i="3" s="1"/>
  <c r="Y87" i="3" s="1"/>
  <c r="Q93" i="3"/>
  <c r="P93" i="3"/>
  <c r="M196" i="3"/>
  <c r="O196" i="3" s="1"/>
  <c r="Q49" i="3"/>
  <c r="P49" i="3"/>
  <c r="R49" i="3" s="1"/>
  <c r="Q143" i="3"/>
  <c r="P143" i="3"/>
  <c r="I91" i="3"/>
  <c r="J91" i="3" s="1"/>
  <c r="T91" i="3" s="1"/>
  <c r="Z195" i="3"/>
  <c r="Y195" i="3"/>
  <c r="K142" i="3"/>
  <c r="H143" i="3" s="1"/>
  <c r="I196" i="3"/>
  <c r="J196" i="3" s="1"/>
  <c r="K49" i="3"/>
  <c r="H50" i="3" s="1"/>
  <c r="R93" i="3" l="1"/>
  <c r="K196" i="3"/>
  <c r="H197" i="3" s="1"/>
  <c r="AK276" i="3"/>
  <c r="K91" i="3"/>
  <c r="H92" i="3" s="1"/>
  <c r="I92" i="3" s="1"/>
  <c r="J92" i="3" s="1"/>
  <c r="T92" i="3" s="1"/>
  <c r="R143" i="3"/>
  <c r="M144" i="3" s="1"/>
  <c r="O144" i="3" s="1"/>
  <c r="T196" i="3"/>
  <c r="X196" i="3"/>
  <c r="AK168" i="3"/>
  <c r="Z87" i="3"/>
  <c r="M94" i="3"/>
  <c r="O94" i="3" s="1"/>
  <c r="AK217" i="3"/>
  <c r="Z136" i="3"/>
  <c r="AL217" i="3" s="1"/>
  <c r="I197" i="3"/>
  <c r="J197" i="3" s="1"/>
  <c r="Q196" i="3"/>
  <c r="P196" i="3"/>
  <c r="R196" i="3" s="1"/>
  <c r="I50" i="3"/>
  <c r="J50" i="3" s="1"/>
  <c r="M50" i="3" s="1"/>
  <c r="O50" i="3" s="1"/>
  <c r="I143" i="3"/>
  <c r="J143" i="3" s="1"/>
  <c r="T143" i="3" s="1"/>
  <c r="K143" i="3"/>
  <c r="H144" i="3" s="1"/>
  <c r="AL168" i="3" l="1"/>
  <c r="Q144" i="3"/>
  <c r="P144" i="3"/>
  <c r="R144" i="3" s="1"/>
  <c r="U88" i="3"/>
  <c r="Y88" i="3" s="1"/>
  <c r="Q50" i="3"/>
  <c r="P50" i="3"/>
  <c r="R50" i="3" s="1"/>
  <c r="U137" i="3"/>
  <c r="Y137" i="3" s="1"/>
  <c r="O197" i="3"/>
  <c r="M197" i="3"/>
  <c r="K197" i="3"/>
  <c r="H198" i="3" s="1"/>
  <c r="Q94" i="3"/>
  <c r="P94" i="3"/>
  <c r="R94" i="3" s="1"/>
  <c r="I144" i="3"/>
  <c r="J144" i="3" s="1"/>
  <c r="T144" i="3" s="1"/>
  <c r="K50" i="3"/>
  <c r="H51" i="3" s="1"/>
  <c r="K92" i="3"/>
  <c r="H93" i="3" s="1"/>
  <c r="Z196" i="3"/>
  <c r="Y196" i="3"/>
  <c r="AK277" i="3" l="1"/>
  <c r="AK218" i="3"/>
  <c r="Z137" i="3"/>
  <c r="AL218" i="3" s="1"/>
  <c r="AK169" i="3"/>
  <c r="Z88" i="3"/>
  <c r="AL169" i="3" s="1"/>
  <c r="T197" i="3"/>
  <c r="X197" i="3"/>
  <c r="M95" i="3"/>
  <c r="O95" i="3" s="1"/>
  <c r="M145" i="3"/>
  <c r="O145" i="3" s="1"/>
  <c r="I198" i="3"/>
  <c r="J198" i="3" s="1"/>
  <c r="I93" i="3"/>
  <c r="J93" i="3" s="1"/>
  <c r="T93" i="3" s="1"/>
  <c r="I51" i="3"/>
  <c r="J51" i="3" s="1"/>
  <c r="M51" i="3" s="1"/>
  <c r="O51" i="3" s="1"/>
  <c r="Q197" i="3"/>
  <c r="P197" i="3"/>
  <c r="R197" i="3" s="1"/>
  <c r="K144" i="3"/>
  <c r="H145" i="3" s="1"/>
  <c r="K198" i="3" l="1"/>
  <c r="H199" i="3" s="1"/>
  <c r="Q95" i="3"/>
  <c r="P95" i="3"/>
  <c r="R95" i="3" s="1"/>
  <c r="U89" i="3"/>
  <c r="Y89" i="3" s="1"/>
  <c r="Q145" i="3"/>
  <c r="P145" i="3"/>
  <c r="R145" i="3" s="1"/>
  <c r="M198" i="3"/>
  <c r="O198" i="3" s="1"/>
  <c r="Q51" i="3"/>
  <c r="P51" i="3"/>
  <c r="U138" i="3"/>
  <c r="Y138" i="3" s="1"/>
  <c r="I145" i="3"/>
  <c r="J145" i="3" s="1"/>
  <c r="T145" i="3" s="1"/>
  <c r="Z197" i="3"/>
  <c r="Y197" i="3"/>
  <c r="AK278" i="3" s="1"/>
  <c r="I199" i="3"/>
  <c r="J199" i="3" s="1"/>
  <c r="K51" i="3"/>
  <c r="H52" i="3" s="1"/>
  <c r="K93" i="3"/>
  <c r="H94" i="3" s="1"/>
  <c r="K145" i="3" l="1"/>
  <c r="H146" i="3" s="1"/>
  <c r="R51" i="3"/>
  <c r="AK170" i="3"/>
  <c r="Z89" i="3"/>
  <c r="AL170" i="3" s="1"/>
  <c r="Q198" i="3"/>
  <c r="P198" i="3"/>
  <c r="R198" i="3" s="1"/>
  <c r="M96" i="3"/>
  <c r="O96" i="3" s="1"/>
  <c r="X198" i="3"/>
  <c r="T198" i="3"/>
  <c r="M146" i="3"/>
  <c r="O146" i="3" s="1"/>
  <c r="AK219" i="3"/>
  <c r="Z138" i="3"/>
  <c r="AL219" i="3" s="1"/>
  <c r="I94" i="3"/>
  <c r="J94" i="3" s="1"/>
  <c r="T94" i="3" s="1"/>
  <c r="I52" i="3"/>
  <c r="J52" i="3" s="1"/>
  <c r="M52" i="3" s="1"/>
  <c r="O52" i="3" s="1"/>
  <c r="I146" i="3"/>
  <c r="J146" i="3" s="1"/>
  <c r="T146" i="3" s="1"/>
  <c r="K199" i="3"/>
  <c r="H200" i="3" s="1"/>
  <c r="M199" i="3" l="1"/>
  <c r="O199" i="3" s="1"/>
  <c r="U90" i="3"/>
  <c r="Y90" i="3" s="1"/>
  <c r="Q52" i="3"/>
  <c r="P52" i="3"/>
  <c r="R52" i="3" s="1"/>
  <c r="U139" i="3"/>
  <c r="Y139" i="3" s="1"/>
  <c r="Q146" i="3"/>
  <c r="P146" i="3"/>
  <c r="I200" i="3"/>
  <c r="J200" i="3" s="1"/>
  <c r="Q96" i="3"/>
  <c r="P96" i="3"/>
  <c r="R96" i="3" s="1"/>
  <c r="K146" i="3"/>
  <c r="H147" i="3" s="1"/>
  <c r="K52" i="3"/>
  <c r="H53" i="3" s="1"/>
  <c r="Z198" i="3"/>
  <c r="Y198" i="3"/>
  <c r="K94" i="3"/>
  <c r="H95" i="3" s="1"/>
  <c r="AK279" i="3" l="1"/>
  <c r="R146" i="3"/>
  <c r="AK171" i="3"/>
  <c r="Z90" i="3"/>
  <c r="AL171" i="3" s="1"/>
  <c r="X199" i="3"/>
  <c r="T199" i="3"/>
  <c r="M147" i="3"/>
  <c r="O147" i="3" s="1"/>
  <c r="I95" i="3"/>
  <c r="J95" i="3" s="1"/>
  <c r="T95" i="3" s="1"/>
  <c r="AK220" i="3"/>
  <c r="Z139" i="3"/>
  <c r="AL220" i="3" s="1"/>
  <c r="K200" i="3"/>
  <c r="H201" i="3" s="1"/>
  <c r="I53" i="3"/>
  <c r="J53" i="3" s="1"/>
  <c r="M53" i="3" s="1"/>
  <c r="O53" i="3" s="1"/>
  <c r="M97" i="3"/>
  <c r="O97" i="3" s="1"/>
  <c r="I147" i="3"/>
  <c r="J147" i="3" s="1"/>
  <c r="T147" i="3" s="1"/>
  <c r="Q199" i="3"/>
  <c r="P199" i="3"/>
  <c r="R199" i="3" l="1"/>
  <c r="U140" i="3"/>
  <c r="Y140" i="3" s="1"/>
  <c r="M200" i="3"/>
  <c r="O200" i="3" s="1"/>
  <c r="Q147" i="3"/>
  <c r="P147" i="3"/>
  <c r="R147" i="3" s="1"/>
  <c r="Q53" i="3"/>
  <c r="P53" i="3"/>
  <c r="Q97" i="3"/>
  <c r="P97" i="3"/>
  <c r="R97" i="3" s="1"/>
  <c r="U91" i="3"/>
  <c r="Y91" i="3"/>
  <c r="K53" i="3"/>
  <c r="H54" i="3" s="1"/>
  <c r="I201" i="3"/>
  <c r="J201" i="3" s="1"/>
  <c r="Z199" i="3"/>
  <c r="Y199" i="3"/>
  <c r="K147" i="3"/>
  <c r="H148" i="3" s="1"/>
  <c r="K95" i="3"/>
  <c r="H96" i="3" s="1"/>
  <c r="R53" i="3" l="1"/>
  <c r="AK280" i="3"/>
  <c r="M148" i="3"/>
  <c r="O148" i="3" s="1"/>
  <c r="X200" i="3"/>
  <c r="T200" i="3"/>
  <c r="M98" i="3"/>
  <c r="O98" i="3" s="1"/>
  <c r="AK221" i="3"/>
  <c r="Z140" i="3"/>
  <c r="I96" i="3"/>
  <c r="J96" i="3" s="1"/>
  <c r="T96" i="3" s="1"/>
  <c r="I54" i="3"/>
  <c r="J54" i="3" s="1"/>
  <c r="M54" i="3" s="1"/>
  <c r="K54" i="3"/>
  <c r="H55" i="3" s="1"/>
  <c r="I148" i="3"/>
  <c r="J148" i="3" s="1"/>
  <c r="T148" i="3" s="1"/>
  <c r="Q200" i="3"/>
  <c r="P200" i="3"/>
  <c r="R200" i="3" s="1"/>
  <c r="O54" i="3"/>
  <c r="AK172" i="3"/>
  <c r="Z91" i="3"/>
  <c r="K201" i="3"/>
  <c r="H202" i="3" s="1"/>
  <c r="AL172" i="3" l="1"/>
  <c r="AL221" i="3"/>
  <c r="U141" i="3"/>
  <c r="Y141" i="3"/>
  <c r="U92" i="3"/>
  <c r="Y92" i="3" s="1"/>
  <c r="Q148" i="3"/>
  <c r="P148" i="3"/>
  <c r="K148" i="3"/>
  <c r="H149" i="3" s="1"/>
  <c r="Q98" i="3"/>
  <c r="P98" i="3"/>
  <c r="I55" i="3"/>
  <c r="J55" i="3" s="1"/>
  <c r="M55" i="3" s="1"/>
  <c r="K55" i="3"/>
  <c r="H56" i="3" s="1"/>
  <c r="I202" i="3"/>
  <c r="J202" i="3" s="1"/>
  <c r="Q54" i="3"/>
  <c r="P54" i="3"/>
  <c r="Z200" i="3"/>
  <c r="Y200" i="3"/>
  <c r="K96" i="3"/>
  <c r="H97" i="3" s="1"/>
  <c r="M201" i="3"/>
  <c r="O201" i="3" s="1"/>
  <c r="R54" i="3" l="1"/>
  <c r="O55" i="3" s="1"/>
  <c r="R148" i="3"/>
  <c r="AK281" i="3"/>
  <c r="R98" i="3"/>
  <c r="X201" i="3"/>
  <c r="T201" i="3"/>
  <c r="M149" i="3"/>
  <c r="O149" i="3" s="1"/>
  <c r="M99" i="3"/>
  <c r="O99" i="3" s="1"/>
  <c r="AK173" i="3"/>
  <c r="Z92" i="3"/>
  <c r="Q201" i="3"/>
  <c r="P201" i="3"/>
  <c r="R201" i="3" s="1"/>
  <c r="Q55" i="3"/>
  <c r="P55" i="3"/>
  <c r="R55" i="3" s="1"/>
  <c r="I97" i="3"/>
  <c r="J97" i="3" s="1"/>
  <c r="T97" i="3" s="1"/>
  <c r="K202" i="3"/>
  <c r="H203" i="3" s="1"/>
  <c r="I56" i="3"/>
  <c r="J56" i="3" s="1"/>
  <c r="M56" i="3" s="1"/>
  <c r="I149" i="3"/>
  <c r="J149" i="3" s="1"/>
  <c r="T149" i="3" s="1"/>
  <c r="AK222" i="3"/>
  <c r="Z141" i="3"/>
  <c r="AU67" i="3" s="1"/>
  <c r="AL173" i="3" l="1"/>
  <c r="K56" i="3"/>
  <c r="O56" i="3"/>
  <c r="AL222" i="3"/>
  <c r="U142" i="3" s="1"/>
  <c r="M202" i="3"/>
  <c r="O202" i="3" s="1"/>
  <c r="Q99" i="3"/>
  <c r="P99" i="3"/>
  <c r="Q149" i="3"/>
  <c r="P149" i="3"/>
  <c r="U93" i="3"/>
  <c r="Y93" i="3" s="1"/>
  <c r="Q56" i="3"/>
  <c r="P56" i="3"/>
  <c r="R56" i="3" s="1"/>
  <c r="K149" i="3"/>
  <c r="H150" i="3" s="1"/>
  <c r="I203" i="3"/>
  <c r="J203" i="3" s="1"/>
  <c r="K97" i="3"/>
  <c r="H98" i="3" s="1"/>
  <c r="Z201" i="3"/>
  <c r="Y201" i="3"/>
  <c r="R99" i="3" l="1"/>
  <c r="AK282" i="3"/>
  <c r="X202" i="3" s="1"/>
  <c r="R149" i="3"/>
  <c r="Y142" i="3"/>
  <c r="AK174" i="3"/>
  <c r="Z93" i="3"/>
  <c r="AL174" i="3" s="1"/>
  <c r="M150" i="3"/>
  <c r="O150" i="3" s="1"/>
  <c r="T202" i="3"/>
  <c r="M100" i="3"/>
  <c r="O100" i="3" s="1"/>
  <c r="Q202" i="3"/>
  <c r="P202" i="3"/>
  <c r="R202" i="3" s="1"/>
  <c r="I150" i="3"/>
  <c r="J150" i="3" s="1"/>
  <c r="T150" i="3" s="1"/>
  <c r="I98" i="3"/>
  <c r="J98" i="3" s="1"/>
  <c r="T98" i="3" s="1"/>
  <c r="AK223" i="3"/>
  <c r="Z142" i="3"/>
  <c r="AL223" i="3" s="1"/>
  <c r="K203" i="3"/>
  <c r="H204" i="3" s="1"/>
  <c r="U143" i="3" l="1"/>
  <c r="Y143" i="3" s="1"/>
  <c r="U94" i="3"/>
  <c r="Y94" i="3" s="1"/>
  <c r="Q150" i="3"/>
  <c r="P150" i="3"/>
  <c r="R150" i="3" s="1"/>
  <c r="M203" i="3"/>
  <c r="O203" i="3" s="1"/>
  <c r="Z202" i="3"/>
  <c r="Y202" i="3"/>
  <c r="K98" i="3"/>
  <c r="H99" i="3" s="1"/>
  <c r="Q100" i="3"/>
  <c r="P100" i="3"/>
  <c r="R100" i="3" s="1"/>
  <c r="K150" i="3"/>
  <c r="H151" i="3" s="1"/>
  <c r="I204" i="3"/>
  <c r="J204" i="3" s="1"/>
  <c r="AK283" i="3" l="1"/>
  <c r="Q203" i="3"/>
  <c r="P203" i="3"/>
  <c r="R203" i="3" s="1"/>
  <c r="M101" i="3"/>
  <c r="O101" i="3" s="1"/>
  <c r="T203" i="3"/>
  <c r="X203" i="3"/>
  <c r="M151" i="3"/>
  <c r="O151" i="3" s="1"/>
  <c r="AK175" i="3"/>
  <c r="Z94" i="3"/>
  <c r="I99" i="3"/>
  <c r="J99" i="3" s="1"/>
  <c r="T99" i="3" s="1"/>
  <c r="K204" i="3"/>
  <c r="H205" i="3" s="1"/>
  <c r="AK224" i="3"/>
  <c r="Z143" i="3"/>
  <c r="AL224" i="3" s="1"/>
  <c r="I151" i="3"/>
  <c r="J151" i="3" s="1"/>
  <c r="T151" i="3" s="1"/>
  <c r="K151" i="3" l="1"/>
  <c r="H152" i="3" s="1"/>
  <c r="AL175" i="3"/>
  <c r="M204" i="3"/>
  <c r="O204" i="3" s="1"/>
  <c r="Q101" i="3"/>
  <c r="P101" i="3"/>
  <c r="R101" i="3" s="1"/>
  <c r="U95" i="3"/>
  <c r="Y95" i="3" s="1"/>
  <c r="Q151" i="3"/>
  <c r="P151" i="3"/>
  <c r="Z203" i="3"/>
  <c r="Y203" i="3"/>
  <c r="AK284" i="3" s="1"/>
  <c r="U144" i="3"/>
  <c r="Y144" i="3" s="1"/>
  <c r="K99" i="3"/>
  <c r="H100" i="3" s="1"/>
  <c r="I205" i="3"/>
  <c r="J205" i="3" s="1"/>
  <c r="I152" i="3"/>
  <c r="J152" i="3" s="1"/>
  <c r="T152" i="3" s="1"/>
  <c r="R151" i="3" l="1"/>
  <c r="M152" i="3" s="1"/>
  <c r="O152" i="3" s="1"/>
  <c r="AK225" i="3"/>
  <c r="Z144" i="3"/>
  <c r="AL225" i="3" s="1"/>
  <c r="M102" i="3"/>
  <c r="O102" i="3" s="1"/>
  <c r="T204" i="3"/>
  <c r="X204" i="3"/>
  <c r="Q204" i="3"/>
  <c r="P204" i="3"/>
  <c r="AK176" i="3"/>
  <c r="Z95" i="3"/>
  <c r="I100" i="3"/>
  <c r="J100" i="3" s="1"/>
  <c r="T100" i="3" s="1"/>
  <c r="K152" i="3"/>
  <c r="H153" i="3" s="1"/>
  <c r="K205" i="3"/>
  <c r="H206" i="3" s="1"/>
  <c r="AL176" i="3" l="1"/>
  <c r="K100" i="3"/>
  <c r="H101" i="3" s="1"/>
  <c r="R204" i="3"/>
  <c r="M205" i="3" s="1"/>
  <c r="O205" i="3" s="1"/>
  <c r="U145" i="3"/>
  <c r="Y145" i="3" s="1"/>
  <c r="U96" i="3"/>
  <c r="Y96" i="3" s="1"/>
  <c r="Q102" i="3"/>
  <c r="P102" i="3"/>
  <c r="Q152" i="3"/>
  <c r="P152" i="3"/>
  <c r="I101" i="3"/>
  <c r="J101" i="3" s="1"/>
  <c r="T101" i="3" s="1"/>
  <c r="I206" i="3"/>
  <c r="J206" i="3" s="1"/>
  <c r="I153" i="3"/>
  <c r="J153" i="3" s="1"/>
  <c r="T153" i="3" s="1"/>
  <c r="Z204" i="3"/>
  <c r="Y204" i="3"/>
  <c r="AK285" i="3" s="1"/>
  <c r="R102" i="3" l="1"/>
  <c r="R152" i="3"/>
  <c r="M153" i="3"/>
  <c r="O153" i="3" s="1"/>
  <c r="AK226" i="3"/>
  <c r="Z145" i="3"/>
  <c r="AL226" i="3" s="1"/>
  <c r="T205" i="3"/>
  <c r="X205" i="3"/>
  <c r="AK177" i="3"/>
  <c r="Z96" i="3"/>
  <c r="Q205" i="3"/>
  <c r="P205" i="3"/>
  <c r="R205" i="3" s="1"/>
  <c r="M103" i="3"/>
  <c r="O103" i="3" s="1"/>
  <c r="K206" i="3"/>
  <c r="H207" i="3" s="1"/>
  <c r="K101" i="3"/>
  <c r="H102" i="3" s="1"/>
  <c r="K153" i="3"/>
  <c r="H154" i="3" s="1"/>
  <c r="AL177" i="3" l="1"/>
  <c r="M206" i="3"/>
  <c r="O206" i="3" s="1"/>
  <c r="Q103" i="3"/>
  <c r="P103" i="3"/>
  <c r="R103" i="3" s="1"/>
  <c r="U146" i="3"/>
  <c r="Y146" i="3"/>
  <c r="Q153" i="3"/>
  <c r="P153" i="3"/>
  <c r="R153" i="3" s="1"/>
  <c r="Z205" i="3"/>
  <c r="Y205" i="3"/>
  <c r="U97" i="3"/>
  <c r="Y97" i="3" s="1"/>
  <c r="I154" i="3"/>
  <c r="J154" i="3" s="1"/>
  <c r="T154" i="3" s="1"/>
  <c r="I207" i="3"/>
  <c r="J207" i="3" s="1"/>
  <c r="I102" i="3"/>
  <c r="J102" i="3" s="1"/>
  <c r="T102" i="3" s="1"/>
  <c r="K154" i="3" l="1"/>
  <c r="H155" i="3" s="1"/>
  <c r="AK286" i="3"/>
  <c r="M104" i="3"/>
  <c r="O104" i="3" s="1"/>
  <c r="AK178" i="3"/>
  <c r="Z97" i="3"/>
  <c r="AL178" i="3" s="1"/>
  <c r="M154" i="3"/>
  <c r="O154" i="3" s="1"/>
  <c r="X206" i="3"/>
  <c r="T206" i="3"/>
  <c r="Q206" i="3"/>
  <c r="P206" i="3"/>
  <c r="R206" i="3" s="1"/>
  <c r="I155" i="3"/>
  <c r="J155" i="3" s="1"/>
  <c r="T155" i="3" s="1"/>
  <c r="AK227" i="3"/>
  <c r="Z146" i="3"/>
  <c r="AU68" i="3" s="1"/>
  <c r="K102" i="3"/>
  <c r="H103" i="3" s="1"/>
  <c r="K207" i="3"/>
  <c r="H208" i="3" s="1"/>
  <c r="AL227" i="3" l="1"/>
  <c r="U147" i="3"/>
  <c r="Y147" i="3"/>
  <c r="M207" i="3"/>
  <c r="O207" i="3" s="1"/>
  <c r="Q154" i="3"/>
  <c r="P154" i="3"/>
  <c r="R154" i="3" s="1"/>
  <c r="U98" i="3"/>
  <c r="Y98" i="3" s="1"/>
  <c r="Q104" i="3"/>
  <c r="P104" i="3"/>
  <c r="R104" i="3" s="1"/>
  <c r="Z206" i="3"/>
  <c r="Y206" i="3"/>
  <c r="AK287" i="3" s="1"/>
  <c r="K155" i="3"/>
  <c r="H156" i="3" s="1"/>
  <c r="I208" i="3"/>
  <c r="J208" i="3" s="1"/>
  <c r="I103" i="3"/>
  <c r="J103" i="3" s="1"/>
  <c r="T103" i="3" s="1"/>
  <c r="M155" i="3" l="1"/>
  <c r="O155" i="3" s="1"/>
  <c r="AK179" i="3"/>
  <c r="Z98" i="3"/>
  <c r="AL179" i="3" s="1"/>
  <c r="X207" i="3"/>
  <c r="T207" i="3"/>
  <c r="AT79" i="3"/>
  <c r="AW79" i="3" s="1"/>
  <c r="AV76" i="3"/>
  <c r="AV77" i="3"/>
  <c r="M105" i="3"/>
  <c r="O105" i="3" s="1"/>
  <c r="Q207" i="3"/>
  <c r="P207" i="3"/>
  <c r="R207" i="3" s="1"/>
  <c r="K103" i="3"/>
  <c r="H104" i="3" s="1"/>
  <c r="AK228" i="3"/>
  <c r="Z147" i="3"/>
  <c r="I156" i="3"/>
  <c r="J156" i="3" s="1"/>
  <c r="T156" i="3" s="1"/>
  <c r="K208" i="3"/>
  <c r="AL228" i="3" l="1"/>
  <c r="U99" i="3"/>
  <c r="Y99" i="3"/>
  <c r="U148" i="3"/>
  <c r="Y148" i="3" s="1"/>
  <c r="M208" i="3"/>
  <c r="O208" i="3" s="1"/>
  <c r="Q155" i="3"/>
  <c r="P155" i="3"/>
  <c r="Z207" i="3"/>
  <c r="Y207" i="3"/>
  <c r="I104" i="3"/>
  <c r="J104" i="3" s="1"/>
  <c r="T104" i="3" s="1"/>
  <c r="K156" i="3"/>
  <c r="Q105" i="3"/>
  <c r="P105" i="3"/>
  <c r="R105" i="3" s="1"/>
  <c r="R155" i="3" l="1"/>
  <c r="AK288" i="3"/>
  <c r="AK229" i="3"/>
  <c r="Z148" i="3"/>
  <c r="AL229" i="3" s="1"/>
  <c r="T208" i="3"/>
  <c r="X208" i="3"/>
  <c r="M106" i="3"/>
  <c r="O106" i="3" s="1"/>
  <c r="Q208" i="3"/>
  <c r="P208" i="3"/>
  <c r="K104" i="3"/>
  <c r="H105" i="3" s="1"/>
  <c r="M156" i="3"/>
  <c r="O156" i="3" s="1"/>
  <c r="AK180" i="3"/>
  <c r="Z99" i="3"/>
  <c r="R208" i="3" l="1"/>
  <c r="AL180" i="3"/>
  <c r="Q156" i="3"/>
  <c r="P156" i="3"/>
  <c r="R156" i="3" s="1"/>
  <c r="Q106" i="3"/>
  <c r="P106" i="3"/>
  <c r="R106" i="3" s="1"/>
  <c r="U100" i="3"/>
  <c r="Y100" i="3" s="1"/>
  <c r="U149" i="3"/>
  <c r="Y149" i="3" s="1"/>
  <c r="Z208" i="3"/>
  <c r="Y208" i="3"/>
  <c r="I105" i="3"/>
  <c r="J105" i="3" s="1"/>
  <c r="T105" i="3" s="1"/>
  <c r="AK289" i="3" l="1"/>
  <c r="AK181" i="3"/>
  <c r="Z100" i="3"/>
  <c r="AL181" i="3" s="1"/>
  <c r="AK230" i="3"/>
  <c r="Z149" i="3"/>
  <c r="AL230" i="3" s="1"/>
  <c r="K105" i="3"/>
  <c r="H106" i="3" s="1"/>
  <c r="U150" i="3" l="1"/>
  <c r="Y150" i="3"/>
  <c r="U101" i="3"/>
  <c r="Y101" i="3" s="1"/>
  <c r="I106" i="3"/>
  <c r="J106" i="3" s="1"/>
  <c r="T106" i="3" s="1"/>
  <c r="AK182" i="3" l="1"/>
  <c r="Z101" i="3"/>
  <c r="AL182" i="3" s="1"/>
  <c r="K106" i="3"/>
  <c r="AK231" i="3"/>
  <c r="Z150" i="3"/>
  <c r="AL231" i="3" l="1"/>
  <c r="U151" i="3"/>
  <c r="Y151" i="3"/>
  <c r="U102" i="3"/>
  <c r="Y102" i="3" s="1"/>
  <c r="AK183" i="3" l="1"/>
  <c r="Z102" i="3"/>
  <c r="AL183" i="3" s="1"/>
  <c r="AK232" i="3"/>
  <c r="Z151" i="3"/>
  <c r="AL232" i="3" s="1"/>
  <c r="U152" i="3" l="1"/>
  <c r="Y152" i="3" s="1"/>
  <c r="U103" i="3"/>
  <c r="Y103" i="3" s="1"/>
  <c r="AK184" i="3" l="1"/>
  <c r="Z103" i="3"/>
  <c r="AL184" i="3" s="1"/>
  <c r="AK233" i="3"/>
  <c r="Z152" i="3"/>
  <c r="AL233" i="3" s="1"/>
  <c r="U153" i="3" l="1"/>
  <c r="Y153" i="3" s="1"/>
  <c r="U104" i="3"/>
  <c r="Y104" i="3" s="1"/>
  <c r="AK234" i="3" l="1"/>
  <c r="Z153" i="3"/>
  <c r="AL234" i="3" s="1"/>
  <c r="AK185" i="3"/>
  <c r="Z104" i="3"/>
  <c r="AL185" i="3" s="1"/>
  <c r="U105" i="3" l="1"/>
  <c r="Y105" i="3" s="1"/>
  <c r="AU57" i="3"/>
  <c r="AU59" i="3"/>
  <c r="U154" i="3"/>
  <c r="Y154" i="3"/>
  <c r="AK186" i="3" l="1"/>
  <c r="Z105" i="3"/>
  <c r="AL186" i="3" s="1"/>
  <c r="AK235" i="3"/>
  <c r="Z154" i="3"/>
  <c r="AL235" i="3" s="1"/>
  <c r="U155" i="3" l="1"/>
  <c r="Y155" i="3" s="1"/>
  <c r="AV68" i="3"/>
  <c r="AV65" i="3"/>
  <c r="AV66" i="3"/>
  <c r="U106" i="3"/>
  <c r="Y106" i="3" s="1"/>
  <c r="AK187" i="3" l="1"/>
  <c r="Z106" i="3"/>
  <c r="AK236" i="3"/>
  <c r="Z155" i="3"/>
  <c r="AL236" i="3" s="1"/>
  <c r="U156" i="3" l="1"/>
  <c r="Y156" i="3" s="1"/>
  <c r="AV58" i="3"/>
  <c r="AT58" i="3"/>
  <c r="AW58" i="3" s="1"/>
  <c r="AV59" i="3"/>
  <c r="AS46" i="3"/>
  <c r="AT59" i="3"/>
  <c r="AW59" i="3" s="1"/>
  <c r="AV57" i="3"/>
  <c r="AV56" i="3"/>
  <c r="AS48" i="3"/>
  <c r="AT57" i="3"/>
  <c r="AW57" i="3" s="1"/>
  <c r="AS47" i="3"/>
  <c r="AT56" i="3"/>
  <c r="AW56" i="3" s="1"/>
  <c r="AL187" i="3"/>
  <c r="AK237" i="3" l="1"/>
  <c r="Z156" i="3"/>
  <c r="AT67" i="3" l="1"/>
  <c r="AW67" i="3" s="1"/>
  <c r="AT66" i="3"/>
  <c r="AW66" i="3" s="1"/>
  <c r="AT68" i="3"/>
  <c r="AW68" i="3" s="1"/>
  <c r="AT65" i="3"/>
  <c r="AW65" i="3" s="1"/>
  <c r="AL237" i="3"/>
  <c r="R32" i="1" l="1"/>
  <c r="P30" i="1"/>
  <c r="Q28" i="1"/>
  <c r="O30" i="1" s="1"/>
  <c r="M13" i="1"/>
  <c r="R9" i="1"/>
  <c r="P9" i="1" s="1"/>
  <c r="R7" i="1"/>
  <c r="P7" i="1" s="1"/>
  <c r="N7" i="1"/>
  <c r="P13" i="1" s="1"/>
  <c r="M7" i="1"/>
  <c r="P4" i="1"/>
  <c r="M4" i="1"/>
  <c r="N3" i="1"/>
  <c r="N4" i="1" s="1"/>
  <c r="R2" i="1"/>
  <c r="Q13" i="1" l="1"/>
  <c r="Q30" i="1"/>
  <c r="P14" i="1"/>
  <c r="Q14" i="1" s="1"/>
  <c r="R30" i="1"/>
  <c r="S30" i="1"/>
  <c r="T30" i="1"/>
  <c r="M30" i="1"/>
  <c r="U30" i="1"/>
  <c r="P15" i="1"/>
  <c r="Q15" i="1" s="1"/>
  <c r="N30" i="1"/>
  <c r="V30" i="1"/>
  <c r="N13" i="1"/>
  <c r="P16" i="1" l="1"/>
  <c r="O13" i="1"/>
  <c r="N15" i="1"/>
  <c r="O15" i="1" s="1"/>
  <c r="N14" i="1"/>
  <c r="P17" i="1"/>
  <c r="Q17" i="1" s="1"/>
  <c r="Q16" i="1" l="1"/>
  <c r="P18" i="1"/>
  <c r="Q18" i="1" s="1"/>
  <c r="N16" i="1"/>
  <c r="O16" i="1" s="1"/>
  <c r="O14" i="1"/>
  <c r="N17" i="1" l="1"/>
  <c r="P19" i="1"/>
  <c r="Q19" i="1" s="1"/>
  <c r="P20" i="1" l="1"/>
  <c r="P21" i="1"/>
  <c r="Q21" i="1" s="1"/>
  <c r="O17" i="1"/>
  <c r="N18" i="1"/>
  <c r="N19" i="1" l="1"/>
  <c r="O19" i="1" s="1"/>
  <c r="O18" i="1"/>
  <c r="N20" i="1"/>
  <c r="O20" i="1" s="1"/>
  <c r="Q20" i="1"/>
  <c r="P22" i="1"/>
  <c r="P23" i="1" s="1"/>
  <c r="Q23" i="1" s="1"/>
  <c r="Q22" i="1" l="1"/>
  <c r="P24" i="1"/>
  <c r="N21" i="1"/>
  <c r="N22" i="1" s="1"/>
  <c r="O22" i="1" l="1"/>
  <c r="N23" i="1"/>
  <c r="O23" i="1" s="1"/>
  <c r="Q24" i="1"/>
  <c r="P25" i="1"/>
  <c r="O21" i="1"/>
  <c r="N24" i="1"/>
  <c r="O24" i="1" s="1"/>
  <c r="N25" i="1" l="1"/>
  <c r="Q25" i="1"/>
  <c r="Q26" i="1" s="1"/>
  <c r="P26" i="1"/>
  <c r="N9" i="1"/>
  <c r="O25" i="1" l="1"/>
  <c r="N26" i="1"/>
  <c r="M9" i="1" l="1"/>
  <c r="O7" i="1" s="1"/>
  <c r="O9" i="1" s="1"/>
  <c r="P10" i="1" s="1"/>
  <c r="Q10" i="1" s="1"/>
  <c r="O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<sst xmlns="http://schemas.openxmlformats.org/spreadsheetml/2006/main" count="603" uniqueCount="345">
  <si>
    <t>From YA 2024 onwards</t>
  </si>
  <si>
    <t>Without SRS</t>
  </si>
  <si>
    <t>With SRS</t>
  </si>
  <si>
    <t xml:space="preserve">Age </t>
  </si>
  <si>
    <t>Working Yrs 
(Before Age 62)</t>
  </si>
  <si>
    <t>Chargeable Income</t>
  </si>
  <si>
    <t>Income Tax Rate (%)</t>
  </si>
  <si>
    <t>Gross Tax Payable ($)</t>
  </si>
  <si>
    <t xml:space="preserve">Annual Income </t>
  </si>
  <si>
    <t>Holding Period</t>
  </si>
  <si>
    <t xml:space="preserve">Single Premium </t>
  </si>
  <si>
    <t>First $20,000</t>
  </si>
  <si>
    <t>Monthly Income</t>
  </si>
  <si>
    <t>Next $10,000</t>
  </si>
  <si>
    <t>First $30,000</t>
  </si>
  <si>
    <t>-</t>
  </si>
  <si>
    <t>SRS Annual Contribution</t>
  </si>
  <si>
    <t>Tax saving</t>
  </si>
  <si>
    <t>Interest Yield</t>
  </si>
  <si>
    <t>Interest Rate</t>
  </si>
  <si>
    <t>FV</t>
  </si>
  <si>
    <t xml:space="preserve">Assessable Income </t>
  </si>
  <si>
    <t>First $40,000</t>
  </si>
  <si>
    <t>Capital Guaranteed Savings</t>
  </si>
  <si>
    <t>Total Tax Payable</t>
  </si>
  <si>
    <t>Next $40,000</t>
  </si>
  <si>
    <t>ROI</t>
  </si>
  <si>
    <t>First $80,000</t>
  </si>
  <si>
    <t xml:space="preserve">Chargeable Income Bracket </t>
  </si>
  <si>
    <t>Chargeable Income WithOut SRS</t>
  </si>
  <si>
    <t>Payable Tax</t>
  </si>
  <si>
    <t>Chargeable Income With SRS</t>
  </si>
  <si>
    <t xml:space="preserve">1st 20K </t>
  </si>
  <si>
    <t>First $120,000</t>
  </si>
  <si>
    <t xml:space="preserve">Next 10K (30K) </t>
  </si>
  <si>
    <t>Next 10K (40K)</t>
  </si>
  <si>
    <t>First $160,000</t>
  </si>
  <si>
    <t>Next 40K (80K)</t>
  </si>
  <si>
    <t xml:space="preserve">Next 40K (120K) </t>
  </si>
  <si>
    <t>First $200,000</t>
  </si>
  <si>
    <t xml:space="preserve">Next 40K (160K) </t>
  </si>
  <si>
    <t xml:space="preserve">Next 40K (200K) </t>
  </si>
  <si>
    <t>First $240,000</t>
  </si>
  <si>
    <t xml:space="preserve">Next 40K (240K) </t>
  </si>
  <si>
    <t xml:space="preserve">Next 40K (280K) </t>
  </si>
  <si>
    <t>First $280,000</t>
  </si>
  <si>
    <t xml:space="preserve">Next 40K (320K) </t>
  </si>
  <si>
    <t xml:space="preserve">Next 180K (500K) </t>
  </si>
  <si>
    <t>First $320,000</t>
  </si>
  <si>
    <t xml:space="preserve">Next 500K (1M) </t>
  </si>
  <si>
    <t>Next $180,000</t>
  </si>
  <si>
    <t xml:space="preserve">In excess of 1M </t>
  </si>
  <si>
    <t>First $500,000</t>
  </si>
  <si>
    <t>Next $500,000</t>
  </si>
  <si>
    <t>First $1,000,000</t>
  </si>
  <si>
    <t>10Y Tax Penalty Free Withdrawal Period</t>
  </si>
  <si>
    <t xml:space="preserve">Total Capital </t>
  </si>
  <si>
    <t>In excess of $1,000,000</t>
  </si>
  <si>
    <t>Age</t>
  </si>
  <si>
    <t>Withdrawal Amount</t>
  </si>
  <si>
    <t>1st 20,000 of SRS income is tax free</t>
  </si>
  <si>
    <t>Tax Paid</t>
  </si>
  <si>
    <t>It's time to plan for your retirement.</t>
  </si>
  <si>
    <t>Singaporean CPF Allocation Rates (From 2025 Jan 1) Salary above $750/Month</t>
  </si>
  <si>
    <t xml:space="preserve">Retirement Sum 
 (Est FRS Increase 3% to 3.5% pa) </t>
  </si>
  <si>
    <t xml:space="preserve">Estimated Pay Out 
 (Est increase 3% to 3.5%pa) </t>
  </si>
  <si>
    <t xml:space="preserve">Before we begin, let’s understand how ready you are for retirement. </t>
  </si>
  <si>
    <t>Age Band</t>
  </si>
  <si>
    <t xml:space="preserve">Total CPF </t>
  </si>
  <si>
    <t>OA</t>
  </si>
  <si>
    <t>SA</t>
  </si>
  <si>
    <t>MA</t>
  </si>
  <si>
    <t xml:space="preserve">Total </t>
  </si>
  <si>
    <t>Employer</t>
  </si>
  <si>
    <t>Employee</t>
  </si>
  <si>
    <t xml:space="preserve">Year </t>
  </si>
  <si>
    <t>BRS</t>
  </si>
  <si>
    <t>FRS</t>
  </si>
  <si>
    <t>ERS</t>
  </si>
  <si>
    <t xml:space="preserve">35 &amp; Below </t>
  </si>
  <si>
    <t>Above 35-45</t>
  </si>
  <si>
    <t xml:space="preserve">VIP Information </t>
  </si>
  <si>
    <t>Above 45-50</t>
  </si>
  <si>
    <t>Your Name</t>
  </si>
  <si>
    <t>Siti</t>
  </si>
  <si>
    <t xml:space="preserve">Desired Retirement Age </t>
  </si>
  <si>
    <t>Above 50-55</t>
  </si>
  <si>
    <t>Gender</t>
  </si>
  <si>
    <t>Female</t>
  </si>
  <si>
    <t xml:space="preserve">Choice of CPFL </t>
  </si>
  <si>
    <t xml:space="preserve">Above 55-60 </t>
  </si>
  <si>
    <t>Your Birthday</t>
  </si>
  <si>
    <t>Above 60-65</t>
  </si>
  <si>
    <t>Your Age Current</t>
  </si>
  <si>
    <t>Above 65 -70</t>
  </si>
  <si>
    <t xml:space="preserve">Current Gross Wage Per month </t>
  </si>
  <si>
    <t xml:space="preserve">Above 70 </t>
  </si>
  <si>
    <t>TTL mths of salary +AWS+Bonus</t>
  </si>
  <si>
    <t>Current Gross Wage per Year</t>
  </si>
  <si>
    <t>Current Additional Month OA</t>
  </si>
  <si>
    <t>OA Band</t>
  </si>
  <si>
    <t>Current Additional Month SA</t>
  </si>
  <si>
    <t>SA Band</t>
  </si>
  <si>
    <t>Current Additional Month MA</t>
  </si>
  <si>
    <t xml:space="preserve">MA Band </t>
  </si>
  <si>
    <t xml:space="preserve">Employer CPF Contribution </t>
  </si>
  <si>
    <t xml:space="preserve">Employer Contribution </t>
  </si>
  <si>
    <t xml:space="preserve">Employee CPF Contribution </t>
  </si>
  <si>
    <t xml:space="preserve">Employee Contribution </t>
  </si>
  <si>
    <t xml:space="preserve">Total CPF Contribution </t>
  </si>
  <si>
    <t>OA Balance YTD</t>
  </si>
  <si>
    <t>Estimated OA</t>
  </si>
  <si>
    <t>SA Balance YTD</t>
  </si>
  <si>
    <t>Estimated SA</t>
  </si>
  <si>
    <t>MA Balance YTD</t>
  </si>
  <si>
    <t>Estimated MA</t>
  </si>
  <si>
    <t xml:space="preserve">CPFL </t>
  </si>
  <si>
    <t xml:space="preserve">Year Age 55 </t>
  </si>
  <si>
    <t xml:space="preserve">Years to Age 55 </t>
  </si>
  <si>
    <t>Estimated BRS</t>
  </si>
  <si>
    <t>Estimated Payout</t>
  </si>
  <si>
    <t>Estimated FRS</t>
  </si>
  <si>
    <t>Estimated ERS</t>
  </si>
  <si>
    <t xml:space="preserve">Inflation Adjusted </t>
  </si>
  <si>
    <t>Inflation Adjusted BRS</t>
  </si>
  <si>
    <t>Inflation Adjusted FRS</t>
  </si>
  <si>
    <t>Inflation Adjusted ERS</t>
  </si>
  <si>
    <t xml:space="preserve">Accumulation CPFL At Age 65 </t>
  </si>
  <si>
    <t xml:space="preserve">Estimated Accumulation CPFL BRS </t>
  </si>
  <si>
    <t xml:space="preserve">Estimated Accumulation FRS </t>
  </si>
  <si>
    <t xml:space="preserve">Monthly Payout till Age 80 </t>
  </si>
  <si>
    <t xml:space="preserve">CPBL Death Payout </t>
  </si>
  <si>
    <t xml:space="preserve">Medical Insurance </t>
  </si>
  <si>
    <t xml:space="preserve">Private Hospital Plan </t>
  </si>
  <si>
    <t>Yes</t>
  </si>
  <si>
    <t>Careshield</t>
  </si>
  <si>
    <t xml:space="preserve">Private Careshield Plan </t>
  </si>
  <si>
    <t xml:space="preserve">Term (Till Age 67/84) </t>
  </si>
  <si>
    <t>When do you wish to retire?</t>
  </si>
  <si>
    <t>Years of Retirement</t>
  </si>
  <si>
    <t>Yrs Old</t>
  </si>
  <si>
    <t xml:space="preserve">Your Age will be </t>
  </si>
  <si>
    <t>Accumulation Years</t>
  </si>
  <si>
    <t xml:space="preserve">Desired Monthly Supplement </t>
  </si>
  <si>
    <t>Desired Monthly Fund</t>
  </si>
  <si>
    <t>Inflation Rate</t>
  </si>
  <si>
    <t>Monthly Fund At Retirement Age</t>
  </si>
  <si>
    <t>will become</t>
  </si>
  <si>
    <t>Total Fund Needed</t>
  </si>
  <si>
    <t xml:space="preserve">2.Your eligibility for CPF Life at Age 55 
</t>
  </si>
  <si>
    <t>Year</t>
  </si>
  <si>
    <t>OA Accumulated Amount by age</t>
  </si>
  <si>
    <t>SA Accumulated Amount by age</t>
  </si>
  <si>
    <t>MA Accumulated Amount by age</t>
  </si>
  <si>
    <t>RA Accumulated Amount by age</t>
  </si>
  <si>
    <t>Sum Required</t>
  </si>
  <si>
    <t>Eligibility</t>
  </si>
  <si>
    <t>Est Monthly Payout</t>
  </si>
  <si>
    <t>Current OA</t>
  </si>
  <si>
    <t>Current SA</t>
  </si>
  <si>
    <t>Current MA</t>
  </si>
  <si>
    <t>Surplus/Shortfall to achieve FRS</t>
  </si>
  <si>
    <t>Let's gauge how much funds you need to set aside for your retirement.</t>
  </si>
  <si>
    <t xml:space="preserve">4.Let's estimate how much you will have at retirement with your current savings and investments.
</t>
  </si>
  <si>
    <t xml:space="preserve">At Retirement </t>
  </si>
  <si>
    <t xml:space="preserve">Accumulated Amount by age  </t>
  </si>
  <si>
    <t>CPF OA</t>
  </si>
  <si>
    <t xml:space="preserve">CPF SA </t>
  </si>
  <si>
    <t>Option A. After FRS</t>
  </si>
  <si>
    <t>Option B. After ERS</t>
  </si>
  <si>
    <t>Option C. After BRS</t>
  </si>
  <si>
    <t xml:space="preserve">CPF Life payout </t>
  </si>
  <si>
    <t>WL Age</t>
  </si>
  <si>
    <t>CPFL Payout</t>
  </si>
  <si>
    <t>Total Income</t>
  </si>
  <si>
    <t>Age Cash withdrawal Ends</t>
  </si>
  <si>
    <t>Cash Withdrawal</t>
  </si>
  <si>
    <t>Age 56</t>
  </si>
  <si>
    <t>Total CPFL Payout Est (Full)</t>
  </si>
  <si>
    <t>CPFL (FRS)</t>
  </si>
  <si>
    <t>Total CPFL Payout Est (Enhanced)</t>
  </si>
  <si>
    <t>Total CPFL Payout Est (Basic)</t>
  </si>
  <si>
    <t>CPFL (BRS)</t>
  </si>
  <si>
    <t>Lets See if you can afford Dream Home</t>
  </si>
  <si>
    <t xml:space="preserve">House Price </t>
  </si>
  <si>
    <t xml:space="preserve">CPF OA-Today </t>
  </si>
  <si>
    <t>Private-20%</t>
  </si>
  <si>
    <t xml:space="preserve">DP% </t>
  </si>
  <si>
    <t>HDB -10%</t>
  </si>
  <si>
    <t>DP</t>
  </si>
  <si>
    <t>Remaining OA after DP</t>
  </si>
  <si>
    <t xml:space="preserve">Additional Cash Outlay </t>
  </si>
  <si>
    <t>Max Loan Years</t>
  </si>
  <si>
    <t xml:space="preserve">House Price Less DP </t>
  </si>
  <si>
    <t>CPF OA after DP</t>
  </si>
  <si>
    <t>Loan Needed</t>
  </si>
  <si>
    <t>Loan %</t>
  </si>
  <si>
    <t>Monthly Loan Repayment</t>
  </si>
  <si>
    <t>Monthly OA Housing Loan from OA</t>
  </si>
  <si>
    <t xml:space="preserve">Cash Top up </t>
  </si>
  <si>
    <t xml:space="preserve">3.Let's take a look at your current CPF expenses to see if you will be eligible for FRS at retirement. 
</t>
  </si>
  <si>
    <t>Medishield (MA)</t>
  </si>
  <si>
    <t>Private Shield(MA)</t>
  </si>
  <si>
    <t>Care Shield</t>
  </si>
  <si>
    <t>Care Shield Enhancement</t>
  </si>
  <si>
    <t>Housing Loan repayment monthly (OA)</t>
  </si>
  <si>
    <t># Years of remaining Loans</t>
  </si>
  <si>
    <t>DPS (OA)</t>
  </si>
  <si>
    <t>Education Loan (OA)</t>
  </si>
  <si>
    <t>F</t>
  </si>
  <si>
    <t>CPF Interest Earned</t>
  </si>
  <si>
    <t xml:space="preserve">Before Age 55 </t>
  </si>
  <si>
    <t xml:space="preserve">After Age 55 </t>
  </si>
  <si>
    <t xml:space="preserve">Careshield Life Premium estimation </t>
  </si>
  <si>
    <t xml:space="preserve">MA Projection </t>
  </si>
  <si>
    <t xml:space="preserve">SA/RA Projection </t>
  </si>
  <si>
    <t xml:space="preserve">OA Projection </t>
  </si>
  <si>
    <t xml:space="preserve">RAProjection </t>
  </si>
  <si>
    <t>1st 20K OA</t>
  </si>
  <si>
    <t>Premium Est Increase</t>
  </si>
  <si>
    <t>Payout  Est Increase</t>
  </si>
  <si>
    <t>CareShield 
Premium</t>
  </si>
  <si>
    <t>Medishield
Premium</t>
  </si>
  <si>
    <t>Private Shield AWL</t>
  </si>
  <si>
    <t>Care Secure Premium</t>
  </si>
  <si>
    <t>Additional MA by Salary</t>
  </si>
  <si>
    <t>YOY MA - Outflow</t>
  </si>
  <si>
    <t>MA earned Interest YoY</t>
  </si>
  <si>
    <t>Excess Transfer to SA</t>
  </si>
  <si>
    <t xml:space="preserve">Total MA After Cap </t>
  </si>
  <si>
    <t>Transfer from MA</t>
  </si>
  <si>
    <t>Additional SA from Salary</t>
  </si>
  <si>
    <t xml:space="preserve"> SA Before Int Earned</t>
  </si>
  <si>
    <t xml:space="preserve">1st 40K Interest Earned YoY </t>
  </si>
  <si>
    <t xml:space="preserve">Remaining Int Earned YoY </t>
  </si>
  <si>
    <t xml:space="preserve">Total SA </t>
  </si>
  <si>
    <t xml:space="preserve">Additional OA from Salary </t>
  </si>
  <si>
    <t>Housing Loan</t>
  </si>
  <si>
    <t>DPS</t>
  </si>
  <si>
    <t>OA before Int Earned</t>
  </si>
  <si>
    <t xml:space="preserve">1st 20K Interest Earned YoY </t>
  </si>
  <si>
    <t xml:space="preserve">Total OA </t>
  </si>
  <si>
    <t xml:space="preserve">BRS </t>
  </si>
  <si>
    <t xml:space="preserve">FRS </t>
  </si>
  <si>
    <t xml:space="preserve">ERS </t>
  </si>
  <si>
    <t xml:space="preserve">Remaining OA </t>
  </si>
  <si>
    <t>Next 20K OA</t>
  </si>
  <si>
    <t>Male</t>
  </si>
  <si>
    <t>Payout</t>
  </si>
  <si>
    <t>1st 40K SA</t>
  </si>
  <si>
    <t xml:space="preserve">Remaining SA </t>
  </si>
  <si>
    <t>1st 10K RA</t>
  </si>
  <si>
    <t xml:space="preserve">BHS transferred to </t>
  </si>
  <si>
    <t xml:space="preserve">SA </t>
  </si>
  <si>
    <t>Next 10K RA</t>
  </si>
  <si>
    <t xml:space="preserve">MA </t>
  </si>
  <si>
    <t>Remaining RA</t>
  </si>
  <si>
    <t xml:space="preserve">BHS Transfer to </t>
  </si>
  <si>
    <t>RA</t>
  </si>
  <si>
    <t xml:space="preserve">H&amp;S </t>
  </si>
  <si>
    <t>Medishield</t>
  </si>
  <si>
    <t xml:space="preserve">Private Shield 
CPF Limit </t>
  </si>
  <si>
    <t>&lt;=20</t>
  </si>
  <si>
    <t>&lt;=30</t>
  </si>
  <si>
    <t>&lt;=40</t>
  </si>
  <si>
    <t>&lt;=50</t>
  </si>
  <si>
    <t>&lt;=60</t>
  </si>
  <si>
    <t>&lt;=65</t>
  </si>
  <si>
    <t>&lt;=70</t>
  </si>
  <si>
    <t>&lt;=73</t>
  </si>
  <si>
    <t>&lt;=75</t>
  </si>
  <si>
    <t>&lt;=78</t>
  </si>
  <si>
    <t>&lt;=80</t>
  </si>
  <si>
    <t>&lt;=83</t>
  </si>
  <si>
    <t>&lt;=85</t>
  </si>
  <si>
    <t>&lt;=90</t>
  </si>
  <si>
    <t xml:space="preserve">Current Year </t>
  </si>
  <si>
    <t>&lt;=100</t>
  </si>
  <si>
    <t xml:space="preserve">Name </t>
  </si>
  <si>
    <t xml:space="preserve">Birthday </t>
  </si>
  <si>
    <t>CPF Limit 2025</t>
  </si>
  <si>
    <t>Age (years)$70K sum assured/Yr</t>
  </si>
  <si>
    <t>DPS Annual Premium</t>
  </si>
  <si>
    <t xml:space="preserve">Age Next Birthday </t>
  </si>
  <si>
    <t xml:space="preserve">CPF Mth Gross Wage Cap </t>
  </si>
  <si>
    <t>34 and below</t>
  </si>
  <si>
    <t>Retirement Age</t>
  </si>
  <si>
    <t xml:space="preserve">Additional Wage Ceiling </t>
  </si>
  <si>
    <t>35 to 39</t>
  </si>
  <si>
    <t xml:space="preserve">How many years to retirement savings you wished to have </t>
  </si>
  <si>
    <t>Total CPF Contribution Ceiling</t>
  </si>
  <si>
    <t>40 to 44</t>
  </si>
  <si>
    <t xml:space="preserve">How old you will be then </t>
  </si>
  <si>
    <t xml:space="preserve">CPF Cap Annual </t>
  </si>
  <si>
    <t>45 to 49</t>
  </si>
  <si>
    <t>How much will you like to receive per month after retirement</t>
  </si>
  <si>
    <t xml:space="preserve">MA (BHS) Cap </t>
  </si>
  <si>
    <t>50 to 54</t>
  </si>
  <si>
    <t xml:space="preserve">Current Gross Wage per Month </t>
  </si>
  <si>
    <t>55 to 59</t>
  </si>
  <si>
    <t>60 to 64</t>
  </si>
  <si>
    <t xml:space="preserve">Current Gross Wage per Year </t>
  </si>
  <si>
    <t>Years to save till retirement</t>
  </si>
  <si>
    <t xml:space="preserve">Current MA </t>
  </si>
  <si>
    <t xml:space="preserve">Wipe out OA amount to </t>
  </si>
  <si>
    <t>Cash Withdrawal at Age 56</t>
  </si>
  <si>
    <t>Eligible for BRS</t>
  </si>
  <si>
    <t xml:space="preserve">Monthly additional OA from Wage </t>
  </si>
  <si>
    <t>Eligible for FRS</t>
  </si>
  <si>
    <t xml:space="preserve">Monthly additional SA from Wage </t>
  </si>
  <si>
    <t>Eligible for ERS</t>
  </si>
  <si>
    <t xml:space="preserve">Monthly additional MA from Wage </t>
  </si>
  <si>
    <t xml:space="preserve">FRS Choice </t>
  </si>
  <si>
    <t>CPF Life Payout</t>
  </si>
  <si>
    <t xml:space="preserve">Total Portfolio </t>
  </si>
  <si>
    <t xml:space="preserve">Cash Income </t>
  </si>
  <si>
    <t xml:space="preserve">Annual Medishield -MA </t>
  </si>
  <si>
    <t xml:space="preserve">Annual CareShield -MA </t>
  </si>
  <si>
    <t>Monthly Housing Loan (OA)</t>
  </si>
  <si>
    <t xml:space="preserve">Remaining Years of HDB loan </t>
  </si>
  <si>
    <t>CPFL FRS Scenario</t>
  </si>
  <si>
    <t xml:space="preserve">DPS Annual (OA) </t>
  </si>
  <si>
    <t>SA Projection FRS</t>
  </si>
  <si>
    <t xml:space="preserve">OA FRS Projection </t>
  </si>
  <si>
    <t xml:space="preserve">Annual Private Shield Withdrawal </t>
  </si>
  <si>
    <t xml:space="preserve">CareShield 
Premium
(0.0244%) </t>
  </si>
  <si>
    <t>Private Shield Premium</t>
  </si>
  <si>
    <t>Excess Transfer to OA</t>
  </si>
  <si>
    <t>Cash Withdrawal after Age 56</t>
  </si>
  <si>
    <t>Care shield Rider (MA)</t>
  </si>
  <si>
    <t xml:space="preserve">ERS Choice </t>
  </si>
  <si>
    <t>Cash Income</t>
  </si>
  <si>
    <t>Age Cash Withdrawal from CPF Ends (FRS)</t>
  </si>
  <si>
    <t>Age Cash Withdrawal from CPF Ends (ERS)</t>
  </si>
  <si>
    <t>Age Cash Withdrawal from CPF Ends (BRS)</t>
  </si>
  <si>
    <t xml:space="preserve">BRS Choice </t>
  </si>
  <si>
    <t>CPFL ERS Scenario</t>
  </si>
  <si>
    <t xml:space="preserve">SA ERS Projection </t>
  </si>
  <si>
    <t xml:space="preserve">OA ERS Projection </t>
  </si>
  <si>
    <t>CPFL BRS Scenrio</t>
  </si>
  <si>
    <t xml:space="preserve">SA BRS Projection </t>
  </si>
  <si>
    <t xml:space="preserve">OA BRS Projection </t>
  </si>
  <si>
    <t>Cash Withdrawal @56</t>
  </si>
  <si>
    <t xml:space="preserve">SA Projection </t>
  </si>
  <si>
    <t>CPFL ERS Scenario with OA Drawn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</si>
</sst>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5" formatCode="_-&quot;$&quot;* #,##0_-;\-&quot;$&quot;* #,##0_-;_-&quot;$&quot;* &quot;-&quot;??_-;_-@_-"/>
    <numFmt numFmtId="166" formatCode="&quot;$&quot;#,##0"/>
    <numFmt numFmtId="167" formatCode="&quot;$&quot;#,##0.000;[Red]\-&quot;$&quot;#,##0.000"/>
    <numFmt numFmtId="168" formatCode="0.0%"/>
    <numFmt numFmtId="169" formatCode="_(&quot;$&quot;* #,##0.00_);_(&quot;$&quot;* \(#,##0.00\);_(&quot;$&quot;* &quot;-&quot;??_);_(@_)"/>
    <numFmt numFmtId="170" formatCode="_(&quot;$&quot;* #,##0_);_(&quot;$&quot;* \(#,##0\);_(&quot;$&quot;* &quot;-&quot;??_);_(@_)"/>
    <numFmt numFmtId="171" formatCode="#,##0_ ;[Red]\-#,##0\ 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b/>
      <u val="singleAccounting"/>
      <sz val="9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6"/>
      <color rgb="FFFF0000"/>
      <name val="Aptos Narrow"/>
      <family val="2"/>
    </font>
    <font>
      <sz val="11"/>
      <color theme="1"/>
      <name val="Aptos Narrow"/>
      <family val="2"/>
    </font>
    <font>
      <b/>
      <sz val="10"/>
      <color theme="0"/>
      <name val="Calibri"/>
      <family val="2"/>
      <scheme val="minor"/>
    </font>
    <font>
      <b/>
      <sz val="14"/>
      <color theme="1"/>
      <name val="Aptos Narrow"/>
      <family val="2"/>
    </font>
    <font>
      <b/>
      <sz val="10"/>
      <color theme="1"/>
      <name val="Calibri"/>
      <family val="2"/>
      <scheme val="minor"/>
    </font>
    <font>
      <b/>
      <sz val="12"/>
      <color rgb="FFFF0000"/>
      <name val="Aptos Narrow"/>
      <family val="2"/>
    </font>
    <font>
      <sz val="10"/>
      <color theme="1"/>
      <name val="Calibri"/>
      <family val="2"/>
      <scheme val="minor"/>
    </font>
    <font>
      <b/>
      <sz val="14"/>
      <color theme="8"/>
      <name val="Aptos Narrow"/>
      <family val="2"/>
    </font>
    <font>
      <sz val="10"/>
      <color rgb="FF000000"/>
      <name val="Aptos Narrow"/>
      <family val="2"/>
    </font>
    <font>
      <sz val="8"/>
      <color rgb="FF000000"/>
      <name val="Aptos Narrow"/>
      <family val="2"/>
    </font>
    <font>
      <b/>
      <sz val="8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1"/>
      <color theme="0"/>
      <name val="Aptos Narrow"/>
      <family val="2"/>
    </font>
    <font>
      <b/>
      <sz val="12"/>
      <color theme="1"/>
      <name val="Aptos Narrow"/>
      <family val="2"/>
    </font>
    <font>
      <b/>
      <sz val="10"/>
      <color theme="1"/>
      <name val="Aptos Narrow"/>
      <family val="2"/>
    </font>
    <font>
      <sz val="12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8"/>
      <name val="Aptos Narrow"/>
      <family val="2"/>
    </font>
    <font>
      <b/>
      <sz val="14"/>
      <name val="Aptos Narrow"/>
      <family val="2"/>
    </font>
    <font>
      <sz val="14"/>
      <color theme="2"/>
      <name val="Aptos Narrow"/>
      <family val="2"/>
    </font>
    <font>
      <b/>
      <sz val="11"/>
      <name val="Aptos Narrow"/>
      <family val="2"/>
    </font>
    <font>
      <b/>
      <sz val="12"/>
      <name val="Aptos Narrow"/>
      <family val="2"/>
    </font>
    <font>
      <b/>
      <sz val="12"/>
      <color theme="0"/>
      <name val="Aptos Narrow"/>
      <family val="2"/>
    </font>
    <font>
      <sz val="11"/>
      <color theme="0"/>
      <name val="Aptos Narrow"/>
      <family val="2"/>
    </font>
    <font>
      <b/>
      <sz val="12"/>
      <color theme="8"/>
      <name val="Aptos Narrow"/>
      <family val="2"/>
    </font>
    <font>
      <sz val="10"/>
      <color theme="1"/>
      <name val="Aptos Narrow"/>
      <family val="2"/>
    </font>
    <font>
      <b/>
      <sz val="36"/>
      <color theme="0"/>
      <name val="Aptos Narrow"/>
      <family val="2"/>
    </font>
    <font>
      <b/>
      <sz val="10"/>
      <color theme="0"/>
      <name val="Aptos Narrow"/>
      <family val="2"/>
    </font>
    <font>
      <b/>
      <sz val="22"/>
      <color theme="0"/>
      <name val="Aptos Narrow"/>
      <family val="2"/>
    </font>
    <font>
      <b/>
      <sz val="26"/>
      <color theme="0"/>
      <name val="Aptos Narrow"/>
      <family val="2"/>
    </font>
    <font>
      <sz val="9"/>
      <color rgb="FF121212"/>
      <name val="Aptos Narrow"/>
      <family val="2"/>
    </font>
    <font>
      <b/>
      <sz val="10"/>
      <name val="Aptos Narrow"/>
      <family val="2"/>
    </font>
    <font>
      <b/>
      <sz val="10"/>
      <color rgb="FFFF0000"/>
      <name val="Aptos Narrow"/>
      <family val="2"/>
    </font>
    <font>
      <sz val="10"/>
      <color theme="9"/>
      <name val="Aptos Narrow"/>
      <family val="2"/>
    </font>
    <font>
      <sz val="9"/>
      <color theme="1"/>
      <name val="Aptos Narrow"/>
      <family val="2"/>
    </font>
    <font>
      <b/>
      <sz val="9"/>
      <name val="Aptos Narrow"/>
      <family val="2"/>
    </font>
    <font>
      <b/>
      <sz val="9"/>
      <color theme="1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28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/>
      <top/>
      <bottom/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376">
    <xf numFmtId="0" fontId="0" fillId="0" borderId="0" xfId="0"/>
    <xf numFmtId="0" fontId="2" fillId="2" borderId="0" xfId="0" applyFont="1" applyFill="1"/>
    <xf numFmtId="14" fontId="3" fillId="2" borderId="0" xfId="0" applyNumberFormat="1" applyFont="1" applyFill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 wrapText="1"/>
    </xf>
    <xf numFmtId="6" fontId="5" fillId="2" borderId="2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/>
    </xf>
    <xf numFmtId="0" fontId="0" fillId="2" borderId="0" xfId="0" applyFill="1"/>
    <xf numFmtId="10" fontId="4" fillId="2" borderId="0" xfId="2" applyNumberFormat="1" applyFont="1" applyFill="1" applyBorder="1" applyAlignment="1">
      <alignment horizontal="center" vertical="center"/>
    </xf>
    <xf numFmtId="8" fontId="4" fillId="2" borderId="0" xfId="0" applyNumberFormat="1" applyFont="1" applyFill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 wrapText="1"/>
    </xf>
    <xf numFmtId="6" fontId="5" fillId="3" borderId="3" xfId="0" applyNumberFormat="1" applyFont="1" applyFill="1" applyBorder="1" applyAlignment="1">
      <alignment horizontal="center" vertical="center"/>
    </xf>
    <xf numFmtId="6" fontId="5" fillId="3" borderId="4" xfId="0" applyNumberFormat="1" applyFont="1" applyFill="1" applyBorder="1" applyAlignment="1">
      <alignment horizontal="center" vertical="center"/>
    </xf>
    <xf numFmtId="44" fontId="7" fillId="2" borderId="5" xfId="1" applyFont="1" applyFill="1" applyBorder="1" applyAlignment="1">
      <alignment vertical="center"/>
    </xf>
    <xf numFmtId="44" fontId="7" fillId="2" borderId="6" xfId="1" applyFont="1" applyFill="1" applyBorder="1" applyAlignment="1">
      <alignment vertical="center"/>
    </xf>
    <xf numFmtId="164" fontId="5" fillId="2" borderId="7" xfId="2" applyNumberFormat="1" applyFont="1" applyFill="1" applyBorder="1" applyAlignment="1">
      <alignment horizontal="center" vertical="center"/>
    </xf>
    <xf numFmtId="44" fontId="7" fillId="2" borderId="0" xfId="1" applyFont="1" applyFill="1" applyBorder="1" applyAlignment="1">
      <alignment horizontal="center" vertical="center"/>
    </xf>
    <xf numFmtId="44" fontId="4" fillId="2" borderId="0" xfId="1" applyFont="1" applyFill="1" applyBorder="1" applyAlignment="1">
      <alignment horizontal="center" vertical="center"/>
    </xf>
    <xf numFmtId="10" fontId="4" fillId="2" borderId="1" xfId="2" applyNumberFormat="1" applyFont="1" applyFill="1" applyBorder="1" applyAlignment="1">
      <alignment horizontal="center" vertical="center"/>
    </xf>
    <xf numFmtId="2" fontId="4" fillId="2" borderId="1" xfId="2" applyNumberFormat="1" applyFont="1" applyFill="1" applyBorder="1" applyAlignment="1">
      <alignment horizontal="center" vertical="center"/>
    </xf>
    <xf numFmtId="8" fontId="4" fillId="2" borderId="1" xfId="0" applyNumberFormat="1" applyFont="1" applyFill="1" applyBorder="1" applyAlignment="1">
      <alignment horizontal="center" vertical="center"/>
    </xf>
    <xf numFmtId="10" fontId="4" fillId="2" borderId="0" xfId="0" applyNumberFormat="1" applyFont="1" applyFill="1" applyAlignment="1">
      <alignment horizontal="center" vertical="center"/>
    </xf>
    <xf numFmtId="6" fontId="5" fillId="2" borderId="1" xfId="0" applyNumberFormat="1" applyFont="1" applyFill="1" applyBorder="1" applyAlignment="1">
      <alignment horizontal="center" vertical="center"/>
    </xf>
    <xf numFmtId="1" fontId="5" fillId="2" borderId="8" xfId="1" applyNumberFormat="1" applyFont="1" applyFill="1" applyBorder="1" applyAlignment="1">
      <alignment horizontal="center" vertical="center"/>
    </xf>
    <xf numFmtId="165" fontId="5" fillId="2" borderId="0" xfId="1" applyNumberFormat="1" applyFont="1" applyFill="1" applyBorder="1" applyAlignment="1">
      <alignment horizontal="center" vertical="center"/>
    </xf>
    <xf numFmtId="6" fontId="5" fillId="2" borderId="0" xfId="0" applyNumberFormat="1" applyFont="1" applyFill="1" applyAlignment="1">
      <alignment horizontal="center" vertical="center"/>
    </xf>
    <xf numFmtId="164" fontId="5" fillId="2" borderId="0" xfId="2" applyNumberFormat="1" applyFont="1" applyFill="1" applyBorder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1" fontId="5" fillId="2" borderId="0" xfId="1" applyNumberFormat="1" applyFont="1" applyFill="1" applyBorder="1" applyAlignment="1">
      <alignment horizontal="center" vertical="center"/>
    </xf>
    <xf numFmtId="6" fontId="5" fillId="4" borderId="2" xfId="0" applyNumberFormat="1" applyFont="1" applyFill="1" applyBorder="1" applyAlignment="1">
      <alignment horizontal="center" vertical="center"/>
    </xf>
    <xf numFmtId="44" fontId="6" fillId="2" borderId="8" xfId="1" applyFont="1" applyFill="1" applyBorder="1" applyAlignment="1">
      <alignment horizontal="center" vertical="center"/>
    </xf>
    <xf numFmtId="44" fontId="6" fillId="2" borderId="0" xfId="1" applyFont="1" applyFill="1" applyBorder="1" applyAlignment="1">
      <alignment vertical="center"/>
    </xf>
    <xf numFmtId="44" fontId="6" fillId="2" borderId="0" xfId="1" applyFont="1" applyFill="1" applyBorder="1" applyAlignment="1">
      <alignment horizontal="center" vertical="center"/>
    </xf>
    <xf numFmtId="44" fontId="6" fillId="2" borderId="7" xfId="1" applyFont="1" applyFill="1" applyBorder="1" applyAlignment="1">
      <alignment horizontal="center" vertical="center"/>
    </xf>
    <xf numFmtId="6" fontId="5" fillId="0" borderId="1" xfId="0" applyNumberFormat="1" applyFont="1" applyBorder="1" applyAlignment="1">
      <alignment horizontal="center" vertical="center"/>
    </xf>
    <xf numFmtId="10" fontId="5" fillId="0" borderId="1" xfId="2" applyNumberFormat="1" applyFont="1" applyBorder="1" applyAlignment="1">
      <alignment horizontal="center" vertical="center"/>
    </xf>
    <xf numFmtId="6" fontId="5" fillId="2" borderId="0" xfId="0" applyNumberFormat="1" applyFont="1" applyFill="1" applyAlignment="1">
      <alignment horizontal="left" vertical="center" indent="17"/>
    </xf>
    <xf numFmtId="10" fontId="4" fillId="4" borderId="1" xfId="2" applyNumberFormat="1" applyFont="1" applyFill="1" applyBorder="1" applyAlignment="1">
      <alignment horizontal="center" vertical="center"/>
    </xf>
    <xf numFmtId="2" fontId="4" fillId="4" borderId="1" xfId="2" applyNumberFormat="1" applyFont="1" applyFill="1" applyBorder="1" applyAlignment="1">
      <alignment horizontal="center" vertical="center"/>
    </xf>
    <xf numFmtId="8" fontId="4" fillId="4" borderId="1" xfId="0" applyNumberFormat="1" applyFont="1" applyFill="1" applyBorder="1" applyAlignment="1">
      <alignment horizontal="center" vertical="center"/>
    </xf>
    <xf numFmtId="6" fontId="5" fillId="0" borderId="2" xfId="0" applyNumberFormat="1" applyFont="1" applyBorder="1" applyAlignment="1">
      <alignment horizontal="center" vertical="center"/>
    </xf>
    <xf numFmtId="6" fontId="5" fillId="0" borderId="9" xfId="0" applyNumberFormat="1" applyFont="1" applyBorder="1" applyAlignment="1">
      <alignment horizontal="center" vertical="center"/>
    </xf>
    <xf numFmtId="6" fontId="5" fillId="0" borderId="10" xfId="0" applyNumberFormat="1" applyFont="1" applyBorder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 wrapText="1"/>
    </xf>
    <xf numFmtId="6" fontId="5" fillId="0" borderId="2" xfId="0" applyNumberFormat="1" applyFont="1" applyBorder="1" applyAlignment="1">
      <alignment horizontal="center" vertical="center"/>
    </xf>
    <xf numFmtId="6" fontId="5" fillId="5" borderId="8" xfId="0" applyNumberFormat="1" applyFont="1" applyFill="1" applyBorder="1" applyAlignment="1">
      <alignment horizontal="center" vertical="center"/>
    </xf>
    <xf numFmtId="166" fontId="5" fillId="5" borderId="0" xfId="2" applyNumberFormat="1" applyFont="1" applyFill="1" applyBorder="1" applyAlignment="1">
      <alignment horizontal="center" vertical="center"/>
    </xf>
    <xf numFmtId="9" fontId="5" fillId="5" borderId="0" xfId="2" applyFont="1" applyFill="1" applyBorder="1" applyAlignment="1">
      <alignment horizontal="center" vertical="center"/>
    </xf>
    <xf numFmtId="6" fontId="5" fillId="5" borderId="7" xfId="0" applyNumberFormat="1" applyFont="1" applyFill="1" applyBorder="1" applyAlignment="1">
      <alignment horizontal="center" vertical="center" wrapText="1"/>
    </xf>
    <xf numFmtId="14" fontId="5" fillId="2" borderId="0" xfId="0" applyNumberFormat="1" applyFont="1" applyFill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14" fontId="6" fillId="6" borderId="1" xfId="0" applyNumberFormat="1" applyFont="1" applyFill="1" applyBorder="1" applyAlignment="1">
      <alignment horizontal="center" vertical="center" wrapText="1"/>
    </xf>
    <xf numFmtId="44" fontId="5" fillId="2" borderId="0" xfId="1" applyFont="1" applyFill="1" applyBorder="1" applyAlignment="1">
      <alignment horizontal="center" vertical="center"/>
    </xf>
    <xf numFmtId="9" fontId="5" fillId="2" borderId="1" xfId="2" applyFont="1" applyFill="1" applyBorder="1" applyAlignment="1">
      <alignment horizontal="center" vertical="center"/>
    </xf>
    <xf numFmtId="44" fontId="5" fillId="2" borderId="1" xfId="1" applyFont="1" applyFill="1" applyBorder="1" applyAlignment="1">
      <alignment horizontal="center" vertical="center"/>
    </xf>
    <xf numFmtId="10" fontId="5" fillId="2" borderId="1" xfId="2" applyNumberFormat="1" applyFont="1" applyFill="1" applyBorder="1" applyAlignment="1">
      <alignment horizontal="center" vertical="center"/>
    </xf>
    <xf numFmtId="2" fontId="4" fillId="2" borderId="1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8" fillId="2" borderId="1" xfId="0" applyFont="1" applyFill="1" applyBorder="1"/>
    <xf numFmtId="14" fontId="6" fillId="2" borderId="1" xfId="0" applyNumberFormat="1" applyFont="1" applyFill="1" applyBorder="1" applyAlignment="1">
      <alignment horizontal="center" vertical="center"/>
    </xf>
    <xf numFmtId="8" fontId="9" fillId="7" borderId="2" xfId="0" applyNumberFormat="1" applyFont="1" applyFill="1" applyBorder="1" applyAlignment="1">
      <alignment horizontal="left" vertical="center" indent="1"/>
    </xf>
    <xf numFmtId="8" fontId="9" fillId="7" borderId="9" xfId="0" applyNumberFormat="1" applyFont="1" applyFill="1" applyBorder="1" applyAlignment="1">
      <alignment vertical="center"/>
    </xf>
    <xf numFmtId="167" fontId="9" fillId="7" borderId="9" xfId="0" applyNumberFormat="1" applyFont="1" applyFill="1" applyBorder="1" applyAlignment="1">
      <alignment horizontal="center" vertical="center"/>
    </xf>
    <xf numFmtId="8" fontId="9" fillId="2" borderId="0" xfId="0" applyNumberFormat="1" applyFont="1" applyFill="1" applyAlignment="1">
      <alignment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2" borderId="0" xfId="0" applyNumberFormat="1" applyFont="1" applyFill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9" xfId="0" applyNumberFormat="1" applyFont="1" applyFill="1" applyBorder="1" applyAlignment="1">
      <alignment horizontal="center" vertical="center"/>
    </xf>
    <xf numFmtId="14" fontId="6" fillId="2" borderId="10" xfId="0" applyNumberFormat="1" applyFont="1" applyFill="1" applyBorder="1" applyAlignment="1">
      <alignment horizontal="center" vertical="center"/>
    </xf>
    <xf numFmtId="14" fontId="10" fillId="2" borderId="0" xfId="0" applyNumberFormat="1" applyFont="1" applyFill="1" applyAlignment="1">
      <alignment horizontal="center" vertical="center" wrapText="1"/>
    </xf>
    <xf numFmtId="14" fontId="11" fillId="2" borderId="0" xfId="0" applyNumberFormat="1" applyFont="1" applyFill="1" applyAlignment="1">
      <alignment horizontal="center" vertical="center" wrapText="1"/>
    </xf>
    <xf numFmtId="9" fontId="10" fillId="2" borderId="0" xfId="2" applyFont="1" applyFill="1" applyBorder="1" applyAlignment="1">
      <alignment horizontal="center" vertical="center" wrapText="1"/>
    </xf>
    <xf numFmtId="168" fontId="10" fillId="2" borderId="0" xfId="2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 wrapText="1"/>
    </xf>
    <xf numFmtId="1" fontId="10" fillId="2" borderId="0" xfId="0" applyNumberFormat="1" applyFont="1" applyFill="1" applyAlignment="1">
      <alignment horizontal="center" vertical="center" wrapText="1"/>
    </xf>
    <xf numFmtId="164" fontId="11" fillId="2" borderId="0" xfId="0" applyNumberFormat="1" applyFont="1" applyFill="1" applyAlignment="1">
      <alignment horizontal="center" vertical="center" wrapText="1"/>
    </xf>
    <xf numFmtId="9" fontId="2" fillId="2" borderId="0" xfId="2" applyFont="1" applyFill="1" applyBorder="1"/>
    <xf numFmtId="14" fontId="10" fillId="8" borderId="4" xfId="0" applyNumberFormat="1" applyFont="1" applyFill="1" applyBorder="1" applyAlignment="1">
      <alignment horizontal="center" vertical="center" wrapText="1"/>
    </xf>
    <xf numFmtId="14" fontId="10" fillId="8" borderId="11" xfId="0" applyNumberFormat="1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9" fontId="10" fillId="2" borderId="1" xfId="2" applyFont="1" applyFill="1" applyBorder="1" applyAlignment="1">
      <alignment horizontal="center" vertical="center" wrapText="1"/>
    </xf>
    <xf numFmtId="14" fontId="11" fillId="9" borderId="2" xfId="0" applyNumberFormat="1" applyFont="1" applyFill="1" applyBorder="1" applyAlignment="1">
      <alignment horizontal="center" vertical="center" wrapText="1"/>
    </xf>
    <xf numFmtId="14" fontId="11" fillId="9" borderId="10" xfId="0" applyNumberFormat="1" applyFont="1" applyFill="1" applyBorder="1" applyAlignment="1">
      <alignment horizontal="center" vertical="center" wrapText="1"/>
    </xf>
    <xf numFmtId="14" fontId="10" fillId="2" borderId="2" xfId="0" applyNumberFormat="1" applyFont="1" applyFill="1" applyBorder="1" applyAlignment="1">
      <alignment horizontal="center" vertical="center" wrapText="1"/>
    </xf>
    <xf numFmtId="14" fontId="10" fillId="2" borderId="10" xfId="0" applyNumberFormat="1" applyFont="1" applyFill="1" applyBorder="1" applyAlignment="1">
      <alignment horizontal="center" vertical="center" wrapText="1"/>
    </xf>
    <xf numFmtId="14" fontId="10" fillId="2" borderId="0" xfId="0" applyNumberFormat="1" applyFont="1" applyFill="1" applyAlignment="1">
      <alignment horizontal="center" vertical="center" wrapText="1"/>
    </xf>
    <xf numFmtId="0" fontId="12" fillId="2" borderId="0" xfId="0" applyFont="1" applyFill="1"/>
    <xf numFmtId="0" fontId="13" fillId="2" borderId="0" xfId="0" applyFont="1" applyFill="1"/>
    <xf numFmtId="0" fontId="14" fillId="10" borderId="1" xfId="0" applyFont="1" applyFill="1" applyBorder="1" applyAlignment="1">
      <alignment horizontal="center" vertical="center" wrapText="1"/>
    </xf>
    <xf numFmtId="0" fontId="14" fillId="10" borderId="12" xfId="0" applyFont="1" applyFill="1" applyBorder="1" applyAlignment="1">
      <alignment horizontal="center" vertical="center" wrapText="1"/>
    </xf>
    <xf numFmtId="0" fontId="15" fillId="2" borderId="0" xfId="0" applyFont="1" applyFill="1"/>
    <xf numFmtId="10" fontId="16" fillId="11" borderId="1" xfId="0" applyNumberFormat="1" applyFont="1" applyFill="1" applyBorder="1" applyAlignment="1">
      <alignment horizontal="center" vertical="center" wrapText="1"/>
    </xf>
    <xf numFmtId="170" fontId="16" fillId="11" borderId="1" xfId="3" applyNumberFormat="1" applyFont="1" applyFill="1" applyBorder="1" applyAlignment="1">
      <alignment horizontal="center" vertical="center" wrapText="1"/>
    </xf>
    <xf numFmtId="10" fontId="16" fillId="11" borderId="12" xfId="0" applyNumberFormat="1" applyFont="1" applyFill="1" applyBorder="1" applyAlignment="1">
      <alignment horizontal="center" vertical="center" wrapText="1"/>
    </xf>
    <xf numFmtId="170" fontId="16" fillId="11" borderId="12" xfId="3" applyNumberFormat="1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left"/>
    </xf>
    <xf numFmtId="10" fontId="18" fillId="2" borderId="1" xfId="0" applyNumberFormat="1" applyFont="1" applyFill="1" applyBorder="1" applyAlignment="1">
      <alignment horizontal="center" vertical="center" wrapText="1"/>
    </xf>
    <xf numFmtId="10" fontId="18" fillId="2" borderId="1" xfId="2" applyNumberFormat="1" applyFont="1" applyFill="1" applyBorder="1" applyAlignment="1">
      <alignment horizontal="center" vertical="center" wrapText="1"/>
    </xf>
    <xf numFmtId="9" fontId="18" fillId="6" borderId="1" xfId="2" applyFont="1" applyFill="1" applyBorder="1" applyAlignment="1">
      <alignment horizontal="center" vertical="center" wrapText="1"/>
    </xf>
    <xf numFmtId="9" fontId="18" fillId="12" borderId="1" xfId="2" applyFont="1" applyFill="1" applyBorder="1" applyAlignment="1">
      <alignment horizontal="center" vertical="center" wrapText="1"/>
    </xf>
    <xf numFmtId="9" fontId="18" fillId="13" borderId="1" xfId="2" applyFont="1" applyFill="1" applyBorder="1" applyAlignment="1">
      <alignment horizontal="center" vertical="center" wrapText="1"/>
    </xf>
    <xf numFmtId="10" fontId="18" fillId="4" borderId="1" xfId="0" applyNumberFormat="1" applyFont="1" applyFill="1" applyBorder="1" applyAlignment="1">
      <alignment horizontal="center" vertical="center" wrapText="1"/>
    </xf>
    <xf numFmtId="10" fontId="18" fillId="0" borderId="1" xfId="0" applyNumberFormat="1" applyFont="1" applyBorder="1" applyAlignment="1">
      <alignment horizontal="center" vertical="center" wrapText="1"/>
    </xf>
    <xf numFmtId="1" fontId="18" fillId="2" borderId="12" xfId="0" applyNumberFormat="1" applyFont="1" applyFill="1" applyBorder="1" applyAlignment="1">
      <alignment horizontal="center" vertical="center" wrapText="1"/>
    </xf>
    <xf numFmtId="166" fontId="18" fillId="2" borderId="12" xfId="3" applyNumberFormat="1" applyFont="1" applyFill="1" applyBorder="1" applyAlignment="1">
      <alignment horizontal="center" vertical="center" wrapText="1"/>
    </xf>
    <xf numFmtId="0" fontId="17" fillId="2" borderId="0" xfId="0" applyFont="1" applyFill="1"/>
    <xf numFmtId="10" fontId="18" fillId="6" borderId="1" xfId="2" applyNumberFormat="1" applyFont="1" applyFill="1" applyBorder="1" applyAlignment="1">
      <alignment horizontal="center" vertical="center" wrapText="1"/>
    </xf>
    <xf numFmtId="10" fontId="18" fillId="12" borderId="1" xfId="2" applyNumberFormat="1" applyFont="1" applyFill="1" applyBorder="1" applyAlignment="1">
      <alignment horizontal="center" vertical="center" wrapText="1"/>
    </xf>
    <xf numFmtId="10" fontId="18" fillId="13" borderId="1" xfId="2" applyNumberFormat="1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9" fillId="2" borderId="0" xfId="0" applyFont="1" applyFill="1"/>
    <xf numFmtId="0" fontId="20" fillId="2" borderId="0" xfId="0" applyFont="1" applyFill="1" applyAlignment="1">
      <alignment horizontal="left" vertical="center" wrapText="1" indent="1"/>
    </xf>
    <xf numFmtId="4" fontId="20" fillId="2" borderId="0" xfId="0" applyNumberFormat="1" applyFont="1" applyFill="1" applyAlignment="1">
      <alignment horizontal="left" vertical="center" wrapText="1" indent="1"/>
    </xf>
    <xf numFmtId="164" fontId="20" fillId="2" borderId="0" xfId="1" applyNumberFormat="1" applyFont="1" applyFill="1" applyBorder="1" applyAlignment="1">
      <alignment horizontal="left" vertical="center" wrapText="1" indent="1"/>
    </xf>
    <xf numFmtId="0" fontId="21" fillId="5" borderId="0" xfId="0" applyFont="1" applyFill="1" applyAlignment="1">
      <alignment horizontal="left" vertical="center" wrapText="1" indent="1"/>
    </xf>
    <xf numFmtId="14" fontId="20" fillId="5" borderId="0" xfId="0" applyNumberFormat="1" applyFont="1" applyFill="1" applyAlignment="1">
      <alignment horizontal="left" vertical="center" wrapText="1" indent="1"/>
    </xf>
    <xf numFmtId="0" fontId="22" fillId="2" borderId="0" xfId="0" applyFont="1" applyFill="1" applyAlignment="1">
      <alignment horizontal="left" vertical="center" wrapText="1" indent="1"/>
    </xf>
    <xf numFmtId="1" fontId="20" fillId="2" borderId="0" xfId="1" applyNumberFormat="1" applyFont="1" applyFill="1" applyBorder="1" applyAlignment="1">
      <alignment horizontal="left" vertical="center" wrapText="1" indent="1"/>
    </xf>
    <xf numFmtId="0" fontId="21" fillId="2" borderId="0" xfId="0" applyFont="1" applyFill="1" applyAlignment="1">
      <alignment horizontal="left" vertical="center" wrapText="1" indent="1"/>
    </xf>
    <xf numFmtId="166" fontId="20" fillId="5" borderId="0" xfId="1" applyNumberFormat="1" applyFont="1" applyFill="1" applyBorder="1" applyAlignment="1">
      <alignment horizontal="left" vertical="center" wrapText="1" indent="1"/>
    </xf>
    <xf numFmtId="166" fontId="20" fillId="2" borderId="0" xfId="1" applyNumberFormat="1" applyFont="1" applyFill="1" applyBorder="1" applyAlignment="1">
      <alignment horizontal="left" vertical="center" wrapText="1" indent="1"/>
    </xf>
    <xf numFmtId="164" fontId="21" fillId="2" borderId="0" xfId="1" applyNumberFormat="1" applyFont="1" applyFill="1" applyBorder="1" applyAlignment="1">
      <alignment horizontal="left" vertical="center" wrapText="1" indent="1"/>
    </xf>
    <xf numFmtId="164" fontId="22" fillId="2" borderId="0" xfId="1" applyNumberFormat="1" applyFont="1" applyFill="1" applyBorder="1" applyAlignment="1">
      <alignment horizontal="left" vertical="center" wrapText="1" indent="1"/>
    </xf>
    <xf numFmtId="9" fontId="20" fillId="2" borderId="0" xfId="2" applyFont="1" applyFill="1" applyAlignment="1">
      <alignment horizontal="left" vertical="center" wrapText="1" indent="1"/>
    </xf>
    <xf numFmtId="0" fontId="23" fillId="2" borderId="0" xfId="0" applyFont="1" applyFill="1" applyAlignment="1">
      <alignment horizontal="left" vertical="center" wrapText="1" indent="1"/>
    </xf>
    <xf numFmtId="166" fontId="23" fillId="2" borderId="0" xfId="1" applyNumberFormat="1" applyFont="1" applyFill="1" applyBorder="1" applyAlignment="1">
      <alignment horizontal="left" vertical="center" wrapText="1" indent="1"/>
    </xf>
    <xf numFmtId="166" fontId="21" fillId="2" borderId="0" xfId="1" applyNumberFormat="1" applyFont="1" applyFill="1" applyBorder="1" applyAlignment="1">
      <alignment horizontal="left" vertical="center" wrapText="1" indent="1"/>
    </xf>
    <xf numFmtId="166" fontId="24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1" fontId="26" fillId="2" borderId="0" xfId="0" applyNumberFormat="1" applyFont="1" applyFill="1" applyAlignment="1">
      <alignment horizontal="left" vertical="center" indent="1"/>
    </xf>
    <xf numFmtId="9" fontId="13" fillId="5" borderId="0" xfId="2" applyFont="1" applyFill="1" applyAlignment="1">
      <alignment horizontal="left" vertical="center" indent="1"/>
    </xf>
    <xf numFmtId="166" fontId="13" fillId="2" borderId="0" xfId="0" applyNumberFormat="1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/>
    </xf>
    <xf numFmtId="166" fontId="13" fillId="5" borderId="0" xfId="0" applyNumberFormat="1" applyFont="1" applyFill="1" applyAlignment="1">
      <alignment horizontal="left" vertical="center"/>
    </xf>
    <xf numFmtId="1" fontId="13" fillId="2" borderId="0" xfId="0" applyNumberFormat="1" applyFont="1" applyFill="1" applyAlignment="1">
      <alignment horizontal="left" vertical="center"/>
    </xf>
    <xf numFmtId="0" fontId="24" fillId="2" borderId="13" xfId="0" applyFont="1" applyFill="1" applyBorder="1" applyAlignment="1">
      <alignment horizontal="center"/>
    </xf>
    <xf numFmtId="0" fontId="27" fillId="2" borderId="13" xfId="0" applyFont="1" applyFill="1" applyBorder="1" applyAlignment="1">
      <alignment horizontal="left" vertical="center" indent="2"/>
    </xf>
    <xf numFmtId="0" fontId="28" fillId="2" borderId="13" xfId="0" applyFont="1" applyFill="1" applyBorder="1" applyAlignment="1">
      <alignment horizontal="center"/>
    </xf>
    <xf numFmtId="0" fontId="29" fillId="2" borderId="13" xfId="0" applyFont="1" applyFill="1" applyBorder="1" applyAlignment="1">
      <alignment horizontal="center"/>
    </xf>
    <xf numFmtId="0" fontId="29" fillId="2" borderId="14" xfId="0" applyFont="1" applyFill="1" applyBorder="1" applyAlignment="1">
      <alignment horizontal="center" vertical="center"/>
    </xf>
    <xf numFmtId="0" fontId="29" fillId="2" borderId="15" xfId="0" applyFont="1" applyFill="1" applyBorder="1" applyAlignment="1">
      <alignment horizontal="center" vertical="center"/>
    </xf>
    <xf numFmtId="0" fontId="29" fillId="2" borderId="16" xfId="0" applyFont="1" applyFill="1" applyBorder="1" applyAlignment="1">
      <alignment horizontal="center" vertical="center"/>
    </xf>
    <xf numFmtId="170" fontId="29" fillId="2" borderId="14" xfId="3" applyNumberFormat="1" applyFont="1" applyFill="1" applyBorder="1" applyAlignment="1">
      <alignment horizontal="center" vertical="center"/>
    </xf>
    <xf numFmtId="170" fontId="29" fillId="2" borderId="15" xfId="3" applyNumberFormat="1" applyFont="1" applyFill="1" applyBorder="1" applyAlignment="1">
      <alignment horizontal="center" vertical="center"/>
    </xf>
    <xf numFmtId="170" fontId="29" fillId="2" borderId="16" xfId="3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2"/>
    </xf>
    <xf numFmtId="10" fontId="25" fillId="2" borderId="17" xfId="0" applyNumberFormat="1" applyFont="1" applyFill="1" applyBorder="1" applyAlignment="1">
      <alignment horizontal="center" vertical="center"/>
    </xf>
    <xf numFmtId="6" fontId="25" fillId="2" borderId="18" xfId="0" applyNumberFormat="1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6" fontId="13" fillId="2" borderId="14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/>
    </xf>
    <xf numFmtId="0" fontId="29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vertical="center"/>
    </xf>
    <xf numFmtId="0" fontId="30" fillId="2" borderId="0" xfId="0" applyFont="1" applyFill="1"/>
    <xf numFmtId="0" fontId="19" fillId="2" borderId="19" xfId="0" applyFont="1" applyFill="1" applyBorder="1" applyAlignment="1">
      <alignment horizontal="left" wrapText="1"/>
    </xf>
    <xf numFmtId="0" fontId="15" fillId="2" borderId="0" xfId="0" applyFont="1" applyFill="1" applyAlignment="1">
      <alignment horizontal="left"/>
    </xf>
    <xf numFmtId="14" fontId="31" fillId="2" borderId="0" xfId="0" applyNumberFormat="1" applyFont="1" applyFill="1"/>
    <xf numFmtId="166" fontId="32" fillId="2" borderId="14" xfId="0" applyNumberFormat="1" applyFont="1" applyFill="1" applyBorder="1" applyAlignment="1">
      <alignment horizontal="center"/>
    </xf>
    <xf numFmtId="0" fontId="25" fillId="2" borderId="15" xfId="0" applyFont="1" applyFill="1" applyBorder="1" applyAlignment="1">
      <alignment horizontal="left"/>
    </xf>
    <xf numFmtId="0" fontId="33" fillId="2" borderId="16" xfId="0" applyFont="1" applyFill="1" applyBorder="1"/>
    <xf numFmtId="166" fontId="32" fillId="2" borderId="15" xfId="0" applyNumberFormat="1" applyFont="1" applyFill="1" applyBorder="1" applyAlignment="1">
      <alignment horizontal="center"/>
    </xf>
    <xf numFmtId="166" fontId="32" fillId="2" borderId="16" xfId="0" applyNumberFormat="1" applyFont="1" applyFill="1" applyBorder="1" applyAlignment="1">
      <alignment horizontal="center"/>
    </xf>
    <xf numFmtId="0" fontId="25" fillId="2" borderId="21" xfId="0" applyFont="1" applyFill="1" applyBorder="1" applyAlignment="1">
      <alignment horizontal="left"/>
    </xf>
    <xf numFmtId="0" fontId="33" fillId="2" borderId="19" xfId="0" applyFont="1" applyFill="1" applyBorder="1"/>
    <xf numFmtId="166" fontId="24" fillId="2" borderId="14" xfId="0" applyNumberFormat="1" applyFont="1" applyFill="1" applyBorder="1" applyAlignment="1">
      <alignment horizontal="center"/>
    </xf>
    <xf numFmtId="0" fontId="34" fillId="2" borderId="21" xfId="0" applyFont="1" applyFill="1" applyBorder="1" applyAlignment="1">
      <alignment horizontal="left"/>
    </xf>
    <xf numFmtId="0" fontId="34" fillId="2" borderId="19" xfId="0" applyFont="1" applyFill="1" applyBorder="1"/>
    <xf numFmtId="166" fontId="24" fillId="2" borderId="15" xfId="0" applyNumberFormat="1" applyFont="1" applyFill="1" applyBorder="1" applyAlignment="1">
      <alignment horizontal="center"/>
    </xf>
    <xf numFmtId="166" fontId="24" fillId="2" borderId="16" xfId="0" applyNumberFormat="1" applyFont="1" applyFill="1" applyBorder="1" applyAlignment="1">
      <alignment horizontal="center"/>
    </xf>
    <xf numFmtId="166" fontId="29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25" fillId="2" borderId="13" xfId="0" applyFont="1" applyFill="1" applyBorder="1" applyAlignment="1">
      <alignment horizontal="center"/>
    </xf>
    <xf numFmtId="0" fontId="19" fillId="2" borderId="13" xfId="0" applyFont="1" applyFill="1" applyBorder="1"/>
    <xf numFmtId="166" fontId="34" fillId="2" borderId="14" xfId="0" applyNumberFormat="1" applyFont="1" applyFill="1" applyBorder="1" applyAlignment="1">
      <alignment horizontal="center"/>
    </xf>
    <xf numFmtId="0" fontId="25" fillId="2" borderId="13" xfId="0" applyFont="1" applyFill="1" applyBorder="1" applyAlignment="1">
      <alignment horizontal="left"/>
    </xf>
    <xf numFmtId="166" fontId="34" fillId="2" borderId="15" xfId="0" applyNumberFormat="1" applyFont="1" applyFill="1" applyBorder="1" applyAlignment="1">
      <alignment horizontal="center"/>
    </xf>
    <xf numFmtId="166" fontId="34" fillId="2" borderId="16" xfId="0" applyNumberFormat="1" applyFont="1" applyFill="1" applyBorder="1" applyAlignment="1">
      <alignment horizontal="center"/>
    </xf>
    <xf numFmtId="170" fontId="32" fillId="2" borderId="13" xfId="3" applyNumberFormat="1" applyFont="1" applyFill="1" applyBorder="1" applyAlignment="1">
      <alignment horizontal="center"/>
    </xf>
    <xf numFmtId="6" fontId="13" fillId="2" borderId="0" xfId="0" applyNumberFormat="1" applyFont="1" applyFill="1" applyAlignment="1">
      <alignment horizontal="left" indent="2"/>
    </xf>
    <xf numFmtId="0" fontId="25" fillId="2" borderId="13" xfId="0" applyFont="1" applyFill="1" applyBorder="1"/>
    <xf numFmtId="170" fontId="33" fillId="2" borderId="13" xfId="3" applyNumberFormat="1" applyFont="1" applyFill="1" applyBorder="1"/>
    <xf numFmtId="166" fontId="33" fillId="2" borderId="14" xfId="0" applyNumberFormat="1" applyFont="1" applyFill="1" applyBorder="1" applyAlignment="1">
      <alignment horizontal="center"/>
    </xf>
    <xf numFmtId="166" fontId="33" fillId="2" borderId="15" xfId="0" applyNumberFormat="1" applyFont="1" applyFill="1" applyBorder="1" applyAlignment="1">
      <alignment horizontal="center"/>
    </xf>
    <xf numFmtId="166" fontId="33" fillId="2" borderId="16" xfId="0" applyNumberFormat="1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right"/>
    </xf>
    <xf numFmtId="0" fontId="25" fillId="2" borderId="0" xfId="0" applyFont="1" applyFill="1" applyAlignment="1">
      <alignment horizontal="left"/>
    </xf>
    <xf numFmtId="0" fontId="25" fillId="2" borderId="15" xfId="0" applyFont="1" applyFill="1" applyBorder="1" applyAlignment="1">
      <alignment horizontal="left"/>
    </xf>
    <xf numFmtId="0" fontId="25" fillId="2" borderId="14" xfId="0" applyFont="1" applyFill="1" applyBorder="1" applyAlignment="1">
      <alignment horizontal="left"/>
    </xf>
    <xf numFmtId="0" fontId="33" fillId="2" borderId="0" xfId="0" applyFont="1" applyFill="1" applyAlignment="1">
      <alignment horizontal="right"/>
    </xf>
    <xf numFmtId="166" fontId="32" fillId="2" borderId="0" xfId="0" applyNumberFormat="1" applyFont="1" applyFill="1" applyAlignment="1">
      <alignment horizontal="right" vertical="center"/>
    </xf>
    <xf numFmtId="0" fontId="32" fillId="2" borderId="14" xfId="0" applyFont="1" applyFill="1" applyBorder="1" applyAlignment="1">
      <alignment horizontal="center"/>
    </xf>
    <xf numFmtId="0" fontId="32" fillId="2" borderId="15" xfId="0" applyFont="1" applyFill="1" applyBorder="1" applyAlignment="1">
      <alignment horizontal="center"/>
    </xf>
    <xf numFmtId="0" fontId="32" fillId="2" borderId="16" xfId="0" applyFont="1" applyFill="1" applyBorder="1" applyAlignment="1">
      <alignment horizontal="center"/>
    </xf>
    <xf numFmtId="2" fontId="29" fillId="2" borderId="0" xfId="0" applyNumberFormat="1" applyFont="1" applyFill="1" applyAlignment="1">
      <alignment horizontal="center" vertical="center"/>
    </xf>
    <xf numFmtId="0" fontId="28" fillId="2" borderId="0" xfId="0" applyFont="1" applyFill="1" applyAlignment="1">
      <alignment horizontal="left"/>
    </xf>
    <xf numFmtId="0" fontId="28" fillId="2" borderId="0" xfId="0" applyFont="1" applyFill="1"/>
    <xf numFmtId="166" fontId="32" fillId="2" borderId="0" xfId="0" applyNumberFormat="1" applyFont="1" applyFill="1" applyAlignment="1">
      <alignment horizontal="center" vertical="center"/>
    </xf>
    <xf numFmtId="0" fontId="25" fillId="2" borderId="12" xfId="0" applyFont="1" applyFill="1" applyBorder="1" applyAlignment="1">
      <alignment horizontal="left"/>
    </xf>
    <xf numFmtId="170" fontId="25" fillId="2" borderId="12" xfId="3" applyNumberFormat="1" applyFont="1" applyFill="1" applyBorder="1" applyAlignment="1">
      <alignment horizontal="left"/>
    </xf>
    <xf numFmtId="0" fontId="25" fillId="2" borderId="12" xfId="0" applyFont="1" applyFill="1" applyBorder="1" applyAlignment="1">
      <alignment horizontal="center"/>
    </xf>
    <xf numFmtId="0" fontId="25" fillId="2" borderId="12" xfId="0" applyFont="1" applyFill="1" applyBorder="1" applyAlignment="1">
      <alignment horizontal="left"/>
    </xf>
    <xf numFmtId="0" fontId="35" fillId="2" borderId="0" xfId="0" applyFont="1" applyFill="1"/>
    <xf numFmtId="0" fontId="34" fillId="2" borderId="12" xfId="0" applyFont="1" applyFill="1" applyBorder="1" applyAlignment="1">
      <alignment horizontal="left"/>
    </xf>
    <xf numFmtId="170" fontId="34" fillId="2" borderId="12" xfId="3" applyNumberFormat="1" applyFont="1" applyFill="1" applyBorder="1" applyAlignment="1">
      <alignment horizontal="left"/>
    </xf>
    <xf numFmtId="0" fontId="34" fillId="2" borderId="12" xfId="0" applyFont="1" applyFill="1" applyBorder="1" applyAlignment="1">
      <alignment horizontal="center"/>
    </xf>
    <xf numFmtId="0" fontId="34" fillId="2" borderId="12" xfId="0" applyFont="1" applyFill="1" applyBorder="1" applyAlignment="1">
      <alignment horizontal="left"/>
    </xf>
    <xf numFmtId="3" fontId="24" fillId="2" borderId="14" xfId="0" applyNumberFormat="1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4" xfId="0" applyFont="1" applyFill="1" applyBorder="1" applyAlignment="1">
      <alignment horizontal="left" vertical="center"/>
    </xf>
    <xf numFmtId="3" fontId="24" fillId="2" borderId="15" xfId="0" applyNumberFormat="1" applyFont="1" applyFill="1" applyBorder="1" applyAlignment="1">
      <alignment horizontal="center" vertical="center"/>
    </xf>
    <xf numFmtId="3" fontId="24" fillId="2" borderId="16" xfId="0" applyNumberFormat="1" applyFont="1" applyFill="1" applyBorder="1" applyAlignment="1">
      <alignment horizontal="center" vertical="center"/>
    </xf>
    <xf numFmtId="166" fontId="29" fillId="2" borderId="14" xfId="0" applyNumberFormat="1" applyFont="1" applyFill="1" applyBorder="1" applyAlignment="1">
      <alignment horizontal="center" vertical="center"/>
    </xf>
    <xf numFmtId="166" fontId="29" fillId="2" borderId="15" xfId="0" applyNumberFormat="1" applyFont="1" applyFill="1" applyBorder="1" applyAlignment="1">
      <alignment horizontal="center" vertical="center"/>
    </xf>
    <xf numFmtId="166" fontId="29" fillId="2" borderId="16" xfId="0" applyNumberFormat="1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 vertical="center"/>
    </xf>
    <xf numFmtId="9" fontId="29" fillId="2" borderId="15" xfId="0" applyNumberFormat="1" applyFont="1" applyFill="1" applyBorder="1" applyAlignment="1">
      <alignment horizontal="center" vertical="center"/>
    </xf>
    <xf numFmtId="9" fontId="29" fillId="2" borderId="14" xfId="0" applyNumberFormat="1" applyFont="1" applyFill="1" applyBorder="1" applyAlignment="1">
      <alignment horizontal="center" vertical="center"/>
    </xf>
    <xf numFmtId="166" fontId="29" fillId="2" borderId="13" xfId="0" applyNumberFormat="1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left" vertical="center"/>
    </xf>
    <xf numFmtId="166" fontId="29" fillId="2" borderId="15" xfId="0" applyNumberFormat="1" applyFont="1" applyFill="1" applyBorder="1" applyAlignment="1">
      <alignment horizontal="center" vertical="center"/>
    </xf>
    <xf numFmtId="166" fontId="29" fillId="2" borderId="14" xfId="0" applyNumberFormat="1" applyFont="1" applyFill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center"/>
    </xf>
    <xf numFmtId="168" fontId="29" fillId="2" borderId="13" xfId="0" applyNumberFormat="1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vertical="center"/>
    </xf>
    <xf numFmtId="0" fontId="25" fillId="2" borderId="14" xfId="0" applyFont="1" applyFill="1" applyBorder="1" applyAlignment="1">
      <alignment vertical="center"/>
    </xf>
    <xf numFmtId="166" fontId="28" fillId="2" borderId="14" xfId="0" applyNumberFormat="1" applyFont="1" applyFill="1" applyBorder="1" applyAlignment="1">
      <alignment horizontal="center"/>
    </xf>
    <xf numFmtId="166" fontId="28" fillId="2" borderId="15" xfId="0" applyNumberFormat="1" applyFont="1" applyFill="1" applyBorder="1" applyAlignment="1">
      <alignment horizontal="center"/>
    </xf>
    <xf numFmtId="166" fontId="28" fillId="2" borderId="16" xfId="0" applyNumberFormat="1" applyFont="1" applyFill="1" applyBorder="1" applyAlignment="1">
      <alignment horizontal="center"/>
    </xf>
    <xf numFmtId="0" fontId="24" fillId="2" borderId="14" xfId="0" applyFont="1" applyFill="1" applyBorder="1" applyAlignment="1">
      <alignment horizontal="center"/>
    </xf>
    <xf numFmtId="0" fontId="24" fillId="2" borderId="15" xfId="0" applyFont="1" applyFill="1" applyBorder="1" applyAlignment="1">
      <alignment horizontal="center"/>
    </xf>
    <xf numFmtId="0" fontId="24" fillId="2" borderId="16" xfId="0" applyFont="1" applyFill="1" applyBorder="1" applyAlignment="1">
      <alignment horizontal="center"/>
    </xf>
    <xf numFmtId="166" fontId="36" fillId="2" borderId="0" xfId="0" applyNumberFormat="1" applyFont="1" applyFill="1" applyAlignment="1">
      <alignment horizontal="center"/>
    </xf>
    <xf numFmtId="0" fontId="25" fillId="2" borderId="0" xfId="0" applyFont="1" applyFill="1"/>
    <xf numFmtId="166" fontId="29" fillId="2" borderId="0" xfId="0" applyNumberFormat="1" applyFont="1" applyFill="1" applyAlignment="1">
      <alignment horizontal="center"/>
    </xf>
    <xf numFmtId="166" fontId="36" fillId="2" borderId="0" xfId="0" applyNumberFormat="1" applyFont="1" applyFill="1"/>
    <xf numFmtId="0" fontId="25" fillId="2" borderId="0" xfId="0" applyFont="1" applyFill="1" applyAlignment="1">
      <alignment horizontal="center"/>
    </xf>
    <xf numFmtId="10" fontId="37" fillId="2" borderId="0" xfId="0" applyNumberFormat="1" applyFont="1" applyFill="1" applyAlignment="1">
      <alignment horizontal="center" vertical="center" wrapText="1"/>
    </xf>
    <xf numFmtId="170" fontId="37" fillId="2" borderId="0" xfId="0" applyNumberFormat="1" applyFont="1" applyFill="1" applyAlignment="1">
      <alignment horizontal="center" vertical="center" wrapText="1"/>
    </xf>
    <xf numFmtId="170" fontId="37" fillId="2" borderId="0" xfId="3" applyNumberFormat="1" applyFont="1" applyFill="1" applyAlignment="1">
      <alignment horizontal="center" vertical="center" wrapText="1"/>
    </xf>
    <xf numFmtId="170" fontId="38" fillId="10" borderId="0" xfId="0" applyNumberFormat="1" applyFont="1" applyFill="1" applyAlignment="1">
      <alignment horizontal="center" vertical="center" wrapText="1"/>
    </xf>
    <xf numFmtId="170" fontId="38" fillId="10" borderId="0" xfId="0" applyNumberFormat="1" applyFont="1" applyFill="1" applyAlignment="1">
      <alignment horizontal="center" vertical="center" wrapText="1"/>
    </xf>
    <xf numFmtId="170" fontId="25" fillId="2" borderId="0" xfId="0" applyNumberFormat="1" applyFont="1" applyFill="1" applyAlignment="1">
      <alignment horizontal="center" vertical="center" wrapText="1"/>
    </xf>
    <xf numFmtId="0" fontId="39" fillId="9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center" vertical="center" wrapText="1"/>
    </xf>
    <xf numFmtId="0" fontId="39" fillId="2" borderId="0" xfId="0" applyFont="1" applyFill="1" applyAlignment="1">
      <alignment horizontal="center" vertical="center" wrapText="1"/>
    </xf>
    <xf numFmtId="0" fontId="40" fillId="7" borderId="1" xfId="0" applyFont="1" applyFill="1" applyBorder="1" applyAlignment="1">
      <alignment horizontal="center" vertical="center" wrapText="1"/>
    </xf>
    <xf numFmtId="0" fontId="41" fillId="14" borderId="1" xfId="0" applyFont="1" applyFill="1" applyBorder="1" applyAlignment="1">
      <alignment horizontal="center" vertical="center" wrapText="1"/>
    </xf>
    <xf numFmtId="0" fontId="41" fillId="9" borderId="0" xfId="0" applyFont="1" applyFill="1" applyAlignment="1">
      <alignment horizontal="center" vertical="center" wrapText="1"/>
    </xf>
    <xf numFmtId="0" fontId="41" fillId="15" borderId="0" xfId="0" applyFont="1" applyFill="1" applyAlignment="1">
      <alignment horizontal="center" vertical="center" wrapText="1"/>
    </xf>
    <xf numFmtId="10" fontId="26" fillId="2" borderId="1" xfId="0" applyNumberFormat="1" applyFont="1" applyFill="1" applyBorder="1" applyAlignment="1">
      <alignment horizontal="left" vertical="center" wrapText="1" indent="3"/>
    </xf>
    <xf numFmtId="10" fontId="37" fillId="2" borderId="1" xfId="0" applyNumberFormat="1" applyFont="1" applyFill="1" applyBorder="1" applyAlignment="1">
      <alignment horizontal="center" vertical="center" wrapText="1"/>
    </xf>
    <xf numFmtId="10" fontId="37" fillId="2" borderId="1" xfId="2" applyNumberFormat="1" applyFont="1" applyFill="1" applyBorder="1" applyAlignment="1">
      <alignment horizontal="center" vertical="center" wrapText="1"/>
    </xf>
    <xf numFmtId="10" fontId="26" fillId="2" borderId="1" xfId="0" applyNumberFormat="1" applyFont="1" applyFill="1" applyBorder="1" applyAlignment="1">
      <alignment horizontal="center" vertical="center" wrapText="1"/>
    </xf>
    <xf numFmtId="170" fontId="26" fillId="2" borderId="1" xfId="3" applyNumberFormat="1" applyFont="1" applyFill="1" applyBorder="1" applyAlignment="1">
      <alignment horizontal="center" vertical="center" wrapText="1"/>
    </xf>
    <xf numFmtId="10" fontId="26" fillId="2" borderId="0" xfId="0" applyNumberFormat="1" applyFont="1" applyFill="1" applyAlignment="1">
      <alignment horizontal="center" vertical="center" wrapText="1"/>
    </xf>
    <xf numFmtId="1" fontId="37" fillId="2" borderId="1" xfId="3" applyNumberFormat="1" applyFont="1" applyFill="1" applyBorder="1" applyAlignment="1">
      <alignment horizontal="center" vertical="center" wrapText="1"/>
    </xf>
    <xf numFmtId="9" fontId="37" fillId="2" borderId="1" xfId="2" applyFont="1" applyFill="1" applyBorder="1" applyAlignment="1">
      <alignment horizontal="center" vertical="center" wrapText="1"/>
    </xf>
    <xf numFmtId="166" fontId="37" fillId="2" borderId="1" xfId="3" applyNumberFormat="1" applyFont="1" applyFill="1" applyBorder="1" applyAlignment="1">
      <alignment horizontal="center" vertical="center" wrapText="1"/>
    </xf>
    <xf numFmtId="166" fontId="37" fillId="2" borderId="0" xfId="0" applyNumberFormat="1" applyFont="1" applyFill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170" fontId="32" fillId="2" borderId="0" xfId="3" applyNumberFormat="1" applyFont="1" applyFill="1" applyBorder="1" applyAlignment="1">
      <alignment horizontal="center" vertical="center" wrapText="1"/>
    </xf>
    <xf numFmtId="0" fontId="32" fillId="2" borderId="0" xfId="0" applyFont="1" applyFill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1" fontId="37" fillId="2" borderId="1" xfId="0" applyNumberFormat="1" applyFont="1" applyFill="1" applyBorder="1" applyAlignment="1">
      <alignment horizontal="center" vertical="center" wrapText="1"/>
    </xf>
    <xf numFmtId="170" fontId="37" fillId="2" borderId="1" xfId="3" applyNumberFormat="1" applyFont="1" applyFill="1" applyBorder="1" applyAlignment="1">
      <alignment horizontal="center" vertical="center" wrapText="1"/>
    </xf>
    <xf numFmtId="170" fontId="37" fillId="2" borderId="0" xfId="3" applyNumberFormat="1" applyFont="1" applyFill="1" applyBorder="1" applyAlignment="1">
      <alignment horizontal="center" vertical="center" wrapText="1"/>
    </xf>
    <xf numFmtId="166" fontId="37" fillId="2" borderId="1" xfId="0" applyNumberFormat="1" applyFont="1" applyFill="1" applyBorder="1" applyAlignment="1">
      <alignment horizontal="center" vertical="center" wrapText="1"/>
    </xf>
    <xf numFmtId="166" fontId="20" fillId="2" borderId="1" xfId="0" applyNumberFormat="1" applyFont="1" applyFill="1" applyBorder="1" applyAlignment="1">
      <alignment horizontal="center" vertical="center" wrapText="1"/>
    </xf>
    <xf numFmtId="166" fontId="37" fillId="2" borderId="0" xfId="3" applyNumberFormat="1" applyFont="1" applyFill="1" applyBorder="1" applyAlignment="1">
      <alignment horizontal="center" vertical="center" wrapText="1"/>
    </xf>
    <xf numFmtId="6" fontId="42" fillId="2" borderId="0" xfId="0" applyNumberFormat="1" applyFont="1" applyFill="1" applyAlignment="1">
      <alignment vertical="top" wrapText="1"/>
    </xf>
    <xf numFmtId="10" fontId="26" fillId="2" borderId="22" xfId="0" applyNumberFormat="1" applyFont="1" applyFill="1" applyBorder="1" applyAlignment="1">
      <alignment horizontal="left" vertical="center" wrapText="1" indent="3"/>
    </xf>
    <xf numFmtId="10" fontId="37" fillId="2" borderId="22" xfId="0" applyNumberFormat="1" applyFont="1" applyFill="1" applyBorder="1" applyAlignment="1">
      <alignment horizontal="center" vertical="center" wrapText="1"/>
    </xf>
    <xf numFmtId="10" fontId="37" fillId="2" borderId="5" xfId="0" applyNumberFormat="1" applyFont="1" applyFill="1" applyBorder="1" applyAlignment="1">
      <alignment horizontal="center" vertical="center" wrapText="1"/>
    </xf>
    <xf numFmtId="10" fontId="37" fillId="2" borderId="23" xfId="0" applyNumberFormat="1" applyFont="1" applyFill="1" applyBorder="1" applyAlignment="1">
      <alignment horizontal="center" vertical="center" wrapText="1"/>
    </xf>
    <xf numFmtId="10" fontId="26" fillId="2" borderId="10" xfId="0" applyNumberFormat="1" applyFont="1" applyFill="1" applyBorder="1" applyAlignment="1">
      <alignment horizontal="left" vertical="center" wrapText="1" indent="3"/>
    </xf>
    <xf numFmtId="10" fontId="26" fillId="2" borderId="4" xfId="0" applyNumberFormat="1" applyFont="1" applyFill="1" applyBorder="1" applyAlignment="1">
      <alignment horizontal="left" vertical="center" wrapText="1" indent="3"/>
    </xf>
    <xf numFmtId="10" fontId="37" fillId="2" borderId="24" xfId="0" applyNumberFormat="1" applyFont="1" applyFill="1" applyBorder="1" applyAlignment="1">
      <alignment horizontal="center" vertical="center" wrapText="1"/>
    </xf>
    <xf numFmtId="10" fontId="20" fillId="2" borderId="0" xfId="0" applyNumberFormat="1" applyFont="1" applyFill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170" fontId="20" fillId="2" borderId="0" xfId="3" applyNumberFormat="1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10" fontId="43" fillId="2" borderId="0" xfId="0" applyNumberFormat="1" applyFont="1" applyFill="1" applyAlignment="1">
      <alignment horizontal="center" vertical="center" wrapText="1"/>
    </xf>
    <xf numFmtId="170" fontId="43" fillId="2" borderId="0" xfId="3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169" fontId="37" fillId="2" borderId="0" xfId="3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center" wrapText="1"/>
    </xf>
    <xf numFmtId="171" fontId="13" fillId="2" borderId="1" xfId="0" applyNumberFormat="1" applyFont="1" applyFill="1" applyBorder="1" applyAlignment="1">
      <alignment horizontal="center" wrapText="1"/>
    </xf>
    <xf numFmtId="6" fontId="13" fillId="2" borderId="1" xfId="0" applyNumberFormat="1" applyFont="1" applyFill="1" applyBorder="1" applyAlignment="1">
      <alignment horizontal="center" wrapText="1"/>
    </xf>
    <xf numFmtId="170" fontId="26" fillId="2" borderId="0" xfId="3" applyNumberFormat="1" applyFont="1" applyFill="1" applyBorder="1" applyAlignment="1">
      <alignment horizontal="center" vertical="center" wrapText="1"/>
    </xf>
    <xf numFmtId="1" fontId="37" fillId="2" borderId="0" xfId="0" applyNumberFormat="1" applyFont="1" applyFill="1" applyAlignment="1">
      <alignment horizontal="center" vertical="center" wrapText="1"/>
    </xf>
    <xf numFmtId="9" fontId="37" fillId="2" borderId="0" xfId="2" applyFont="1" applyFill="1" applyBorder="1" applyAlignment="1">
      <alignment horizontal="center" vertical="center" wrapText="1"/>
    </xf>
    <xf numFmtId="169" fontId="37" fillId="2" borderId="0" xfId="0" applyNumberFormat="1" applyFont="1" applyFill="1" applyAlignment="1">
      <alignment horizontal="center" vertical="center" wrapText="1"/>
    </xf>
    <xf numFmtId="10" fontId="37" fillId="2" borderId="0" xfId="2" applyNumberFormat="1" applyFont="1" applyFill="1" applyBorder="1" applyAlignment="1">
      <alignment horizontal="center" vertical="center" wrapText="1"/>
    </xf>
    <xf numFmtId="10" fontId="44" fillId="2" borderId="0" xfId="0" applyNumberFormat="1" applyFont="1" applyFill="1" applyAlignment="1">
      <alignment horizontal="center" vertical="center" wrapText="1"/>
    </xf>
    <xf numFmtId="170" fontId="44" fillId="2" borderId="0" xfId="3" applyNumberFormat="1" applyFont="1" applyFill="1" applyBorder="1" applyAlignment="1">
      <alignment horizontal="center" vertical="center" wrapText="1"/>
    </xf>
    <xf numFmtId="0" fontId="37" fillId="2" borderId="0" xfId="0" applyFont="1" applyFill="1" applyAlignment="1">
      <alignment horizontal="right" vertical="center" wrapText="1"/>
    </xf>
    <xf numFmtId="0" fontId="20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right" vertical="center" wrapText="1"/>
    </xf>
    <xf numFmtId="10" fontId="26" fillId="2" borderId="0" xfId="0" applyNumberFormat="1" applyFont="1" applyFill="1" applyAlignment="1">
      <alignment horizontal="left" vertical="center" wrapText="1" indent="3"/>
    </xf>
    <xf numFmtId="14" fontId="37" fillId="2" borderId="0" xfId="0" applyNumberFormat="1" applyFont="1" applyFill="1" applyAlignment="1">
      <alignment horizontal="right" vertical="center" wrapText="1"/>
    </xf>
    <xf numFmtId="0" fontId="39" fillId="9" borderId="2" xfId="0" applyFont="1" applyFill="1" applyBorder="1" applyAlignment="1">
      <alignment horizontal="center" vertical="center" wrapText="1"/>
    </xf>
    <xf numFmtId="0" fontId="39" fillId="9" borderId="9" xfId="0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left" vertical="center" wrapText="1" indent="1"/>
    </xf>
    <xf numFmtId="1" fontId="37" fillId="2" borderId="0" xfId="0" applyNumberFormat="1" applyFont="1" applyFill="1" applyAlignment="1">
      <alignment horizontal="right" vertical="center" wrapText="1"/>
    </xf>
    <xf numFmtId="9" fontId="37" fillId="2" borderId="0" xfId="0" applyNumberFormat="1" applyFont="1" applyFill="1" applyAlignment="1">
      <alignment horizontal="right" vertical="center" wrapText="1"/>
    </xf>
    <xf numFmtId="10" fontId="39" fillId="2" borderId="0" xfId="0" applyNumberFormat="1" applyFont="1" applyFill="1" applyAlignment="1">
      <alignment horizontal="center" vertical="center" wrapText="1"/>
    </xf>
    <xf numFmtId="170" fontId="39" fillId="2" borderId="0" xfId="0" applyNumberFormat="1" applyFont="1" applyFill="1" applyAlignment="1">
      <alignment horizontal="center" vertical="center" wrapText="1"/>
    </xf>
    <xf numFmtId="170" fontId="39" fillId="2" borderId="0" xfId="3" applyNumberFormat="1" applyFont="1" applyFill="1" applyAlignment="1">
      <alignment horizontal="center" vertical="center" wrapText="1"/>
    </xf>
    <xf numFmtId="0" fontId="37" fillId="2" borderId="0" xfId="0" applyFont="1" applyFill="1" applyAlignment="1">
      <alignment horizontal="center" vertical="center" wrapText="1"/>
    </xf>
    <xf numFmtId="170" fontId="37" fillId="2" borderId="0" xfId="0" applyNumberFormat="1" applyFont="1" applyFill="1" applyAlignment="1">
      <alignment horizontal="right" vertical="center" wrapText="1"/>
    </xf>
    <xf numFmtId="166" fontId="37" fillId="2" borderId="0" xfId="0" applyNumberFormat="1" applyFont="1" applyFill="1" applyAlignment="1">
      <alignment horizontal="right" vertical="center" wrapText="1"/>
    </xf>
    <xf numFmtId="170" fontId="45" fillId="2" borderId="0" xfId="3" applyNumberFormat="1" applyFont="1" applyFill="1" applyBorder="1" applyAlignment="1">
      <alignment horizontal="center" vertical="center" wrapText="1"/>
    </xf>
    <xf numFmtId="10" fontId="37" fillId="2" borderId="0" xfId="0" applyNumberFormat="1" applyFont="1" applyFill="1" applyAlignment="1">
      <alignment vertical="center" wrapText="1"/>
    </xf>
    <xf numFmtId="1" fontId="39" fillId="2" borderId="0" xfId="0" applyNumberFormat="1" applyFont="1" applyFill="1" applyAlignment="1">
      <alignment horizontal="center" vertical="center" wrapText="1"/>
    </xf>
    <xf numFmtId="170" fontId="37" fillId="2" borderId="0" xfId="0" applyNumberFormat="1" applyFont="1" applyFill="1" applyAlignment="1">
      <alignment vertical="center" wrapText="1"/>
    </xf>
    <xf numFmtId="170" fontId="37" fillId="2" borderId="0" xfId="3" applyNumberFormat="1" applyFont="1" applyFill="1" applyBorder="1" applyAlignment="1">
      <alignment vertical="center" wrapText="1"/>
    </xf>
    <xf numFmtId="166" fontId="20" fillId="2" borderId="0" xfId="0" applyNumberFormat="1" applyFont="1" applyFill="1" applyAlignment="1">
      <alignment horizontal="center" vertical="center" wrapText="1"/>
    </xf>
    <xf numFmtId="170" fontId="25" fillId="2" borderId="0" xfId="0" applyNumberFormat="1" applyFont="1" applyFill="1" applyAlignment="1">
      <alignment horizontal="center" vertical="center" wrapText="1"/>
    </xf>
    <xf numFmtId="0" fontId="39" fillId="9" borderId="13" xfId="0" applyFont="1" applyFill="1" applyBorder="1" applyAlignment="1">
      <alignment horizontal="center" vertical="center" wrapText="1"/>
    </xf>
    <xf numFmtId="0" fontId="39" fillId="9" borderId="25" xfId="0" applyFont="1" applyFill="1" applyBorder="1" applyAlignment="1">
      <alignment horizontal="center" vertical="center" wrapText="1"/>
    </xf>
    <xf numFmtId="0" fontId="39" fillId="2" borderId="25" xfId="0" applyFont="1" applyFill="1" applyBorder="1" applyAlignment="1">
      <alignment vertical="center" wrapText="1"/>
    </xf>
    <xf numFmtId="0" fontId="39" fillId="2" borderId="0" xfId="0" applyFont="1" applyFill="1" applyAlignment="1">
      <alignment horizontal="center" vertical="center" wrapText="1"/>
    </xf>
    <xf numFmtId="10" fontId="46" fillId="2" borderId="0" xfId="0" applyNumberFormat="1" applyFont="1" applyFill="1" applyAlignment="1">
      <alignment horizontal="center" vertical="center" wrapText="1"/>
    </xf>
    <xf numFmtId="0" fontId="47" fillId="2" borderId="13" xfId="0" applyFont="1" applyFill="1" applyBorder="1" applyAlignment="1">
      <alignment horizontal="center" vertical="center" wrapText="1"/>
    </xf>
    <xf numFmtId="0" fontId="48" fillId="2" borderId="13" xfId="0" applyFont="1" applyFill="1" applyBorder="1" applyAlignment="1">
      <alignment horizontal="center" vertical="center" wrapText="1"/>
    </xf>
    <xf numFmtId="170" fontId="47" fillId="2" borderId="0" xfId="3" applyNumberFormat="1" applyFont="1" applyFill="1" applyBorder="1" applyAlignment="1">
      <alignment horizontal="center" vertical="center" wrapText="1"/>
    </xf>
    <xf numFmtId="0" fontId="47" fillId="2" borderId="12" xfId="0" applyFont="1" applyFill="1" applyBorder="1" applyAlignment="1">
      <alignment horizontal="center" vertical="center" wrapText="1"/>
    </xf>
    <xf numFmtId="0" fontId="48" fillId="2" borderId="12" xfId="0" applyFont="1" applyFill="1" applyBorder="1" applyAlignment="1">
      <alignment horizontal="center" vertical="center" wrapText="1"/>
    </xf>
    <xf numFmtId="0" fontId="47" fillId="2" borderId="14" xfId="0" applyFont="1" applyFill="1" applyBorder="1" applyAlignment="1">
      <alignment horizontal="center" vertical="center" wrapText="1"/>
    </xf>
    <xf numFmtId="0" fontId="47" fillId="2" borderId="15" xfId="0" applyFont="1" applyFill="1" applyBorder="1" applyAlignment="1">
      <alignment horizontal="center" vertical="center" wrapText="1"/>
    </xf>
    <xf numFmtId="0" fontId="47" fillId="2" borderId="0" xfId="0" applyFont="1" applyFill="1" applyAlignment="1">
      <alignment horizontal="center" vertical="center" wrapText="1"/>
    </xf>
    <xf numFmtId="0" fontId="37" fillId="2" borderId="13" xfId="0" applyFont="1" applyFill="1" applyBorder="1" applyAlignment="1">
      <alignment horizontal="center" vertical="center" wrapText="1"/>
    </xf>
    <xf numFmtId="166" fontId="37" fillId="2" borderId="13" xfId="0" applyNumberFormat="1" applyFont="1" applyFill="1" applyBorder="1" applyAlignment="1">
      <alignment horizontal="center" vertical="center" wrapText="1"/>
    </xf>
    <xf numFmtId="166" fontId="20" fillId="2" borderId="13" xfId="0" applyNumberFormat="1" applyFont="1" applyFill="1" applyBorder="1" applyAlignment="1">
      <alignment horizontal="center" vertical="center" wrapText="1"/>
    </xf>
    <xf numFmtId="170" fontId="37" fillId="2" borderId="12" xfId="3" applyNumberFormat="1" applyFont="1" applyFill="1" applyBorder="1" applyAlignment="1">
      <alignment horizontal="center" vertical="center" wrapText="1"/>
    </xf>
    <xf numFmtId="166" fontId="37" fillId="2" borderId="14" xfId="0" applyNumberFormat="1" applyFont="1" applyFill="1" applyBorder="1" applyAlignment="1">
      <alignment horizontal="center" vertical="center" wrapText="1"/>
    </xf>
    <xf numFmtId="166" fontId="37" fillId="2" borderId="15" xfId="0" applyNumberFormat="1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170" fontId="25" fillId="2" borderId="0" xfId="0" applyNumberFormat="1" applyFont="1" applyFill="1" applyAlignment="1">
      <alignment horizontal="left" vertical="center" wrapText="1"/>
    </xf>
    <xf numFmtId="170" fontId="25" fillId="2" borderId="0" xfId="0" applyNumberFormat="1" applyFont="1" applyFill="1" applyAlignment="1">
      <alignment horizontal="left" vertical="center" wrapText="1"/>
    </xf>
    <xf numFmtId="0" fontId="39" fillId="2" borderId="13" xfId="0" applyFont="1" applyFill="1" applyBorder="1" applyAlignment="1">
      <alignment horizontal="center" vertical="center" wrapText="1"/>
    </xf>
    <xf numFmtId="0" fontId="39" fillId="2" borderId="25" xfId="0" applyFont="1" applyFill="1" applyBorder="1" applyAlignment="1">
      <alignment horizontal="center" vertical="center" wrapText="1"/>
    </xf>
    <xf numFmtId="0" fontId="39" fillId="2" borderId="25" xfId="0" applyFont="1" applyFill="1" applyBorder="1" applyAlignment="1">
      <alignment horizontal="center" vertical="center" wrapText="1"/>
    </xf>
    <xf numFmtId="0" fontId="32" fillId="2" borderId="13" xfId="0" applyFont="1" applyFill="1" applyBorder="1" applyAlignment="1">
      <alignment horizontal="center" vertical="center" wrapText="1"/>
    </xf>
    <xf numFmtId="0" fontId="28" fillId="2" borderId="13" xfId="0" applyFont="1" applyFill="1" applyBorder="1" applyAlignment="1">
      <alignment horizontal="center" vertical="center" wrapText="1"/>
    </xf>
    <xf numFmtId="0" fontId="32" fillId="2" borderId="12" xfId="0" applyFont="1" applyFill="1" applyBorder="1" applyAlignment="1">
      <alignment horizontal="center" vertical="center" wrapText="1"/>
    </xf>
    <xf numFmtId="0" fontId="28" fillId="2" borderId="12" xfId="0" applyFont="1" applyFill="1" applyBorder="1" applyAlignment="1">
      <alignment horizontal="center" vertical="center" wrapText="1"/>
    </xf>
    <xf numFmtId="0" fontId="32" fillId="2" borderId="15" xfId="0" applyFont="1" applyFill="1" applyBorder="1" applyAlignment="1">
      <alignment horizontal="center" vertical="center" wrapText="1"/>
    </xf>
    <xf numFmtId="166" fontId="37" fillId="2" borderId="12" xfId="3" applyNumberFormat="1" applyFont="1" applyFill="1" applyBorder="1" applyAlignment="1">
      <alignment horizontal="center" vertical="center" wrapText="1"/>
    </xf>
    <xf numFmtId="0" fontId="48" fillId="2" borderId="14" xfId="0" applyFont="1" applyFill="1" applyBorder="1" applyAlignment="1">
      <alignment horizontal="center" vertical="center" wrapText="1"/>
    </xf>
    <xf numFmtId="166" fontId="37" fillId="2" borderId="14" xfId="0" applyNumberFormat="1" applyFont="1" applyFill="1" applyBorder="1" applyAlignment="1">
      <alignment horizontal="right" vertical="center" wrapText="1"/>
    </xf>
    <xf numFmtId="10" fontId="26" fillId="2" borderId="12" xfId="0" applyNumberFormat="1" applyFont="1" applyFill="1" applyBorder="1" applyAlignment="1">
      <alignment horizontal="center" vertical="center" wrapText="1"/>
    </xf>
    <xf numFmtId="0" fontId="32" fillId="2" borderId="14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169" fontId="37" fillId="2" borderId="12" xfId="3" applyFont="1" applyFill="1" applyBorder="1" applyAlignment="1">
      <alignment horizontal="center" vertical="center" wrapText="1"/>
    </xf>
    <xf numFmtId="166" fontId="37" fillId="2" borderId="12" xfId="0" applyNumberFormat="1" applyFont="1" applyFill="1" applyBorder="1" applyAlignment="1">
      <alignment horizontal="center" vertical="center" wrapText="1"/>
    </xf>
    <xf numFmtId="166" fontId="37" fillId="2" borderId="26" xfId="3" applyNumberFormat="1" applyFont="1" applyFill="1" applyBorder="1" applyAlignment="1">
      <alignment horizontal="center" vertical="center" wrapText="1"/>
    </xf>
    <xf numFmtId="166" fontId="37" fillId="2" borderId="27" xfId="0" applyNumberFormat="1" applyFont="1" applyFill="1" applyBorder="1" applyAlignment="1">
      <alignment horizontal="center" vertical="center" wrapText="1"/>
    </xf>
    <xf numFmtId="0" fontId="39" fillId="2" borderId="0" xfId="0" applyFont="1" applyFill="1" applyAlignment="1">
      <alignment vertical="center" wrapText="1"/>
    </xf>
    <xf numFmtId="0" fontId="28" fillId="2" borderId="14" xfId="0" applyFont="1" applyFill="1" applyBorder="1" applyAlignment="1">
      <alignment horizontal="center" vertical="center" wrapText="1"/>
    </xf>
    <xf numFmtId="166" fontId="20" fillId="2" borderId="15" xfId="0" applyNumberFormat="1" applyFont="1" applyFill="1" applyBorder="1" applyAlignment="1">
      <alignment horizontal="center" vertical="center" wrapText="1"/>
    </xf>
    <xf numFmtId="166" fontId="20" fillId="2" borderId="14" xfId="0" applyNumberFormat="1" applyFont="1" applyFill="1" applyBorder="1" applyAlignment="1">
      <alignment horizontal="center" vertical="center" wrapText="1"/>
    </xf>
  </cellXfs>
  <cellStyles count="4">
    <cellStyle name="Currency" xfId="1" builtinId="4"/>
    <cellStyle name="Currency 2 2" xfId="3" xr:uid="{546BF502-DA05-4676-8B4F-A19F017EE1CB}"/>
    <cellStyle name="Normal" xfId="0" builtinId="0"/>
    <cellStyle name="Percent" xfId="2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124</xdr:row>
      <xdr:rowOff>0</xdr:rowOff>
    </xdr:from>
    <xdr:ext cx="428400" cy="358660"/>
    <xdr:pic>
      <xdr:nvPicPr>
        <xdr:cNvPr id="2" name="Picture 1">
          <a:extLst>
            <a:ext uri="{FF2B5EF4-FFF2-40B4-BE49-F238E27FC236}">
              <a16:creationId xmlns:a16="http://schemas.microsoft.com/office/drawing/2014/main" id="{A2989DEC-9434-48F8-8814-F60F28F41180}"/>
            </a:ext>
            <a:ext uri="{147F2762-F138-4A5C-976F-8EAC2B608ADB}">
              <a16:predDERef xmlns:a16="http://schemas.microsoft.com/office/drawing/2014/main" pred="{90BB7A98-D2C3-4825-ADF4-2C30E60CA66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54100" y="26098500"/>
          <a:ext cx="428400" cy="358660"/>
        </a:xfrm>
        <a:prstGeom prst="rect">
          <a:avLst/>
        </a:prstGeom>
        <a:ln w="0">
          <a:noFill/>
        </a:ln>
      </xdr:spPr>
    </xdr:pic>
    <xdr:clientData/>
  </xdr:oneCellAnchor>
  <xdr:twoCellAnchor>
    <xdr:from>
      <xdr:col>1</xdr:col>
      <xdr:colOff>504825</xdr:colOff>
      <xdr:row>124</xdr:row>
      <xdr:rowOff>47625</xdr:rowOff>
    </xdr:from>
    <xdr:to>
      <xdr:col>3</xdr:col>
      <xdr:colOff>980715</xdr:colOff>
      <xdr:row>126</xdr:row>
      <xdr:rowOff>37785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39D6465-0086-4AE0-B2ED-3BAD5ABEF19F}"/>
            </a:ext>
            <a:ext uri="{147F2762-F138-4A5C-976F-8EAC2B608ADB}">
              <a16:predDERef xmlns:a16="http://schemas.microsoft.com/office/drawing/2014/main" pred="{595222AB-60BB-466F-89A6-E8320D3C35F7}"/>
            </a:ext>
          </a:extLst>
        </xdr:cNvPr>
        <xdr:cNvSpPr/>
      </xdr:nvSpPr>
      <xdr:spPr>
        <a:xfrm>
          <a:off x="1558925" y="26146125"/>
          <a:ext cx="3136540" cy="409260"/>
        </a:xfrm>
        <a:prstGeom prst="rect">
          <a:avLst/>
        </a:prstGeom>
        <a:noFill/>
        <a:ln w="9525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>
            <a:lnSpc>
              <a:spcPct val="100000"/>
            </a:lnSpc>
          </a:pPr>
          <a:r>
            <a:rPr lang="en-SG" sz="1400" b="1" strike="noStrike" spc="-1">
              <a:solidFill>
                <a:srgbClr val="595959"/>
              </a:solidFill>
              <a:latin typeface="Calibri"/>
            </a:rPr>
            <a:t>Retirement Funds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227931</xdr:colOff>
      <xdr:row>0</xdr:row>
      <xdr:rowOff>0</xdr:rowOff>
    </xdr:from>
    <xdr:to>
      <xdr:col>25</xdr:col>
      <xdr:colOff>664080</xdr:colOff>
      <xdr:row>1</xdr:row>
      <xdr:rowOff>126999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08A480-6B38-47EA-9C67-A369059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98681" y="0"/>
          <a:ext cx="436149" cy="292099"/>
        </a:xfrm>
        <a:prstGeom prst="rect">
          <a:avLst/>
        </a:prstGeom>
      </xdr:spPr>
    </xdr:pic>
    <xdr:clientData/>
  </xdr:twoCellAnchor>
  <xdr:twoCellAnchor editAs="oneCell">
    <xdr:from>
      <xdr:col>2</xdr:col>
      <xdr:colOff>260065</xdr:colOff>
      <xdr:row>0</xdr:row>
      <xdr:rowOff>0</xdr:rowOff>
    </xdr:from>
    <xdr:to>
      <xdr:col>9</xdr:col>
      <xdr:colOff>177473</xdr:colOff>
      <xdr:row>10</xdr:row>
      <xdr:rowOff>253101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D10491-6B26-4AA3-B07C-F36CADC15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3765" y="0"/>
          <a:ext cx="4184608" cy="2043801"/>
        </a:xfrm>
        <a:prstGeom prst="rect">
          <a:avLst/>
        </a:prstGeom>
      </xdr:spPr>
    </xdr:pic>
    <xdr:clientData/>
  </xdr:twoCellAnchor>
  <xdr:twoCellAnchor editAs="oneCell">
    <xdr:from>
      <xdr:col>2</xdr:col>
      <xdr:colOff>348970</xdr:colOff>
      <xdr:row>10</xdr:row>
      <xdr:rowOff>186404</xdr:rowOff>
    </xdr:from>
    <xdr:to>
      <xdr:col>8</xdr:col>
      <xdr:colOff>417094</xdr:colOff>
      <xdr:row>14</xdr:row>
      <xdr:rowOff>137730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4434A4-043A-4211-A57E-78D1D2D06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2670" y="1977104"/>
          <a:ext cx="3725724" cy="1189576"/>
        </a:xfrm>
        <a:prstGeom prst="rect">
          <a:avLst/>
        </a:prstGeom>
      </xdr:spPr>
    </xdr:pic>
    <xdr:clientData/>
  </xdr:twoCellAnchor>
  <xdr:twoCellAnchor editAs="oneCell">
    <xdr:from>
      <xdr:col>2</xdr:col>
      <xdr:colOff>256341</xdr:colOff>
      <xdr:row>17</xdr:row>
      <xdr:rowOff>83552</xdr:rowOff>
    </xdr:from>
    <xdr:to>
      <xdr:col>9</xdr:col>
      <xdr:colOff>141741</xdr:colOff>
      <xdr:row>21</xdr:row>
      <xdr:rowOff>66516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ED89AE-9A97-49EB-98EF-233BE0242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20041" y="3607802"/>
          <a:ext cx="4152600" cy="643364"/>
        </a:xfrm>
        <a:prstGeom prst="rect">
          <a:avLst/>
        </a:prstGeom>
      </xdr:spPr>
    </xdr:pic>
    <xdr:clientData/>
  </xdr:twoCellAnchor>
  <xdr:twoCellAnchor editAs="oneCell">
    <xdr:from>
      <xdr:col>2</xdr:col>
      <xdr:colOff>243813</xdr:colOff>
      <xdr:row>22</xdr:row>
      <xdr:rowOff>157416</xdr:rowOff>
    </xdr:from>
    <xdr:to>
      <xdr:col>10</xdr:col>
      <xdr:colOff>133685</xdr:colOff>
      <xdr:row>30</xdr:row>
      <xdr:rowOff>161313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4BFA746-7667-4B59-A029-D5D7F7C49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7513" y="4507166"/>
          <a:ext cx="4766672" cy="1324697"/>
        </a:xfrm>
        <a:prstGeom prst="rect">
          <a:avLst/>
        </a:prstGeom>
      </xdr:spPr>
    </xdr:pic>
    <xdr:clientData/>
  </xdr:twoCellAnchor>
  <xdr:twoCellAnchor editAs="oneCell">
    <xdr:from>
      <xdr:col>2</xdr:col>
      <xdr:colOff>292437</xdr:colOff>
      <xdr:row>30</xdr:row>
      <xdr:rowOff>23613</xdr:rowOff>
    </xdr:from>
    <xdr:to>
      <xdr:col>9</xdr:col>
      <xdr:colOff>200527</xdr:colOff>
      <xdr:row>32</xdr:row>
      <xdr:rowOff>7702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D40D1F6-FE18-4019-ADF7-FE394EE8A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56137" y="5694163"/>
          <a:ext cx="4175290" cy="314289"/>
        </a:xfrm>
        <a:prstGeom prst="rect">
          <a:avLst/>
        </a:prstGeom>
      </xdr:spPr>
    </xdr:pic>
    <xdr:clientData/>
  </xdr:twoCellAnchor>
  <xdr:twoCellAnchor editAs="oneCell">
    <xdr:from>
      <xdr:col>2</xdr:col>
      <xdr:colOff>246648</xdr:colOff>
      <xdr:row>32</xdr:row>
      <xdr:rowOff>56242</xdr:rowOff>
    </xdr:from>
    <xdr:to>
      <xdr:col>9</xdr:col>
      <xdr:colOff>342566</xdr:colOff>
      <xdr:row>34</xdr:row>
      <xdr:rowOff>75122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686CD26-5B7C-43E3-9E2C-629AED65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10348" y="6056992"/>
          <a:ext cx="4363118" cy="349080"/>
        </a:xfrm>
        <a:prstGeom prst="rect">
          <a:avLst/>
        </a:prstGeom>
      </xdr:spPr>
    </xdr:pic>
    <xdr:clientData/>
  </xdr:twoCellAnchor>
  <xdr:twoCellAnchor editAs="oneCell">
    <xdr:from>
      <xdr:col>2</xdr:col>
      <xdr:colOff>220914</xdr:colOff>
      <xdr:row>34</xdr:row>
      <xdr:rowOff>146295</xdr:rowOff>
    </xdr:from>
    <xdr:to>
      <xdr:col>10</xdr:col>
      <xdr:colOff>284080</xdr:colOff>
      <xdr:row>38</xdr:row>
      <xdr:rowOff>71021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2186EAC-464E-40C3-972D-98DEF1E96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84614" y="6477245"/>
          <a:ext cx="4939966" cy="585126"/>
        </a:xfrm>
        <a:prstGeom prst="rect">
          <a:avLst/>
        </a:prstGeom>
      </xdr:spPr>
    </xdr:pic>
    <xdr:clientData/>
  </xdr:twoCellAnchor>
  <xdr:twoCellAnchor editAs="oneCell">
    <xdr:from>
      <xdr:col>27</xdr:col>
      <xdr:colOff>312321</xdr:colOff>
      <xdr:row>0</xdr:row>
      <xdr:rowOff>0</xdr:rowOff>
    </xdr:from>
    <xdr:to>
      <xdr:col>36</xdr:col>
      <xdr:colOff>447169</xdr:colOff>
      <xdr:row>17</xdr:row>
      <xdr:rowOff>30877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4F2EB1B-E96E-43FF-A329-7B0FCEF76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010271" y="0"/>
          <a:ext cx="7202398" cy="3555127"/>
        </a:xfrm>
        <a:prstGeom prst="rect">
          <a:avLst/>
        </a:prstGeom>
      </xdr:spPr>
    </xdr:pic>
    <xdr:clientData/>
  </xdr:twoCellAnchor>
  <xdr:twoCellAnchor editAs="oneCell">
    <xdr:from>
      <xdr:col>2</xdr:col>
      <xdr:colOff>250658</xdr:colOff>
      <xdr:row>38</xdr:row>
      <xdr:rowOff>28969</xdr:rowOff>
    </xdr:from>
    <xdr:to>
      <xdr:col>9</xdr:col>
      <xdr:colOff>576513</xdr:colOff>
      <xdr:row>40</xdr:row>
      <xdr:rowOff>48277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D3C4B8B-5AF1-48AA-A679-B343A68D2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14358" y="7020319"/>
          <a:ext cx="4593055" cy="495558"/>
        </a:xfrm>
        <a:prstGeom prst="rect">
          <a:avLst/>
        </a:prstGeom>
      </xdr:spPr>
    </xdr:pic>
    <xdr:clientData/>
  </xdr:twoCellAnchor>
  <xdr:twoCellAnchor editAs="oneCell">
    <xdr:from>
      <xdr:col>2</xdr:col>
      <xdr:colOff>341339</xdr:colOff>
      <xdr:row>41</xdr:row>
      <xdr:rowOff>168595</xdr:rowOff>
    </xdr:from>
    <xdr:to>
      <xdr:col>9</xdr:col>
      <xdr:colOff>342567</xdr:colOff>
      <xdr:row>56</xdr:row>
      <xdr:rowOff>11363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F570678-A76B-4D5B-A5A4-37FDEA41BF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b="1443"/>
        <a:stretch/>
      </xdr:blipFill>
      <xdr:spPr>
        <a:xfrm>
          <a:off x="2005039" y="7794945"/>
          <a:ext cx="4268428" cy="2325618"/>
        </a:xfrm>
        <a:prstGeom prst="rect">
          <a:avLst/>
        </a:prstGeom>
      </xdr:spPr>
    </xdr:pic>
    <xdr:clientData/>
  </xdr:twoCellAnchor>
  <xdr:twoCellAnchor editAs="oneCell">
    <xdr:from>
      <xdr:col>2</xdr:col>
      <xdr:colOff>215372</xdr:colOff>
      <xdr:row>56</xdr:row>
      <xdr:rowOff>110990</xdr:rowOff>
    </xdr:from>
    <xdr:to>
      <xdr:col>9</xdr:col>
      <xdr:colOff>357843</xdr:colOff>
      <xdr:row>70</xdr:row>
      <xdr:rowOff>5880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458085-01ED-4DBF-A9B4-4F58D56DC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79072" y="10220190"/>
          <a:ext cx="4409671" cy="22062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31c7cddd237a9746/YS/Pru/Insurance%20Analysis%2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fo\Desktop\Office\Savings2023.xlsx" TargetMode="External"/><Relationship Id="rId1" Type="http://schemas.openxmlformats.org/officeDocument/2006/relationships/externalLinkPath" Target="Savings202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ecil\Documents\Office\ILP-High%20Growth.xlsx" TargetMode="External"/><Relationship Id="rId1" Type="http://schemas.openxmlformats.org/officeDocument/2006/relationships/externalLinkPath" Target="ILP-High%20Growth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fo\Desktop\Office\Shuling2024.xlsx" TargetMode="External"/><Relationship Id="rId1" Type="http://schemas.openxmlformats.org/officeDocument/2006/relationships/externalLinkPath" Target="Shuling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usehold%20monthly%20budget1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31c7cddd237a9746/YS/Pru/Insurance%20Analysis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nfo/Downloads/Excel-Dividend-Calculator-2023.xlsx" TargetMode="External"/><Relationship Id="rId2" Type="http://schemas.openxmlformats.org/officeDocument/2006/relationships/externalLinkPath" Target="file:///C:\Users\info\Downloads\Excel-Dividend-Calculator-2023.xlsx" TargetMode="External"/><Relationship Id="rId1" Type="http://schemas.openxmlformats.org/officeDocument/2006/relationships/externalLinkPath" Target="/Users/info/Downloads/Excel-Dividend-Calculator-2023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ecil\Documents\Office\Wealth.xlsx" TargetMode="External"/><Relationship Id="rId1" Type="http://schemas.openxmlformats.org/officeDocument/2006/relationships/externalLinkPath" Target="Wealth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GEZ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fo\Desktop\Office\Retirement%20CPF.xlsx" TargetMode="External"/><Relationship Id="rId1" Type="http://schemas.openxmlformats.org/officeDocument/2006/relationships/externalLinkPath" Target="Retirement%20CPF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ecil\Documents\Office\Client%20Analysis.xlsx" TargetMode="External"/><Relationship Id="rId1" Type="http://schemas.openxmlformats.org/officeDocument/2006/relationships/externalLinkPath" Target="Client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don Low"/>
      <sheetName val="Eden Low"/>
      <sheetName val="Lin Jiewei"/>
      <sheetName val="Liu Hanwen"/>
      <sheetName val="Budget Overview"/>
      <sheetName val="Budget Summary"/>
      <sheetName val="Coverage"/>
      <sheetName val="Category"/>
      <sheetName val="Sheet2"/>
      <sheetName val="Insurance Analysis 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 Tax Calculator"/>
      <sheetName val="Claim 15% Deemed Expenses"/>
      <sheetName val="No Sell No Action"/>
      <sheetName val="Repayment Schedule"/>
      <sheetName val="Excel Amortization Schedule"/>
      <sheetName val="Claim Actual Expenses"/>
      <sheetName val="Sheet5"/>
      <sheetName val="The M  (2)"/>
      <sheetName val="Repayment UOB"/>
      <sheetName val="Woon_CPF"/>
      <sheetName val="Woon"/>
      <sheetName val="Soo_CPF"/>
      <sheetName val="Sheet2 (2)"/>
      <sheetName val="The M "/>
      <sheetName val="Sell -No repay"/>
      <sheetName val="Sell-Repay"/>
      <sheetName val="Sheet6"/>
      <sheetName val="Retirement Dashboard-Serene"/>
      <sheetName val="CPF TB Serene"/>
      <sheetName val="PVW"/>
      <sheetName val="Product Info"/>
      <sheetName val="Retirement Dashboard-Main"/>
      <sheetName val="Soo SG"/>
      <sheetName val="Sheet2"/>
      <sheetName val="CPF Projection"/>
      <sheetName val="CAGR"/>
      <sheetName val="Insurance Policy"/>
      <sheetName val="Prulink Fund"/>
      <sheetName val="IRR Comparison"/>
      <sheetName val="Compound Interest"/>
      <sheetName val="Credit Cards Value"/>
      <sheetName val="Rule of 72"/>
      <sheetName val="Expense"/>
      <sheetName val="Insurance Expenses "/>
      <sheetName val="Life Goals"/>
      <sheetName val="A-L"/>
      <sheetName val="Investment Portfolio"/>
      <sheetName val="Savings2023"/>
    </sheetNames>
    <sheetDataSet>
      <sheetData sheetId="0" refreshError="1"/>
      <sheetData sheetId="1" refreshError="1"/>
      <sheetData sheetId="2" refreshError="1"/>
      <sheetData sheetId="3">
        <row r="7">
          <cell r="F7">
            <v>2</v>
          </cell>
        </row>
        <row r="8">
          <cell r="B8">
            <v>1053450</v>
          </cell>
        </row>
        <row r="9">
          <cell r="B9">
            <v>240</v>
          </cell>
        </row>
        <row r="10">
          <cell r="F10" t="str">
            <v>Y</v>
          </cell>
        </row>
        <row r="14">
          <cell r="B14">
            <v>2E-3</v>
          </cell>
        </row>
        <row r="15">
          <cell r="B15">
            <v>3.5000000000000001E-3</v>
          </cell>
        </row>
        <row r="16">
          <cell r="B16">
            <v>4.0000000000000001E-3</v>
          </cell>
        </row>
        <row r="17">
          <cell r="B17">
            <v>5.0000000000000001E-3</v>
          </cell>
        </row>
        <row r="18">
          <cell r="B18">
            <v>5.0000000000000001E-3</v>
          </cell>
        </row>
        <row r="19">
          <cell r="B19">
            <v>5.0000000000000001E-3</v>
          </cell>
        </row>
      </sheetData>
      <sheetData sheetId="4">
        <row r="3">
          <cell r="B3" t="str">
            <v>This Excel spreadsheet makes it easy to view the amortization of a home loan with optional extra monthly payments. Want more features? View our website to see interactive graphs for your loan.</v>
          </cell>
        </row>
        <row r="4">
          <cell r="B4" t="str">
            <v>Our website allows you to share calculations, see local mortgage rates &amp; generate printable loan amortization tables.</v>
          </cell>
        </row>
        <row r="5">
          <cell r="B5" t="str">
            <v>You can also include other expenses including property taxes, homeowners' insurance &amp; HOA fees on our website.</v>
          </cell>
        </row>
        <row r="6">
          <cell r="B6" t="str">
            <v>MORTGAGE AMORTIZATION SCHEDULE</v>
          </cell>
        </row>
        <row r="8">
          <cell r="E8">
            <v>70230</v>
          </cell>
          <cell r="I8">
            <v>311.4629006069004</v>
          </cell>
        </row>
        <row r="9">
          <cell r="E9">
            <v>6.28E-3</v>
          </cell>
          <cell r="I9">
            <v>240</v>
          </cell>
        </row>
        <row r="10">
          <cell r="E10">
            <v>20</v>
          </cell>
        </row>
        <row r="11">
          <cell r="E11">
            <v>12</v>
          </cell>
        </row>
        <row r="12">
          <cell r="E12">
            <v>44470</v>
          </cell>
        </row>
        <row r="14">
          <cell r="E14">
            <v>0</v>
          </cell>
        </row>
        <row r="16">
          <cell r="B16" t="str">
            <v>PMT NO</v>
          </cell>
          <cell r="C16" t="str">
            <v>PAYMENT DATE</v>
          </cell>
          <cell r="D16" t="str">
            <v>BEGINNING BALANCE</v>
          </cell>
          <cell r="E16" t="str">
            <v>SCHEDULED PAYMENT</v>
          </cell>
          <cell r="F16" t="str">
            <v>EXTRA LOAN</v>
          </cell>
          <cell r="G16" t="str">
            <v>TOTAL PAYMENT</v>
          </cell>
          <cell r="H16" t="str">
            <v>PRINCIPAL</v>
          </cell>
          <cell r="I16" t="str">
            <v>INTEREST</v>
          </cell>
          <cell r="J16" t="str">
            <v>ENDING BALANCE</v>
          </cell>
          <cell r="K16" t="str">
            <v>CUMULATIVE INTEREST</v>
          </cell>
        </row>
        <row r="17">
          <cell r="B17">
            <v>1</v>
          </cell>
        </row>
        <row r="18">
          <cell r="B18">
            <v>2</v>
          </cell>
        </row>
        <row r="19">
          <cell r="B19">
            <v>3</v>
          </cell>
        </row>
        <row r="20">
          <cell r="B20">
            <v>4</v>
          </cell>
        </row>
        <row r="21">
          <cell r="B21">
            <v>5</v>
          </cell>
        </row>
        <row r="22">
          <cell r="B22">
            <v>6</v>
          </cell>
        </row>
        <row r="23">
          <cell r="B23">
            <v>7</v>
          </cell>
        </row>
        <row r="24">
          <cell r="B24">
            <v>8</v>
          </cell>
        </row>
        <row r="25">
          <cell r="B25">
            <v>9</v>
          </cell>
        </row>
        <row r="26">
          <cell r="B26">
            <v>10</v>
          </cell>
        </row>
        <row r="27">
          <cell r="B27">
            <v>11</v>
          </cell>
        </row>
        <row r="28">
          <cell r="B28">
            <v>12</v>
          </cell>
        </row>
        <row r="29">
          <cell r="B29">
            <v>13</v>
          </cell>
        </row>
        <row r="30">
          <cell r="B30">
            <v>14</v>
          </cell>
        </row>
        <row r="31">
          <cell r="B31">
            <v>15</v>
          </cell>
        </row>
        <row r="32">
          <cell r="B32">
            <v>16</v>
          </cell>
        </row>
        <row r="33">
          <cell r="B33">
            <v>17</v>
          </cell>
        </row>
        <row r="34">
          <cell r="B34">
            <v>18</v>
          </cell>
        </row>
        <row r="35">
          <cell r="B35">
            <v>19</v>
          </cell>
        </row>
        <row r="36">
          <cell r="B36">
            <v>20</v>
          </cell>
        </row>
        <row r="37">
          <cell r="B37">
            <v>21</v>
          </cell>
        </row>
        <row r="38">
          <cell r="B38">
            <v>22</v>
          </cell>
        </row>
        <row r="39">
          <cell r="B39">
            <v>23</v>
          </cell>
        </row>
        <row r="40">
          <cell r="B40">
            <v>24</v>
          </cell>
        </row>
        <row r="41">
          <cell r="B41">
            <v>25</v>
          </cell>
        </row>
        <row r="42">
          <cell r="B42">
            <v>26</v>
          </cell>
        </row>
        <row r="43">
          <cell r="B43">
            <v>27</v>
          </cell>
        </row>
        <row r="44">
          <cell r="B44">
            <v>28</v>
          </cell>
        </row>
        <row r="45">
          <cell r="B45">
            <v>29</v>
          </cell>
        </row>
        <row r="46">
          <cell r="B46">
            <v>30</v>
          </cell>
        </row>
        <row r="47">
          <cell r="B47">
            <v>31</v>
          </cell>
        </row>
        <row r="48">
          <cell r="B48">
            <v>32</v>
          </cell>
        </row>
        <row r="49">
          <cell r="B49">
            <v>33</v>
          </cell>
        </row>
        <row r="50">
          <cell r="B50">
            <v>34</v>
          </cell>
        </row>
        <row r="51">
          <cell r="B51">
            <v>35</v>
          </cell>
        </row>
        <row r="52">
          <cell r="B52">
            <v>36</v>
          </cell>
        </row>
        <row r="53">
          <cell r="B53">
            <v>37</v>
          </cell>
        </row>
        <row r="54">
          <cell r="B54">
            <v>38</v>
          </cell>
        </row>
        <row r="55">
          <cell r="B55">
            <v>39</v>
          </cell>
        </row>
        <row r="56">
          <cell r="B56">
            <v>40</v>
          </cell>
        </row>
        <row r="57">
          <cell r="B57">
            <v>41</v>
          </cell>
        </row>
        <row r="58">
          <cell r="B58">
            <v>42</v>
          </cell>
        </row>
        <row r="59">
          <cell r="B59">
            <v>43</v>
          </cell>
        </row>
        <row r="60">
          <cell r="B60">
            <v>44</v>
          </cell>
        </row>
        <row r="61">
          <cell r="B61">
            <v>45</v>
          </cell>
        </row>
        <row r="62">
          <cell r="B62">
            <v>46</v>
          </cell>
        </row>
        <row r="63">
          <cell r="B63">
            <v>47</v>
          </cell>
        </row>
        <row r="64">
          <cell r="B64">
            <v>48</v>
          </cell>
        </row>
        <row r="65">
          <cell r="B65">
            <v>49</v>
          </cell>
        </row>
        <row r="66">
          <cell r="B66">
            <v>50</v>
          </cell>
        </row>
        <row r="67">
          <cell r="B67">
            <v>51</v>
          </cell>
        </row>
        <row r="68">
          <cell r="B68">
            <v>52</v>
          </cell>
        </row>
        <row r="69">
          <cell r="B69">
            <v>53</v>
          </cell>
        </row>
        <row r="70">
          <cell r="B70">
            <v>54</v>
          </cell>
        </row>
        <row r="71">
          <cell r="B71">
            <v>55</v>
          </cell>
        </row>
        <row r="72">
          <cell r="B72">
            <v>56</v>
          </cell>
        </row>
        <row r="73">
          <cell r="B73">
            <v>57</v>
          </cell>
        </row>
        <row r="74">
          <cell r="B74">
            <v>58</v>
          </cell>
        </row>
        <row r="75">
          <cell r="B75">
            <v>59</v>
          </cell>
        </row>
        <row r="76">
          <cell r="B76">
            <v>60</v>
          </cell>
        </row>
        <row r="77">
          <cell r="B77">
            <v>61</v>
          </cell>
        </row>
        <row r="78">
          <cell r="B78">
            <v>62</v>
          </cell>
        </row>
        <row r="79">
          <cell r="B79">
            <v>63</v>
          </cell>
        </row>
        <row r="80">
          <cell r="B80">
            <v>64</v>
          </cell>
        </row>
        <row r="81">
          <cell r="B81">
            <v>65</v>
          </cell>
        </row>
        <row r="82">
          <cell r="B82">
            <v>66</v>
          </cell>
        </row>
        <row r="83">
          <cell r="B83">
            <v>67</v>
          </cell>
        </row>
        <row r="84">
          <cell r="B84">
            <v>68</v>
          </cell>
        </row>
        <row r="85">
          <cell r="B85">
            <v>69</v>
          </cell>
        </row>
        <row r="86">
          <cell r="B86">
            <v>70</v>
          </cell>
        </row>
        <row r="87">
          <cell r="B87">
            <v>71</v>
          </cell>
        </row>
        <row r="88">
          <cell r="B88">
            <v>72</v>
          </cell>
        </row>
        <row r="89">
          <cell r="B89">
            <v>73</v>
          </cell>
        </row>
        <row r="90">
          <cell r="B90">
            <v>74</v>
          </cell>
        </row>
        <row r="91">
          <cell r="B91">
            <v>75</v>
          </cell>
        </row>
        <row r="92">
          <cell r="B92">
            <v>76</v>
          </cell>
        </row>
        <row r="93">
          <cell r="B93">
            <v>77</v>
          </cell>
        </row>
        <row r="94">
          <cell r="B94">
            <v>78</v>
          </cell>
        </row>
        <row r="95">
          <cell r="B95">
            <v>79</v>
          </cell>
        </row>
        <row r="96">
          <cell r="B96">
            <v>80</v>
          </cell>
        </row>
        <row r="97">
          <cell r="B97">
            <v>81</v>
          </cell>
        </row>
        <row r="98">
          <cell r="B98">
            <v>82</v>
          </cell>
        </row>
        <row r="99">
          <cell r="B99">
            <v>83</v>
          </cell>
        </row>
        <row r="100">
          <cell r="B100">
            <v>84</v>
          </cell>
        </row>
        <row r="101">
          <cell r="B101">
            <v>85</v>
          </cell>
        </row>
        <row r="102">
          <cell r="B102">
            <v>86</v>
          </cell>
        </row>
        <row r="103">
          <cell r="B103">
            <v>87</v>
          </cell>
        </row>
        <row r="104">
          <cell r="B104">
            <v>88</v>
          </cell>
        </row>
        <row r="105">
          <cell r="B105">
            <v>89</v>
          </cell>
        </row>
        <row r="106">
          <cell r="B106">
            <v>90</v>
          </cell>
        </row>
        <row r="107">
          <cell r="B107">
            <v>91</v>
          </cell>
        </row>
        <row r="108">
          <cell r="B108">
            <v>92</v>
          </cell>
        </row>
        <row r="109">
          <cell r="B109">
            <v>93</v>
          </cell>
        </row>
        <row r="110">
          <cell r="B110">
            <v>94</v>
          </cell>
        </row>
        <row r="111">
          <cell r="B111">
            <v>95</v>
          </cell>
        </row>
        <row r="112">
          <cell r="B112">
            <v>96</v>
          </cell>
        </row>
        <row r="113">
          <cell r="B113">
            <v>97</v>
          </cell>
        </row>
        <row r="114">
          <cell r="B114">
            <v>98</v>
          </cell>
        </row>
        <row r="115">
          <cell r="B115">
            <v>99</v>
          </cell>
        </row>
        <row r="116">
          <cell r="B116">
            <v>100</v>
          </cell>
        </row>
        <row r="117">
          <cell r="B117">
            <v>101</v>
          </cell>
        </row>
        <row r="118">
          <cell r="B118">
            <v>102</v>
          </cell>
        </row>
        <row r="119">
          <cell r="B119">
            <v>103</v>
          </cell>
        </row>
        <row r="120">
          <cell r="B120">
            <v>104</v>
          </cell>
        </row>
        <row r="121">
          <cell r="B121">
            <v>105</v>
          </cell>
        </row>
        <row r="122">
          <cell r="B122">
            <v>106</v>
          </cell>
        </row>
        <row r="123">
          <cell r="B123">
            <v>107</v>
          </cell>
        </row>
        <row r="124">
          <cell r="B124">
            <v>108</v>
          </cell>
        </row>
        <row r="125">
          <cell r="B125">
            <v>109</v>
          </cell>
        </row>
        <row r="126">
          <cell r="B126">
            <v>110</v>
          </cell>
        </row>
        <row r="127">
          <cell r="B127">
            <v>111</v>
          </cell>
        </row>
        <row r="128">
          <cell r="B128">
            <v>112</v>
          </cell>
        </row>
        <row r="129">
          <cell r="B129">
            <v>113</v>
          </cell>
        </row>
        <row r="130">
          <cell r="B130">
            <v>114</v>
          </cell>
        </row>
        <row r="131">
          <cell r="B131">
            <v>115</v>
          </cell>
        </row>
        <row r="132">
          <cell r="B132">
            <v>116</v>
          </cell>
        </row>
        <row r="133">
          <cell r="B133">
            <v>117</v>
          </cell>
        </row>
        <row r="134">
          <cell r="B134">
            <v>118</v>
          </cell>
        </row>
        <row r="135">
          <cell r="B135">
            <v>119</v>
          </cell>
        </row>
        <row r="136">
          <cell r="B136">
            <v>120</v>
          </cell>
        </row>
        <row r="137">
          <cell r="B137">
            <v>121</v>
          </cell>
        </row>
        <row r="138">
          <cell r="B138">
            <v>122</v>
          </cell>
        </row>
        <row r="139">
          <cell r="B139">
            <v>123</v>
          </cell>
        </row>
        <row r="140">
          <cell r="B140">
            <v>124</v>
          </cell>
        </row>
        <row r="141">
          <cell r="B141">
            <v>125</v>
          </cell>
        </row>
        <row r="142">
          <cell r="B142">
            <v>126</v>
          </cell>
        </row>
        <row r="143">
          <cell r="B143">
            <v>127</v>
          </cell>
        </row>
        <row r="144">
          <cell r="B144">
            <v>128</v>
          </cell>
        </row>
        <row r="145">
          <cell r="B145">
            <v>129</v>
          </cell>
        </row>
        <row r="146">
          <cell r="B146">
            <v>130</v>
          </cell>
        </row>
        <row r="147">
          <cell r="B147">
            <v>131</v>
          </cell>
        </row>
        <row r="148">
          <cell r="B148">
            <v>132</v>
          </cell>
        </row>
        <row r="149">
          <cell r="B149">
            <v>133</v>
          </cell>
        </row>
        <row r="150">
          <cell r="B150">
            <v>134</v>
          </cell>
        </row>
        <row r="151">
          <cell r="B151">
            <v>135</v>
          </cell>
        </row>
        <row r="152">
          <cell r="B152">
            <v>136</v>
          </cell>
        </row>
        <row r="153">
          <cell r="B153">
            <v>137</v>
          </cell>
        </row>
        <row r="154">
          <cell r="B154">
            <v>138</v>
          </cell>
        </row>
        <row r="155">
          <cell r="B155">
            <v>139</v>
          </cell>
        </row>
        <row r="156">
          <cell r="B156">
            <v>140</v>
          </cell>
        </row>
        <row r="157">
          <cell r="B157">
            <v>141</v>
          </cell>
        </row>
        <row r="158">
          <cell r="B158">
            <v>142</v>
          </cell>
        </row>
        <row r="159">
          <cell r="B159">
            <v>143</v>
          </cell>
        </row>
        <row r="160">
          <cell r="B160">
            <v>144</v>
          </cell>
        </row>
        <row r="161">
          <cell r="B161">
            <v>145</v>
          </cell>
        </row>
        <row r="162">
          <cell r="B162">
            <v>146</v>
          </cell>
        </row>
        <row r="163">
          <cell r="B163">
            <v>147</v>
          </cell>
        </row>
        <row r="164">
          <cell r="B164">
            <v>148</v>
          </cell>
        </row>
        <row r="165">
          <cell r="B165">
            <v>149</v>
          </cell>
        </row>
        <row r="166">
          <cell r="B166">
            <v>150</v>
          </cell>
        </row>
        <row r="167">
          <cell r="B167">
            <v>151</v>
          </cell>
        </row>
        <row r="168">
          <cell r="B168">
            <v>152</v>
          </cell>
        </row>
        <row r="169">
          <cell r="B169">
            <v>153</v>
          </cell>
        </row>
        <row r="170">
          <cell r="B170">
            <v>154</v>
          </cell>
        </row>
        <row r="171">
          <cell r="B171">
            <v>155</v>
          </cell>
        </row>
        <row r="172">
          <cell r="B172">
            <v>156</v>
          </cell>
        </row>
        <row r="173">
          <cell r="B173">
            <v>157</v>
          </cell>
        </row>
        <row r="174">
          <cell r="B174">
            <v>158</v>
          </cell>
        </row>
        <row r="175">
          <cell r="B175">
            <v>159</v>
          </cell>
        </row>
        <row r="176">
          <cell r="B176">
            <v>160</v>
          </cell>
        </row>
        <row r="177">
          <cell r="B177">
            <v>161</v>
          </cell>
        </row>
        <row r="178">
          <cell r="B178">
            <v>162</v>
          </cell>
        </row>
        <row r="179">
          <cell r="B179">
            <v>163</v>
          </cell>
        </row>
        <row r="180">
          <cell r="B180">
            <v>164</v>
          </cell>
        </row>
        <row r="181">
          <cell r="B181">
            <v>165</v>
          </cell>
        </row>
        <row r="182">
          <cell r="B182">
            <v>166</v>
          </cell>
        </row>
        <row r="183">
          <cell r="B183">
            <v>167</v>
          </cell>
        </row>
        <row r="184">
          <cell r="B184">
            <v>168</v>
          </cell>
        </row>
        <row r="185">
          <cell r="B185">
            <v>169</v>
          </cell>
        </row>
        <row r="186">
          <cell r="B186">
            <v>170</v>
          </cell>
        </row>
        <row r="187">
          <cell r="B187">
            <v>171</v>
          </cell>
        </row>
        <row r="188">
          <cell r="B188">
            <v>172</v>
          </cell>
        </row>
        <row r="189">
          <cell r="B189">
            <v>173</v>
          </cell>
        </row>
        <row r="190">
          <cell r="B190">
            <v>174</v>
          </cell>
        </row>
        <row r="191">
          <cell r="B191">
            <v>175</v>
          </cell>
        </row>
        <row r="192">
          <cell r="B192">
            <v>176</v>
          </cell>
        </row>
        <row r="193">
          <cell r="B193">
            <v>177</v>
          </cell>
        </row>
        <row r="194">
          <cell r="B194">
            <v>178</v>
          </cell>
        </row>
        <row r="195">
          <cell r="B195">
            <v>179</v>
          </cell>
        </row>
        <row r="196">
          <cell r="B196">
            <v>180</v>
          </cell>
        </row>
        <row r="197">
          <cell r="B197">
            <v>181</v>
          </cell>
        </row>
        <row r="198">
          <cell r="B198">
            <v>182</v>
          </cell>
        </row>
        <row r="199">
          <cell r="B199">
            <v>183</v>
          </cell>
        </row>
        <row r="200">
          <cell r="B200">
            <v>184</v>
          </cell>
        </row>
        <row r="201">
          <cell r="B201">
            <v>185</v>
          </cell>
        </row>
        <row r="202">
          <cell r="B202">
            <v>186</v>
          </cell>
        </row>
        <row r="203">
          <cell r="B203">
            <v>187</v>
          </cell>
        </row>
        <row r="204">
          <cell r="B204">
            <v>188</v>
          </cell>
        </row>
        <row r="205">
          <cell r="B205">
            <v>189</v>
          </cell>
        </row>
        <row r="206">
          <cell r="B206">
            <v>190</v>
          </cell>
        </row>
        <row r="207">
          <cell r="B207">
            <v>191</v>
          </cell>
        </row>
        <row r="208">
          <cell r="B208">
            <v>192</v>
          </cell>
        </row>
        <row r="209">
          <cell r="B209">
            <v>193</v>
          </cell>
        </row>
        <row r="210">
          <cell r="B210">
            <v>194</v>
          </cell>
        </row>
        <row r="211">
          <cell r="B211">
            <v>195</v>
          </cell>
        </row>
        <row r="212">
          <cell r="B212">
            <v>196</v>
          </cell>
        </row>
        <row r="213">
          <cell r="B213">
            <v>197</v>
          </cell>
        </row>
        <row r="214">
          <cell r="B214">
            <v>198</v>
          </cell>
        </row>
        <row r="215">
          <cell r="B215">
            <v>199</v>
          </cell>
        </row>
        <row r="216">
          <cell r="B216">
            <v>200</v>
          </cell>
        </row>
        <row r="217">
          <cell r="B217">
            <v>201</v>
          </cell>
        </row>
        <row r="218">
          <cell r="B218">
            <v>202</v>
          </cell>
        </row>
        <row r="219">
          <cell r="B219">
            <v>203</v>
          </cell>
        </row>
        <row r="220">
          <cell r="B220">
            <v>204</v>
          </cell>
        </row>
        <row r="221">
          <cell r="B221">
            <v>205</v>
          </cell>
        </row>
        <row r="222">
          <cell r="B222">
            <v>206</v>
          </cell>
        </row>
        <row r="223">
          <cell r="B223">
            <v>207</v>
          </cell>
        </row>
        <row r="224">
          <cell r="B224">
            <v>208</v>
          </cell>
        </row>
        <row r="225">
          <cell r="B225">
            <v>209</v>
          </cell>
        </row>
        <row r="226">
          <cell r="B226">
            <v>210</v>
          </cell>
        </row>
        <row r="227">
          <cell r="B227">
            <v>211</v>
          </cell>
        </row>
        <row r="228">
          <cell r="B228">
            <v>212</v>
          </cell>
        </row>
        <row r="229">
          <cell r="B229">
            <v>213</v>
          </cell>
        </row>
        <row r="230">
          <cell r="B230">
            <v>214</v>
          </cell>
        </row>
        <row r="231">
          <cell r="B231">
            <v>215</v>
          </cell>
        </row>
        <row r="232">
          <cell r="B232">
            <v>216</v>
          </cell>
        </row>
        <row r="233">
          <cell r="B233">
            <v>217</v>
          </cell>
        </row>
        <row r="234">
          <cell r="B234">
            <v>218</v>
          </cell>
        </row>
        <row r="235">
          <cell r="B235">
            <v>219</v>
          </cell>
        </row>
        <row r="236">
          <cell r="B236">
            <v>220</v>
          </cell>
        </row>
        <row r="237">
          <cell r="B237">
            <v>221</v>
          </cell>
        </row>
        <row r="238">
          <cell r="B238">
            <v>222</v>
          </cell>
        </row>
        <row r="239">
          <cell r="B239">
            <v>223</v>
          </cell>
        </row>
        <row r="240">
          <cell r="B240">
            <v>224</v>
          </cell>
        </row>
        <row r="241">
          <cell r="B241">
            <v>225</v>
          </cell>
        </row>
        <row r="242">
          <cell r="B242">
            <v>226</v>
          </cell>
        </row>
        <row r="243">
          <cell r="B243">
            <v>227</v>
          </cell>
        </row>
        <row r="244">
          <cell r="B244">
            <v>228</v>
          </cell>
        </row>
        <row r="245">
          <cell r="B245">
            <v>229</v>
          </cell>
        </row>
        <row r="246">
          <cell r="B246">
            <v>230</v>
          </cell>
        </row>
        <row r="247">
          <cell r="B247">
            <v>231</v>
          </cell>
        </row>
        <row r="248">
          <cell r="B248">
            <v>232</v>
          </cell>
        </row>
        <row r="249">
          <cell r="B249">
            <v>233</v>
          </cell>
        </row>
        <row r="250">
          <cell r="B250">
            <v>234</v>
          </cell>
        </row>
        <row r="251">
          <cell r="B251">
            <v>235</v>
          </cell>
        </row>
        <row r="252">
          <cell r="B252">
            <v>236</v>
          </cell>
        </row>
        <row r="253">
          <cell r="B253">
            <v>237</v>
          </cell>
        </row>
        <row r="254">
          <cell r="B254">
            <v>238</v>
          </cell>
        </row>
        <row r="255">
          <cell r="B255">
            <v>239</v>
          </cell>
        </row>
        <row r="256">
          <cell r="B256">
            <v>240</v>
          </cell>
        </row>
        <row r="257">
          <cell r="B257" t="str">
            <v/>
          </cell>
        </row>
        <row r="258">
          <cell r="B258" t="str">
            <v/>
          </cell>
        </row>
        <row r="259">
          <cell r="B259" t="str">
            <v/>
          </cell>
        </row>
        <row r="260">
          <cell r="B260" t="str">
            <v/>
          </cell>
        </row>
        <row r="261">
          <cell r="B261" t="str">
            <v/>
          </cell>
        </row>
        <row r="262">
          <cell r="B262" t="str">
            <v/>
          </cell>
        </row>
        <row r="263">
          <cell r="B263" t="str">
            <v/>
          </cell>
        </row>
        <row r="264">
          <cell r="B264" t="str">
            <v/>
          </cell>
        </row>
        <row r="265">
          <cell r="B265" t="str">
            <v/>
          </cell>
        </row>
        <row r="266">
          <cell r="B266" t="str">
            <v/>
          </cell>
        </row>
        <row r="267">
          <cell r="B267" t="str">
            <v/>
          </cell>
        </row>
        <row r="268">
          <cell r="B268" t="str">
            <v/>
          </cell>
        </row>
        <row r="269">
          <cell r="B269" t="str">
            <v/>
          </cell>
        </row>
        <row r="270">
          <cell r="B270" t="str">
            <v/>
          </cell>
        </row>
        <row r="271">
          <cell r="B271" t="str">
            <v/>
          </cell>
        </row>
        <row r="272">
          <cell r="B272" t="str">
            <v/>
          </cell>
        </row>
        <row r="273">
          <cell r="B273" t="str">
            <v/>
          </cell>
        </row>
        <row r="274">
          <cell r="B274" t="str">
            <v/>
          </cell>
        </row>
        <row r="275">
          <cell r="B275" t="str">
            <v/>
          </cell>
        </row>
        <row r="276">
          <cell r="B276" t="str">
            <v/>
          </cell>
        </row>
        <row r="277">
          <cell r="B277" t="str">
            <v/>
          </cell>
        </row>
        <row r="278">
          <cell r="B278" t="str">
            <v/>
          </cell>
        </row>
        <row r="279">
          <cell r="B279" t="str">
            <v/>
          </cell>
        </row>
        <row r="280">
          <cell r="B280" t="str">
            <v/>
          </cell>
        </row>
        <row r="281">
          <cell r="B281" t="str">
            <v/>
          </cell>
        </row>
        <row r="282">
          <cell r="B282" t="str">
            <v/>
          </cell>
        </row>
        <row r="283">
          <cell r="B283" t="str">
            <v/>
          </cell>
        </row>
        <row r="284">
          <cell r="B284" t="str">
            <v/>
          </cell>
        </row>
        <row r="285">
          <cell r="B285" t="str">
            <v/>
          </cell>
        </row>
        <row r="286">
          <cell r="B286" t="str">
            <v/>
          </cell>
        </row>
        <row r="287">
          <cell r="B287" t="str">
            <v/>
          </cell>
        </row>
        <row r="288">
          <cell r="B288" t="str">
            <v/>
          </cell>
        </row>
        <row r="289">
          <cell r="B289" t="str">
            <v/>
          </cell>
        </row>
        <row r="290">
          <cell r="B290" t="str">
            <v/>
          </cell>
        </row>
        <row r="291">
          <cell r="B291" t="str">
            <v/>
          </cell>
        </row>
        <row r="292">
          <cell r="B292" t="str">
            <v/>
          </cell>
        </row>
        <row r="293">
          <cell r="B293" t="str">
            <v/>
          </cell>
        </row>
        <row r="294">
          <cell r="B294" t="str">
            <v/>
          </cell>
        </row>
        <row r="295">
          <cell r="B295" t="str">
            <v/>
          </cell>
        </row>
        <row r="296">
          <cell r="B296" t="str">
            <v/>
          </cell>
        </row>
        <row r="297">
          <cell r="B297" t="str">
            <v/>
          </cell>
        </row>
        <row r="298">
          <cell r="B298" t="str">
            <v/>
          </cell>
        </row>
        <row r="299">
          <cell r="B299" t="str">
            <v/>
          </cell>
        </row>
        <row r="300">
          <cell r="B300" t="str">
            <v/>
          </cell>
        </row>
        <row r="301">
          <cell r="B301" t="str">
            <v/>
          </cell>
        </row>
        <row r="302">
          <cell r="B302" t="str">
            <v/>
          </cell>
        </row>
        <row r="303">
          <cell r="B303" t="str">
            <v/>
          </cell>
        </row>
        <row r="304">
          <cell r="B304" t="str">
            <v/>
          </cell>
        </row>
        <row r="305">
          <cell r="B305" t="str">
            <v/>
          </cell>
        </row>
        <row r="306">
          <cell r="B306" t="str">
            <v/>
          </cell>
        </row>
        <row r="307">
          <cell r="B307" t="str">
            <v/>
          </cell>
        </row>
        <row r="308">
          <cell r="B308" t="str">
            <v/>
          </cell>
        </row>
        <row r="309">
          <cell r="B309" t="str">
            <v/>
          </cell>
        </row>
        <row r="310">
          <cell r="B310" t="str">
            <v/>
          </cell>
        </row>
        <row r="311">
          <cell r="B311" t="str">
            <v/>
          </cell>
        </row>
        <row r="312">
          <cell r="B312" t="str">
            <v/>
          </cell>
        </row>
        <row r="313">
          <cell r="B313" t="str">
            <v/>
          </cell>
        </row>
        <row r="314">
          <cell r="B314" t="str">
            <v/>
          </cell>
        </row>
        <row r="315">
          <cell r="B315" t="str">
            <v/>
          </cell>
        </row>
        <row r="316">
          <cell r="B316" t="str">
            <v/>
          </cell>
        </row>
        <row r="317">
          <cell r="B317" t="str">
            <v/>
          </cell>
        </row>
        <row r="318">
          <cell r="B318" t="str">
            <v/>
          </cell>
        </row>
        <row r="319">
          <cell r="B319" t="str">
            <v/>
          </cell>
        </row>
        <row r="320">
          <cell r="B320" t="str">
            <v/>
          </cell>
        </row>
        <row r="321">
          <cell r="B321" t="str">
            <v/>
          </cell>
        </row>
        <row r="322">
          <cell r="B322" t="str">
            <v/>
          </cell>
        </row>
        <row r="323">
          <cell r="B323" t="str">
            <v/>
          </cell>
        </row>
        <row r="324">
          <cell r="B324" t="str">
            <v/>
          </cell>
        </row>
        <row r="325">
          <cell r="B325" t="str">
            <v/>
          </cell>
        </row>
        <row r="326">
          <cell r="B326" t="str">
            <v/>
          </cell>
        </row>
        <row r="327">
          <cell r="B327" t="str">
            <v/>
          </cell>
        </row>
        <row r="328">
          <cell r="B328" t="str">
            <v/>
          </cell>
        </row>
        <row r="329">
          <cell r="B329" t="str">
            <v/>
          </cell>
        </row>
        <row r="330">
          <cell r="B330" t="str">
            <v/>
          </cell>
        </row>
        <row r="331">
          <cell r="B331" t="str">
            <v/>
          </cell>
        </row>
        <row r="332">
          <cell r="B332" t="str">
            <v/>
          </cell>
        </row>
        <row r="333">
          <cell r="B333" t="str">
            <v/>
          </cell>
        </row>
        <row r="334">
          <cell r="B334" t="str">
            <v/>
          </cell>
        </row>
        <row r="335">
          <cell r="B335" t="str">
            <v/>
          </cell>
        </row>
        <row r="336">
          <cell r="B336" t="str">
            <v/>
          </cell>
        </row>
        <row r="337">
          <cell r="B337" t="str">
            <v/>
          </cell>
        </row>
        <row r="338">
          <cell r="B338" t="str">
            <v/>
          </cell>
        </row>
        <row r="339">
          <cell r="B339" t="str">
            <v/>
          </cell>
        </row>
        <row r="340">
          <cell r="B340" t="str">
            <v/>
          </cell>
        </row>
        <row r="341">
          <cell r="B341" t="str">
            <v/>
          </cell>
        </row>
        <row r="342">
          <cell r="B342" t="str">
            <v/>
          </cell>
        </row>
        <row r="343">
          <cell r="B343" t="str">
            <v/>
          </cell>
        </row>
        <row r="344">
          <cell r="B344" t="str">
            <v/>
          </cell>
        </row>
        <row r="345">
          <cell r="B345" t="str">
            <v/>
          </cell>
        </row>
        <row r="346">
          <cell r="B346" t="str">
            <v/>
          </cell>
        </row>
        <row r="347">
          <cell r="B347" t="str">
            <v/>
          </cell>
        </row>
        <row r="348">
          <cell r="B348" t="str">
            <v/>
          </cell>
        </row>
        <row r="349">
          <cell r="B349" t="str">
            <v/>
          </cell>
        </row>
        <row r="350">
          <cell r="B350" t="str">
            <v/>
          </cell>
        </row>
        <row r="351">
          <cell r="B351" t="str">
            <v/>
          </cell>
        </row>
        <row r="352">
          <cell r="B352" t="str">
            <v/>
          </cell>
        </row>
        <row r="353">
          <cell r="B353" t="str">
            <v/>
          </cell>
        </row>
        <row r="354">
          <cell r="B354" t="str">
            <v/>
          </cell>
        </row>
        <row r="355">
          <cell r="B355" t="str">
            <v/>
          </cell>
        </row>
        <row r="356">
          <cell r="B356" t="str">
            <v/>
          </cell>
        </row>
        <row r="357">
          <cell r="B357" t="str">
            <v/>
          </cell>
        </row>
        <row r="358">
          <cell r="B358" t="str">
            <v/>
          </cell>
        </row>
        <row r="359">
          <cell r="B359" t="str">
            <v/>
          </cell>
        </row>
        <row r="360">
          <cell r="B360" t="str">
            <v/>
          </cell>
        </row>
        <row r="361">
          <cell r="B361" t="str">
            <v/>
          </cell>
        </row>
        <row r="362">
          <cell r="B362" t="str">
            <v/>
          </cell>
        </row>
        <row r="363">
          <cell r="B363" t="str">
            <v/>
          </cell>
        </row>
        <row r="364">
          <cell r="B364" t="str">
            <v/>
          </cell>
        </row>
        <row r="365">
          <cell r="B365" t="str">
            <v/>
          </cell>
        </row>
        <row r="366">
          <cell r="B366" t="str">
            <v/>
          </cell>
        </row>
        <row r="367">
          <cell r="B367" t="str">
            <v/>
          </cell>
        </row>
        <row r="368">
          <cell r="B368" t="str">
            <v/>
          </cell>
        </row>
        <row r="369">
          <cell r="B369" t="str">
            <v/>
          </cell>
        </row>
        <row r="370">
          <cell r="B370" t="str">
            <v/>
          </cell>
        </row>
        <row r="371">
          <cell r="B371" t="str">
            <v/>
          </cell>
        </row>
        <row r="372">
          <cell r="B372" t="str">
            <v/>
          </cell>
        </row>
        <row r="373">
          <cell r="B373" t="str">
            <v/>
          </cell>
        </row>
        <row r="374">
          <cell r="B374" t="str">
            <v/>
          </cell>
        </row>
        <row r="375">
          <cell r="B375" t="str">
            <v/>
          </cell>
        </row>
        <row r="376">
          <cell r="B376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EI"/>
      <sheetName val="PLVE"/>
      <sheetName val="PCSH"/>
      <sheetName val="PUDU"/>
      <sheetName val="PWTF"/>
      <sheetName val="PMAN"/>
      <sheetName val="PGFI"/>
      <sheetName val="PCIF"/>
      <sheetName val="PGCC"/>
      <sheetName val="PGIE"/>
      <sheetName val="PGEG"/>
      <sheetName val="PGCU"/>
      <sheetName val="PGFU"/>
      <sheetName val="PIOE"/>
      <sheetName val="PGEU"/>
      <sheetName val="PAIU"/>
      <sheetName val="PCGS"/>
      <sheetName val="PCBS"/>
      <sheetName val="PAMU"/>
      <sheetName val="PEMS"/>
      <sheetName val="PGEE"/>
      <sheetName val="PEGS"/>
      <sheetName val="PEIS"/>
      <sheetName val="PAPM"/>
      <sheetName val="PAPG"/>
      <sheetName val="Sheet2 (2)"/>
      <sheetName val="Dashboard"/>
      <sheetName val="Sheet2"/>
      <sheetName val="PAPC"/>
      <sheetName val="PAPB"/>
      <sheetName val="PGMA"/>
      <sheetName val="PAFA"/>
      <sheetName val="PEQU"/>
      <sheetName val="PF35"/>
      <sheetName val="PGPF"/>
      <sheetName val="PAMA"/>
      <sheetName val="ARMF"/>
      <sheetName val="Sheet1"/>
      <sheetName val="PCIS"/>
    </sheetNames>
    <sheetDataSet>
      <sheetData sheetId="0">
        <row r="1">
          <cell r="A1" t="str">
            <v>Date</v>
          </cell>
          <cell r="B1" t="str">
            <v>Bid</v>
          </cell>
          <cell r="H1" t="str">
            <v>Max DD</v>
          </cell>
          <cell r="I1" t="str">
            <v>Draw down Days</v>
          </cell>
          <cell r="J1" t="str">
            <v xml:space="preserve">Year </v>
          </cell>
          <cell r="Z1" t="str">
            <v>Go to last row start</v>
          </cell>
          <cell r="AB1" t="str">
            <v>PRULink Islamic Global Equity Index Fund (Acc)</v>
          </cell>
          <cell r="AF1"/>
          <cell r="AH1" t="str">
            <v xml:space="preserve">Start Date 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  <cell r="B1" t="str">
            <v>Price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Singapore Cash Fund</v>
          </cell>
          <cell r="AF1" t="str">
            <v>Go to last row start</v>
          </cell>
          <cell r="AH1">
            <v>90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  <cell r="B1" t="str">
            <v>Bid</v>
          </cell>
          <cell r="H1" t="str">
            <v>Max DD</v>
          </cell>
          <cell r="I1" t="str">
            <v>Draw down Days</v>
          </cell>
          <cell r="J1" t="str">
            <v xml:space="preserve">Year </v>
          </cell>
          <cell r="Z1">
            <v>37040</v>
          </cell>
          <cell r="AB1" t="str">
            <v>Go to last row start</v>
          </cell>
          <cell r="AF1"/>
          <cell r="AH1">
            <v>90</v>
          </cell>
        </row>
      </sheetData>
      <sheetData sheetId="5">
        <row r="1">
          <cell r="A1" t="str">
            <v>Date</v>
          </cell>
          <cell r="B1" t="str">
            <v>Bid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Singapore Asian Managed Fund</v>
          </cell>
          <cell r="AF1" t="str">
            <v>Go to last row start</v>
          </cell>
          <cell r="AH1">
            <v>90</v>
          </cell>
        </row>
      </sheetData>
      <sheetData sheetId="6">
        <row r="1">
          <cell r="A1" t="str">
            <v>Date</v>
          </cell>
          <cell r="B1" t="str">
            <v>Bid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Global Fixed-Income Fund (Acc)</v>
          </cell>
          <cell r="AF1" t="str">
            <v>Go to last row start</v>
          </cell>
          <cell r="AH1">
            <v>90</v>
          </cell>
        </row>
      </sheetData>
      <sheetData sheetId="7">
        <row r="1">
          <cell r="A1" t="str">
            <v>Date</v>
          </cell>
          <cell r="B1" t="str">
            <v>Bid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China India Fund</v>
          </cell>
          <cell r="AF1" t="str">
            <v>Go to last row start</v>
          </cell>
          <cell r="AH1">
            <v>90</v>
          </cell>
        </row>
      </sheetData>
      <sheetData sheetId="8">
        <row r="1">
          <cell r="A1" t="str">
            <v>Date</v>
          </cell>
          <cell r="B1" t="str">
            <v>Bid</v>
          </cell>
          <cell r="H1" t="str">
            <v>Max DD</v>
          </cell>
          <cell r="I1" t="str">
            <v>Draw down Days</v>
          </cell>
          <cell r="J1" t="str">
            <v xml:space="preserve">Year </v>
          </cell>
          <cell r="Z1" t="str">
            <v>Go to last row start</v>
          </cell>
          <cell r="AB1" t="str">
            <v>PRULink Global Climate Change Equity Fund (Acc)</v>
          </cell>
          <cell r="AF1"/>
          <cell r="AH1" t="str">
            <v xml:space="preserve">Start Date </v>
          </cell>
        </row>
      </sheetData>
      <sheetData sheetId="9">
        <row r="1">
          <cell r="A1" t="str">
            <v>Date</v>
          </cell>
          <cell r="B1" t="str">
            <v>Bid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Global Innovation Equity Fund (Acc)</v>
          </cell>
          <cell r="AF1" t="str">
            <v>Go to last row start</v>
          </cell>
          <cell r="AH1">
            <v>90</v>
          </cell>
        </row>
      </sheetData>
      <sheetData sheetId="10">
        <row r="1">
          <cell r="A1" t="str">
            <v>Date</v>
          </cell>
          <cell r="B1" t="str">
            <v>Price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Global Equity Growth Fund (Accumulation))</v>
          </cell>
          <cell r="AF1" t="str">
            <v>Go to last row start</v>
          </cell>
          <cell r="AH1">
            <v>73</v>
          </cell>
        </row>
      </sheetData>
      <sheetData sheetId="11">
        <row r="1">
          <cell r="A1" t="str">
            <v>Date</v>
          </cell>
        </row>
      </sheetData>
      <sheetData sheetId="12">
        <row r="1">
          <cell r="A1" t="str">
            <v>Date</v>
          </cell>
        </row>
      </sheetData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 xml:space="preserve">Date 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  <cell r="B1" t="str">
            <v>Bid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Global Signature CIO Balance Fund</v>
          </cell>
          <cell r="AF1" t="str">
            <v>Go to last row start</v>
          </cell>
          <cell r="AH1">
            <v>90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  <cell r="B1" t="str">
            <v>Price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Global Episode Macro Fund (Acc)</v>
          </cell>
          <cell r="AF1" t="str">
            <v>Go to last row start</v>
          </cell>
          <cell r="AH1">
            <v>90</v>
          </cell>
        </row>
      </sheetData>
      <sheetData sheetId="20">
        <row r="1">
          <cell r="A1" t="str">
            <v>Date</v>
          </cell>
          <cell r="B1" t="str">
            <v>Bid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Global Impact ESG Equity Fund (Acc)</v>
          </cell>
          <cell r="AF1" t="str">
            <v>Go to last row start</v>
          </cell>
          <cell r="AH1">
            <v>90</v>
          </cell>
        </row>
      </sheetData>
      <sheetData sheetId="21">
        <row r="1">
          <cell r="A1" t="str">
            <v>Date</v>
          </cell>
          <cell r="B1" t="str">
            <v>Bid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Global Growth Fund (Accumulation)</v>
          </cell>
          <cell r="AF1" t="str">
            <v>Go to last row start</v>
          </cell>
          <cell r="AH1">
            <v>90</v>
          </cell>
        </row>
      </sheetData>
      <sheetData sheetId="22">
        <row r="1">
          <cell r="A1" t="str">
            <v>Date</v>
          </cell>
          <cell r="B1" t="str">
            <v>Bid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>
            <v>0</v>
          </cell>
          <cell r="AB1" t="str">
            <v>PRULink Global Income Fund (Accumulation)</v>
          </cell>
          <cell r="AF1" t="str">
            <v>Go to last row start</v>
          </cell>
          <cell r="AH1">
            <v>90</v>
          </cell>
        </row>
      </sheetData>
      <sheetData sheetId="23">
        <row r="1">
          <cell r="A1" t="str">
            <v>Date</v>
          </cell>
          <cell r="B1" t="str">
            <v>Bid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ActiveInvest Portfolio - Moderate</v>
          </cell>
          <cell r="AF1" t="str">
            <v>Go to last row start</v>
          </cell>
          <cell r="AH1">
            <v>90</v>
          </cell>
        </row>
      </sheetData>
      <sheetData sheetId="24">
        <row r="1">
          <cell r="A1" t="str">
            <v>Date</v>
          </cell>
          <cell r="B1" t="str">
            <v>Bid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ActiveInvest Portfolio - Growth</v>
          </cell>
          <cell r="AF1" t="str">
            <v>Go to last row start</v>
          </cell>
          <cell r="AH1">
            <v>90</v>
          </cell>
        </row>
      </sheetData>
      <sheetData sheetId="25"/>
      <sheetData sheetId="26">
        <row r="1">
          <cell r="B1" t="str">
            <v>Code</v>
          </cell>
        </row>
      </sheetData>
      <sheetData sheetId="27"/>
      <sheetData sheetId="28">
        <row r="1">
          <cell r="A1" t="str">
            <v>Date</v>
          </cell>
          <cell r="B1" t="str">
            <v>Bid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ActiveInvest Portfolio - Conservative</v>
          </cell>
          <cell r="AF1" t="str">
            <v>Go to last row start</v>
          </cell>
          <cell r="AH1">
            <v>90</v>
          </cell>
        </row>
      </sheetData>
      <sheetData sheetId="29">
        <row r="1">
          <cell r="A1" t="str">
            <v>Date</v>
          </cell>
          <cell r="B1" t="str">
            <v>Bid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ActiveInvest Portfolio - Balanced</v>
          </cell>
          <cell r="AF1" t="str">
            <v>Go to last row start</v>
          </cell>
          <cell r="AH1">
            <v>90</v>
          </cell>
        </row>
      </sheetData>
      <sheetData sheetId="30">
        <row r="1">
          <cell r="A1" t="str">
            <v>Date</v>
          </cell>
          <cell r="B1" t="str">
            <v>Bid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Global Multi-Asset Income Fund (Acc)</v>
          </cell>
          <cell r="AF1" t="str">
            <v>Go to last row start</v>
          </cell>
          <cell r="AH1" t="str">
            <v>Schroder International Selection Fund Global Target Return A Accum</v>
          </cell>
        </row>
      </sheetData>
      <sheetData sheetId="31">
        <row r="1">
          <cell r="A1" t="str">
            <v>Date</v>
          </cell>
          <cell r="B1" t="str">
            <v>Bid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Asian Fixed-Income Fund (Acc)</v>
          </cell>
          <cell r="AF1" t="str">
            <v>Go to last row start</v>
          </cell>
          <cell r="AH1">
            <v>90</v>
          </cell>
        </row>
      </sheetData>
      <sheetData sheetId="32">
        <row r="1">
          <cell r="A1" t="str">
            <v>Date</v>
          </cell>
          <cell r="B1" t="str">
            <v>Bid</v>
          </cell>
          <cell r="H1" t="str">
            <v>Max DD</v>
          </cell>
          <cell r="I1" t="str">
            <v>Draw down Days</v>
          </cell>
          <cell r="J1" t="str">
            <v xml:space="preserve">Year </v>
          </cell>
          <cell r="Z1" t="str">
            <v>Go to last row start</v>
          </cell>
          <cell r="AB1" t="str">
            <v>PruLink Asian Equity Fund</v>
          </cell>
          <cell r="AF1"/>
          <cell r="AH1" t="str">
            <v xml:space="preserve">Start Date </v>
          </cell>
        </row>
      </sheetData>
      <sheetData sheetId="33">
        <row r="1">
          <cell r="A1" t="str">
            <v>Date</v>
          </cell>
          <cell r="B1" t="str">
            <v>Bid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Adapt 2035 Fund</v>
          </cell>
          <cell r="AF1" t="str">
            <v>Go to last row start</v>
          </cell>
          <cell r="AH1">
            <v>90</v>
          </cell>
        </row>
      </sheetData>
      <sheetData sheetId="34">
        <row r="1">
          <cell r="A1" t="str">
            <v>Date</v>
          </cell>
          <cell r="B1" t="str">
            <v>Bid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Global Property Securities Fund</v>
          </cell>
          <cell r="AF1" t="str">
            <v>Go to last row start</v>
          </cell>
          <cell r="AH1">
            <v>90</v>
          </cell>
        </row>
      </sheetData>
      <sheetData sheetId="35">
        <row r="1">
          <cell r="A1" t="str">
            <v>Date</v>
          </cell>
          <cell r="B1" t="str">
            <v>Price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Asian Multi-Asset Income Fund (Acc)</v>
          </cell>
          <cell r="AF1" t="str">
            <v>Go to last row start</v>
          </cell>
          <cell r="AH1">
            <v>90</v>
          </cell>
        </row>
      </sheetData>
      <sheetData sheetId="36">
        <row r="1">
          <cell r="A1" t="str">
            <v>Date</v>
          </cell>
          <cell r="B1" t="str">
            <v>Bid</v>
          </cell>
          <cell r="H1" t="str">
            <v xml:space="preserve">End Value of DD Date </v>
          </cell>
          <cell r="I1" t="str">
            <v>Max DD</v>
          </cell>
          <cell r="J1" t="str">
            <v>Draw down Days</v>
          </cell>
          <cell r="Z1"/>
          <cell r="AB1" t="str">
            <v>PruLink Asian American Managed Fund</v>
          </cell>
          <cell r="AF1" t="str">
            <v>Go to last row start</v>
          </cell>
          <cell r="AH1">
            <v>90</v>
          </cell>
        </row>
      </sheetData>
      <sheetData sheetId="37" refreshError="1"/>
      <sheetData sheetId="38">
        <row r="1">
          <cell r="A1" t="str">
            <v>Date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cies -Payment Date (2)"/>
      <sheetName val="Assurance Charges AIA"/>
      <sheetName val="Assurance Charges (2)"/>
      <sheetName val="Assurance Charges"/>
      <sheetName val="Policies Comparison (2)"/>
      <sheetName val="PVA-WAV(SP)"/>
      <sheetName val="Dashboard"/>
      <sheetName val="Analysis"/>
      <sheetName val="Transactions"/>
      <sheetName val="Data Validation"/>
      <sheetName val="Policies -Payment Date"/>
      <sheetName val="Policies"/>
      <sheetName val="Policies Comparison"/>
      <sheetName val="Par Fund Illustration"/>
      <sheetName val="More Resources"/>
      <sheetName val="Settings"/>
      <sheetName val="Budget Planning"/>
      <sheetName val="Budget Tracking"/>
      <sheetName val="Calculation"/>
      <sheetName val="Budget Dashboard"/>
      <sheetName val="Dropdown Data"/>
      <sheetName val="Shuling20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4">
          <cell r="D4">
            <v>2023</v>
          </cell>
        </row>
        <row r="11">
          <cell r="D11" t="str">
            <v>Active</v>
          </cell>
        </row>
        <row r="13">
          <cell r="D13">
            <v>20</v>
          </cell>
        </row>
      </sheetData>
      <sheetData sheetId="16">
        <row r="20">
          <cell r="C20" t="str">
            <v>Total</v>
          </cell>
        </row>
        <row r="36">
          <cell r="C36" t="str">
            <v>Total</v>
          </cell>
        </row>
        <row r="49">
          <cell r="C49" t="str">
            <v>Total</v>
          </cell>
        </row>
      </sheetData>
      <sheetData sheetId="17" refreshError="1"/>
      <sheetData sheetId="18">
        <row r="19">
          <cell r="E19">
            <v>2023</v>
          </cell>
        </row>
        <row r="20">
          <cell r="E20">
            <v>1</v>
          </cell>
        </row>
        <row r="21">
          <cell r="E21" t="str">
            <v>January</v>
          </cell>
        </row>
      </sheetData>
      <sheetData sheetId="19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Overview"/>
      <sheetName val="Budget Summary"/>
      <sheetName val="Monthly Expenses"/>
      <sheetName val="Additional Data"/>
      <sheetName val="Sheet1"/>
      <sheetName val="Household monthly budget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"/>
      <sheetName val="Week 1"/>
      <sheetName val="Week 2"/>
      <sheetName val="Week 3"/>
      <sheetName val="Week 4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ortfolio"/>
      <sheetName val="Individual Stock"/>
    </sheetNames>
    <sheetDataSet>
      <sheetData sheetId="0">
        <row r="13">
          <cell r="D13">
            <v>20</v>
          </cell>
        </row>
        <row r="32">
          <cell r="B32">
            <v>1</v>
          </cell>
          <cell r="C32">
            <v>3600</v>
          </cell>
          <cell r="D32">
            <v>106.90810088980305</v>
          </cell>
          <cell r="F32">
            <v>3.0380117915619224E-2</v>
          </cell>
        </row>
      </sheetData>
      <sheetData sheetId="1">
        <row r="32">
          <cell r="E32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rance Charges-Agnes AIA"/>
      <sheetName val="PVAII-JW"/>
      <sheetName val="AD Comm Schedule"/>
      <sheetName val="Assurance Charges-Agnes"/>
      <sheetName val="Sheet18"/>
      <sheetName val="Assurance Charges"/>
      <sheetName val="Assurance Charges-KS"/>
      <sheetName val="MJ-Proposal"/>
      <sheetName val="KS-Current Plan "/>
      <sheetName val="Sheet4"/>
      <sheetName val="Sam-PitchNew"/>
      <sheetName val="KS"/>
      <sheetName val="KS-All policies (2)"/>
      <sheetName val="Sheet14"/>
      <sheetName val="养老规划金字塔"/>
      <sheetName val="Sheet16"/>
      <sheetName val="Sheet17"/>
      <sheetName val="List of Diseases Covered"/>
      <sheetName val="Siti Current Plan"/>
      <sheetName val="Award "/>
      <sheetName val="Sam-Pitch"/>
      <sheetName val="Sam-Current Plan"/>
      <sheetName val="Sam-Recommendation"/>
      <sheetName val="Funnel"/>
      <sheetName val="Award"/>
      <sheetName val="PAR"/>
      <sheetName val="PVA TB"/>
      <sheetName val="Sheet12"/>
      <sheetName val="PLI+ (RP) TB"/>
      <sheetName val="Fund (Historical)"/>
      <sheetName val="China-India(2004)"/>
      <sheetName val="America Fund(2005)"/>
      <sheetName val="Simple Illustration"/>
      <sheetName val="Fund Price (Now)"/>
      <sheetName val="Flexgrowth"/>
      <sheetName val="Div Fund"/>
      <sheetName val="PVA-WAV"/>
      <sheetName val="PVW"/>
      <sheetName val="Check"/>
      <sheetName val="2024"/>
      <sheetName val="EFYC"/>
      <sheetName val="EFYC Check"/>
      <sheetName val="Return Check"/>
      <sheetName val="Return yield"/>
      <sheetName val="PVAII"/>
      <sheetName val="Sheet19"/>
      <sheetName val="Sheet2"/>
      <sheetName val="Sheet3"/>
      <sheetName val="Sheet15"/>
      <sheetName val="Sheet13"/>
      <sheetName val="Sheet5"/>
      <sheetName val="Sheet6"/>
      <sheetName val="Sheet1"/>
      <sheetName val="Plan Name"/>
      <sheetName val="Prulink Invest"/>
      <sheetName val="Sheet8"/>
      <sheetName val="Value"/>
      <sheetName val="Value1"/>
      <sheetName val="Sheet11"/>
      <sheetName val="PLFG"/>
      <sheetName val="PAR TB "/>
      <sheetName val="PAR-SP"/>
      <sheetName val="PAC TB"/>
      <sheetName val="PAS "/>
      <sheetName val="PAS SP"/>
      <sheetName val="PAC"/>
      <sheetName val="PWI (SP)"/>
      <sheetName val="PRUW+"/>
      <sheetName val="PLI+RP"/>
      <sheetName val="PWI (SP) TB "/>
      <sheetName val="PAR-RP"/>
      <sheetName val="PAS TB"/>
      <sheetName val="PAS-Yield"/>
      <sheetName val="PRUW+ SRS"/>
      <sheetName val="SRS"/>
      <sheetName val="C"/>
      <sheetName val="Sam-1"/>
      <sheetName val="Sheet7"/>
      <sheetName val="JW-All policies"/>
      <sheetName val="Sheet9"/>
      <sheetName val="Sheet10"/>
      <sheetName val="JW"/>
      <sheetName val="PLI+SP PF"/>
      <sheetName val="ERROR"/>
      <sheetName val="PRUW+ TB"/>
      <sheetName val="Ganne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2">
          <cell r="I2" t="str">
            <v>Public_Main</v>
          </cell>
          <cell r="K2" t="str">
            <v>Public_Rider</v>
          </cell>
        </row>
        <row r="3">
          <cell r="I3" t="str">
            <v>Private_Main</v>
          </cell>
          <cell r="K3" t="str">
            <v>Private_Rider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EZ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irement Dashboard"/>
      <sheetName val="CPF TB"/>
      <sheetName val="Retirement Dashboard-Main"/>
      <sheetName val="CPF TB Main"/>
      <sheetName val="CPF Projection"/>
      <sheetName val="CAGR"/>
      <sheetName val="Prulink Fund"/>
      <sheetName val="Sheet1"/>
      <sheetName val="IRR Comparison"/>
      <sheetName val="Sheet2"/>
      <sheetName val="Compound Interest"/>
      <sheetName val="Rule of 72"/>
    </sheetNames>
    <sheetDataSet>
      <sheetData sheetId="0">
        <row r="9">
          <cell r="D9">
            <v>4300</v>
          </cell>
        </row>
        <row r="10">
          <cell r="D10">
            <v>14</v>
          </cell>
        </row>
        <row r="15">
          <cell r="D15">
            <v>20000</v>
          </cell>
          <cell r="E15"/>
          <cell r="F15"/>
        </row>
        <row r="16">
          <cell r="D16">
            <v>200000</v>
          </cell>
          <cell r="E16"/>
          <cell r="F16"/>
        </row>
        <row r="17">
          <cell r="D17">
            <v>70000</v>
          </cell>
          <cell r="E17"/>
          <cell r="F17"/>
        </row>
        <row r="38">
          <cell r="D38">
            <v>65</v>
          </cell>
        </row>
        <row r="40">
          <cell r="E40">
            <v>90</v>
          </cell>
        </row>
        <row r="42">
          <cell r="D42">
            <v>2000</v>
          </cell>
          <cell r="E42"/>
          <cell r="F42"/>
        </row>
        <row r="72">
          <cell r="G72">
            <v>65</v>
          </cell>
        </row>
        <row r="91">
          <cell r="D91">
            <v>817.13759999999991</v>
          </cell>
        </row>
        <row r="99">
          <cell r="D99">
            <v>0</v>
          </cell>
        </row>
      </sheetData>
      <sheetData sheetId="1">
        <row r="28">
          <cell r="B28">
            <v>525</v>
          </cell>
        </row>
        <row r="32">
          <cell r="B32">
            <v>93</v>
          </cell>
        </row>
        <row r="33">
          <cell r="B33">
            <v>600</v>
          </cell>
        </row>
        <row r="38">
          <cell r="B38">
            <v>90</v>
          </cell>
        </row>
        <row r="41">
          <cell r="D41">
            <v>162761.74743422811</v>
          </cell>
          <cell r="E41">
            <v>714215.28130384267</v>
          </cell>
        </row>
        <row r="42">
          <cell r="C42">
            <v>75500</v>
          </cell>
          <cell r="D42">
            <v>93497.753450004369</v>
          </cell>
          <cell r="E42">
            <v>373778.16499252373</v>
          </cell>
          <cell r="G42">
            <v>130894.42295845121</v>
          </cell>
          <cell r="H42">
            <v>261864.74874262491</v>
          </cell>
          <cell r="I42">
            <v>523729.49748524983</v>
          </cell>
        </row>
        <row r="47">
          <cell r="C47" t="str">
            <v>Yes</v>
          </cell>
          <cell r="D47">
            <v>1010</v>
          </cell>
        </row>
        <row r="48">
          <cell r="C48" t="str">
            <v>Yes</v>
          </cell>
          <cell r="D48">
            <v>1900</v>
          </cell>
        </row>
        <row r="49">
          <cell r="C49" t="str">
            <v>No</v>
          </cell>
          <cell r="D49">
            <v>4043.8757128947177</v>
          </cell>
        </row>
        <row r="53">
          <cell r="D53">
            <v>111913.41624989882</v>
          </cell>
          <cell r="E53">
            <v>93497.753450004369</v>
          </cell>
        </row>
        <row r="54">
          <cell r="G54">
            <v>248502.16272359656</v>
          </cell>
          <cell r="H54">
            <v>1900</v>
          </cell>
        </row>
        <row r="62">
          <cell r="D62">
            <v>0</v>
          </cell>
          <cell r="E62">
            <v>-56453.579042721729</v>
          </cell>
        </row>
        <row r="63">
          <cell r="G63">
            <v>121550.82234174525</v>
          </cell>
          <cell r="H63">
            <v>4043.8757128947177</v>
          </cell>
        </row>
        <row r="73">
          <cell r="D73">
            <v>242883.74203407252</v>
          </cell>
          <cell r="E73">
            <v>93497.753450004369</v>
          </cell>
        </row>
        <row r="74">
          <cell r="G74">
            <v>346822.0937022976</v>
          </cell>
          <cell r="H74">
            <v>1010</v>
          </cell>
        </row>
      </sheetData>
      <sheetData sheetId="2">
        <row r="24">
          <cell r="D24">
            <v>500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irement Dashboard"/>
      <sheetName val="CPF TB"/>
      <sheetName val="HSG-2025 Ash"/>
      <sheetName val="HSG-2025 Agnes"/>
      <sheetName val="HSG-2025 Hazel"/>
      <sheetName val="Jo"/>
      <sheetName val="mummy"/>
      <sheetName val="Pregancy plan"/>
      <sheetName val="Siti"/>
      <sheetName val="PVAII"/>
      <sheetName val="Plan Name"/>
      <sheetName val="EFYC"/>
      <sheetName val="HSG-Laura (2)"/>
      <sheetName val="HSG-Laura"/>
      <sheetName val="2025"/>
      <sheetName val="Riana"/>
      <sheetName val="Ruth"/>
      <sheetName val="HSG-2025"/>
      <sheetName val="2024"/>
      <sheetName val="Sheet2"/>
      <sheetName val="Sheet3"/>
      <sheetName val="Sheet4"/>
      <sheetName val="Current Plan-Ruth"/>
      <sheetName val="Protection Cover -Ruth"/>
      <sheetName val="HSG-Ruth"/>
      <sheetName val="Budget-Ru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D3">
            <v>27716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658D3-BAF4-4771-B9D9-1387A3EA77C0}">
  <dimension ref="A1:X194"/>
  <sheetViews>
    <sheetView tabSelected="1" topLeftCell="A19" zoomScale="80" zoomScaleNormal="80" workbookViewId="0">
      <selection activeCell="D37" sqref="D37"/>
    </sheetView>
  </sheetViews>
  <sheetFormatPr defaultColWidth="15.08984375" defaultRowHeight="16.5" customHeight="1" x14ac:dyDescent="0.35"/>
  <cols>
    <col min="1" max="1" width="15.08984375" style="96"/>
    <col min="2" max="2" width="27.7265625" style="96" customWidth="1"/>
    <col min="3" max="3" width="10.36328125" style="96" customWidth="1"/>
    <col min="4" max="4" width="24.08984375" style="96" customWidth="1"/>
    <col min="5" max="5" width="15.08984375" style="96"/>
    <col min="6" max="16" width="15.08984375" style="96" customWidth="1"/>
    <col min="17" max="24" width="9.36328125" style="96" customWidth="1"/>
    <col min="25" max="16384" width="15.08984375" style="96"/>
  </cols>
  <sheetData>
    <row r="1" spans="2:24" ht="23" customHeight="1" x14ac:dyDescent="0.5">
      <c r="B1" s="95" t="s">
        <v>62</v>
      </c>
      <c r="H1" s="97" t="s">
        <v>63</v>
      </c>
      <c r="I1" s="97"/>
      <c r="J1" s="97"/>
      <c r="K1" s="97"/>
      <c r="L1" s="97"/>
      <c r="M1" s="97"/>
      <c r="N1" s="97"/>
      <c r="O1" s="97"/>
      <c r="Q1" s="98" t="s">
        <v>64</v>
      </c>
      <c r="R1" s="98"/>
      <c r="S1" s="98"/>
      <c r="T1" s="98"/>
      <c r="U1" s="98"/>
      <c r="V1" s="98" t="s">
        <v>65</v>
      </c>
      <c r="W1" s="98"/>
      <c r="X1" s="98"/>
    </row>
    <row r="2" spans="2:24" ht="16.5" customHeight="1" x14ac:dyDescent="0.45">
      <c r="B2" s="99" t="s">
        <v>66</v>
      </c>
      <c r="H2" s="100" t="s">
        <v>67</v>
      </c>
      <c r="I2" s="100" t="s">
        <v>68</v>
      </c>
      <c r="J2" s="100" t="s">
        <v>69</v>
      </c>
      <c r="K2" s="101" t="s">
        <v>70</v>
      </c>
      <c r="L2" s="100" t="s">
        <v>71</v>
      </c>
      <c r="M2" s="100" t="s">
        <v>72</v>
      </c>
      <c r="N2" s="100" t="s">
        <v>73</v>
      </c>
      <c r="O2" s="100" t="s">
        <v>74</v>
      </c>
      <c r="Q2" s="102" t="s">
        <v>3</v>
      </c>
      <c r="R2" s="102" t="s">
        <v>75</v>
      </c>
      <c r="S2" s="102" t="s">
        <v>76</v>
      </c>
      <c r="T2" s="103" t="s">
        <v>77</v>
      </c>
      <c r="U2" s="102" t="s">
        <v>78</v>
      </c>
      <c r="V2" s="102" t="s">
        <v>76</v>
      </c>
      <c r="W2" s="103" t="s">
        <v>77</v>
      </c>
      <c r="X2" s="102" t="s">
        <v>78</v>
      </c>
    </row>
    <row r="3" spans="2:24" ht="19" customHeight="1" x14ac:dyDescent="0.4">
      <c r="B3" s="104">
        <v>2025</v>
      </c>
      <c r="H3" s="105" t="s">
        <v>79</v>
      </c>
      <c r="I3" s="106">
        <f>SUM(J3:L3)</f>
        <v>0.37000000000000005</v>
      </c>
      <c r="J3" s="107">
        <f>62.17%*M3</f>
        <v>0.23002900000000001</v>
      </c>
      <c r="K3" s="108">
        <f>16.21%*M3</f>
        <v>5.9977000000000009E-2</v>
      </c>
      <c r="L3" s="109">
        <f>21.62%*M3</f>
        <v>7.9993999999999996E-2</v>
      </c>
      <c r="M3" s="110">
        <f>N3+O3</f>
        <v>0.37</v>
      </c>
      <c r="N3" s="111">
        <v>0.17</v>
      </c>
      <c r="O3" s="111">
        <v>0.2</v>
      </c>
      <c r="Q3" s="112">
        <f ca="1">C9</f>
        <v>27</v>
      </c>
      <c r="R3" s="112">
        <f>B3</f>
        <v>2025</v>
      </c>
      <c r="S3" s="113">
        <v>106500</v>
      </c>
      <c r="T3" s="113">
        <v>213000</v>
      </c>
      <c r="U3" s="113">
        <v>426000</v>
      </c>
      <c r="V3" s="113">
        <v>840</v>
      </c>
      <c r="W3" s="113">
        <v>1590</v>
      </c>
      <c r="X3" s="113">
        <v>3330</v>
      </c>
    </row>
    <row r="4" spans="2:24" ht="16.5" customHeight="1" x14ac:dyDescent="0.4">
      <c r="B4" s="114"/>
      <c r="H4" s="105" t="s">
        <v>80</v>
      </c>
      <c r="I4" s="106">
        <f t="shared" ref="I4:I10" si="0">SUM(J4:L4)</f>
        <v>0.37</v>
      </c>
      <c r="J4" s="115">
        <f>56.77%*M4</f>
        <v>0.21004899999999999</v>
      </c>
      <c r="K4" s="116">
        <f>18.91%*M4</f>
        <v>6.9967000000000001E-2</v>
      </c>
      <c r="L4" s="117">
        <f>24.32%*M4</f>
        <v>8.9983999999999995E-2</v>
      </c>
      <c r="M4" s="110">
        <f t="shared" ref="M4:M10" si="1">N4+O4</f>
        <v>0.37</v>
      </c>
      <c r="N4" s="111">
        <v>0.17</v>
      </c>
      <c r="O4" s="111">
        <v>0.2</v>
      </c>
      <c r="Q4" s="118">
        <f ca="1">Q3+1</f>
        <v>28</v>
      </c>
      <c r="R4" s="112">
        <f>R3+1</f>
        <v>2026</v>
      </c>
      <c r="S4" s="113">
        <v>110200</v>
      </c>
      <c r="T4" s="113">
        <v>220440</v>
      </c>
      <c r="U4" s="113">
        <v>440800</v>
      </c>
      <c r="V4" s="113">
        <v>850</v>
      </c>
      <c r="W4" s="113">
        <v>1600</v>
      </c>
      <c r="X4" s="113">
        <f>X3*103.31%</f>
        <v>3440.2230000000004</v>
      </c>
    </row>
    <row r="5" spans="2:24" ht="16.5" customHeight="1" x14ac:dyDescent="0.45">
      <c r="B5" s="119" t="s">
        <v>81</v>
      </c>
      <c r="H5" s="105" t="s">
        <v>82</v>
      </c>
      <c r="I5" s="106">
        <f t="shared" si="0"/>
        <v>0.37</v>
      </c>
      <c r="J5" s="115">
        <f>51.36%*M5</f>
        <v>0.19003199999999998</v>
      </c>
      <c r="K5" s="116">
        <f>21.62%*M5</f>
        <v>7.9993999999999996E-2</v>
      </c>
      <c r="L5" s="117">
        <f>27.02%*M5</f>
        <v>9.9973999999999993E-2</v>
      </c>
      <c r="M5" s="110">
        <f t="shared" si="1"/>
        <v>0.37</v>
      </c>
      <c r="N5" s="111">
        <v>0.17</v>
      </c>
      <c r="O5" s="111">
        <v>0.2</v>
      </c>
      <c r="Q5" s="118">
        <f t="shared" ref="Q5:R20" ca="1" si="2">Q4+1</f>
        <v>29</v>
      </c>
      <c r="R5" s="112">
        <f t="shared" si="2"/>
        <v>2027</v>
      </c>
      <c r="S5" s="113">
        <v>114100</v>
      </c>
      <c r="T5" s="113">
        <v>228200</v>
      </c>
      <c r="U5" s="113">
        <v>456400</v>
      </c>
      <c r="V5" s="113">
        <v>900</v>
      </c>
      <c r="W5" s="113">
        <v>1670</v>
      </c>
      <c r="X5" s="113">
        <v>3550</v>
      </c>
    </row>
    <row r="6" spans="2:24" ht="16.5" customHeight="1" x14ac:dyDescent="0.35">
      <c r="B6" s="120" t="s">
        <v>83</v>
      </c>
      <c r="C6" s="121" t="s">
        <v>84</v>
      </c>
      <c r="D6" s="122" t="s">
        <v>85</v>
      </c>
      <c r="E6" s="123">
        <v>65</v>
      </c>
      <c r="H6" s="105" t="s">
        <v>86</v>
      </c>
      <c r="I6" s="106">
        <f t="shared" si="0"/>
        <v>0.37</v>
      </c>
      <c r="J6" s="115">
        <f>40.55%*M6</f>
        <v>0.15003499999999997</v>
      </c>
      <c r="K6" s="116">
        <f>31.08%*M6</f>
        <v>0.11499599999999999</v>
      </c>
      <c r="L6" s="117">
        <f>28.37%*M6</f>
        <v>0.10496900000000001</v>
      </c>
      <c r="M6" s="110">
        <f t="shared" si="1"/>
        <v>0.37</v>
      </c>
      <c r="N6" s="111">
        <v>0.17</v>
      </c>
      <c r="O6" s="111">
        <v>0.2</v>
      </c>
      <c r="Q6" s="118">
        <f t="shared" ca="1" si="2"/>
        <v>30</v>
      </c>
      <c r="R6" s="112">
        <f t="shared" si="2"/>
        <v>2028</v>
      </c>
      <c r="S6" s="113">
        <f>(S5*103.47%)</f>
        <v>118059.26999999999</v>
      </c>
      <c r="T6" s="113">
        <f>T5*103.5%</f>
        <v>236186.99999999997</v>
      </c>
      <c r="U6" s="113">
        <f>U5*103.5%</f>
        <v>472373.99999999994</v>
      </c>
      <c r="V6" s="113">
        <v>930</v>
      </c>
      <c r="W6" s="113">
        <v>1730</v>
      </c>
      <c r="X6" s="113">
        <f>X5*103.31%</f>
        <v>3667.5050000000006</v>
      </c>
    </row>
    <row r="7" spans="2:24" ht="16.5" customHeight="1" x14ac:dyDescent="0.35">
      <c r="B7" s="120" t="s">
        <v>87</v>
      </c>
      <c r="C7" s="122" t="s">
        <v>88</v>
      </c>
      <c r="D7" s="122" t="s">
        <v>89</v>
      </c>
      <c r="E7" s="123" t="s">
        <v>77</v>
      </c>
      <c r="H7" s="105" t="s">
        <v>90</v>
      </c>
      <c r="I7" s="106">
        <f t="shared" si="0"/>
        <v>0.29949400000000004</v>
      </c>
      <c r="J7" s="115">
        <f>30.872%*M7</f>
        <v>0.10033400000000001</v>
      </c>
      <c r="K7" s="116">
        <f>27.41%*M7</f>
        <v>8.9082500000000009E-2</v>
      </c>
      <c r="L7" s="117">
        <f>33.87%*M7</f>
        <v>0.11007750000000001</v>
      </c>
      <c r="M7" s="110">
        <f>N7+O7</f>
        <v>0.32500000000000001</v>
      </c>
      <c r="N7" s="111">
        <f>32.5%-17%</f>
        <v>0.155</v>
      </c>
      <c r="O7" s="111">
        <v>0.17</v>
      </c>
      <c r="Q7" s="118">
        <f t="shared" ca="1" si="2"/>
        <v>31</v>
      </c>
      <c r="R7" s="112">
        <f t="shared" si="2"/>
        <v>2029</v>
      </c>
      <c r="S7" s="113">
        <f t="shared" ref="S7:S38" si="3">(S6*103.5%)</f>
        <v>122191.34444999998</v>
      </c>
      <c r="T7" s="113">
        <f t="shared" ref="T7:U22" si="4">T6*103.5%</f>
        <v>244453.54499999995</v>
      </c>
      <c r="U7" s="113">
        <f t="shared" si="4"/>
        <v>488907.08999999991</v>
      </c>
      <c r="V7" s="113">
        <v>950</v>
      </c>
      <c r="W7" s="113">
        <v>1780</v>
      </c>
      <c r="X7" s="113">
        <f t="shared" ref="X7:X39" si="5">X6*103.31%</f>
        <v>3788.8994155000009</v>
      </c>
    </row>
    <row r="8" spans="2:24" ht="16.5" customHeight="1" x14ac:dyDescent="0.35">
      <c r="B8" s="120" t="s">
        <v>91</v>
      </c>
      <c r="C8" s="124">
        <v>36331</v>
      </c>
      <c r="D8" s="122"/>
      <c r="E8" s="125"/>
      <c r="H8" s="105" t="s">
        <v>92</v>
      </c>
      <c r="I8" s="106">
        <f t="shared" si="0"/>
        <v>0.23429499999999998</v>
      </c>
      <c r="J8" s="115">
        <f>15.62%*M8</f>
        <v>3.6706999999999997E-2</v>
      </c>
      <c r="K8" s="116">
        <f>36.36%*M8</f>
        <v>8.5445999999999994E-2</v>
      </c>
      <c r="L8" s="117">
        <f>47.72%*M8</f>
        <v>0.11214199999999999</v>
      </c>
      <c r="M8" s="110">
        <f t="shared" si="1"/>
        <v>0.23499999999999999</v>
      </c>
      <c r="N8" s="111">
        <f>23.5%-O8</f>
        <v>0.11999999999999998</v>
      </c>
      <c r="O8" s="111">
        <v>0.115</v>
      </c>
      <c r="Q8" s="118">
        <f t="shared" ca="1" si="2"/>
        <v>32</v>
      </c>
      <c r="R8" s="112">
        <f t="shared" si="2"/>
        <v>2030</v>
      </c>
      <c r="S8" s="113">
        <f t="shared" si="3"/>
        <v>126468.04150574996</v>
      </c>
      <c r="T8" s="113">
        <f t="shared" si="4"/>
        <v>253009.41907499993</v>
      </c>
      <c r="U8" s="113">
        <f t="shared" si="4"/>
        <v>506018.83814999985</v>
      </c>
      <c r="V8" s="113">
        <v>980</v>
      </c>
      <c r="W8" s="113">
        <v>1840</v>
      </c>
      <c r="X8" s="113">
        <f t="shared" si="5"/>
        <v>3914.3119861530513</v>
      </c>
    </row>
    <row r="9" spans="2:24" ht="16.5" customHeight="1" x14ac:dyDescent="0.35">
      <c r="B9" s="120" t="s">
        <v>93</v>
      </c>
      <c r="C9" s="126">
        <f ca="1">ROUND((TODAY()-C8)/365,0)</f>
        <v>27</v>
      </c>
      <c r="D9" s="120"/>
      <c r="E9" s="127"/>
      <c r="H9" s="105" t="s">
        <v>94</v>
      </c>
      <c r="I9" s="106">
        <f t="shared" si="0"/>
        <v>0.16500000000000001</v>
      </c>
      <c r="J9" s="115">
        <f>6.07%*M9</f>
        <v>1.0015500000000002E-2</v>
      </c>
      <c r="K9" s="116">
        <f>30.3%*M9</f>
        <v>4.9994999999999998E-2</v>
      </c>
      <c r="L9" s="117">
        <f>63.63%*M9</f>
        <v>0.1049895</v>
      </c>
      <c r="M9" s="110">
        <f t="shared" si="1"/>
        <v>0.16500000000000001</v>
      </c>
      <c r="N9" s="111">
        <f>16.5%-O9</f>
        <v>9.0000000000000011E-2</v>
      </c>
      <c r="O9" s="111">
        <v>7.4999999999999997E-2</v>
      </c>
      <c r="Q9" s="118">
        <f t="shared" ca="1" si="2"/>
        <v>33</v>
      </c>
      <c r="R9" s="112">
        <f t="shared" si="2"/>
        <v>2031</v>
      </c>
      <c r="S9" s="113">
        <f t="shared" si="3"/>
        <v>130894.42295845121</v>
      </c>
      <c r="T9" s="113">
        <f t="shared" si="4"/>
        <v>261864.74874262491</v>
      </c>
      <c r="U9" s="113">
        <f t="shared" si="4"/>
        <v>523729.49748524983</v>
      </c>
      <c r="V9" s="113">
        <f t="shared" ref="V9:V22" si="6">V8+30</f>
        <v>1010</v>
      </c>
      <c r="W9" s="113">
        <f t="shared" ref="W9:W22" si="7">W8+60</f>
        <v>1900</v>
      </c>
      <c r="X9" s="113">
        <f t="shared" si="5"/>
        <v>4043.8757128947177</v>
      </c>
    </row>
    <row r="10" spans="2:24" ht="16.5" customHeight="1" x14ac:dyDescent="0.35">
      <c r="B10" s="120" t="s">
        <v>95</v>
      </c>
      <c r="C10" s="128">
        <v>4000</v>
      </c>
      <c r="D10" s="120"/>
      <c r="E10" s="125"/>
      <c r="H10" s="105" t="s">
        <v>96</v>
      </c>
      <c r="I10" s="106">
        <f t="shared" si="0"/>
        <v>0.125</v>
      </c>
      <c r="J10" s="115">
        <f>8%*M10</f>
        <v>0.01</v>
      </c>
      <c r="K10" s="116">
        <f>8%*M10</f>
        <v>0.01</v>
      </c>
      <c r="L10" s="117">
        <f>84%*M10</f>
        <v>0.105</v>
      </c>
      <c r="M10" s="110">
        <f t="shared" si="1"/>
        <v>0.125</v>
      </c>
      <c r="N10" s="111">
        <f>12.5%-O10</f>
        <v>7.4999999999999997E-2</v>
      </c>
      <c r="O10" s="111">
        <v>0.05</v>
      </c>
      <c r="Q10" s="118">
        <f ca="1">Q9+1</f>
        <v>34</v>
      </c>
      <c r="R10" s="112">
        <f t="shared" si="2"/>
        <v>2032</v>
      </c>
      <c r="S10" s="113">
        <f t="shared" si="3"/>
        <v>135475.727761997</v>
      </c>
      <c r="T10" s="113">
        <f t="shared" si="4"/>
        <v>271030.01494861674</v>
      </c>
      <c r="U10" s="113">
        <f t="shared" si="4"/>
        <v>542060.02989723347</v>
      </c>
      <c r="V10" s="113">
        <f>V9+30</f>
        <v>1040</v>
      </c>
      <c r="W10" s="113">
        <f>W9+60</f>
        <v>1960</v>
      </c>
      <c r="X10" s="113">
        <f t="shared" si="5"/>
        <v>4177.7279989915332</v>
      </c>
    </row>
    <row r="11" spans="2:24" ht="16.5" customHeight="1" x14ac:dyDescent="0.35">
      <c r="B11" s="120" t="s">
        <v>97</v>
      </c>
      <c r="C11" s="129">
        <v>14</v>
      </c>
      <c r="D11" s="130"/>
      <c r="E11" s="127"/>
      <c r="Q11" s="118">
        <f ca="1">Q10+1</f>
        <v>35</v>
      </c>
      <c r="R11" s="112">
        <f t="shared" si="2"/>
        <v>2033</v>
      </c>
      <c r="S11" s="113">
        <f t="shared" si="3"/>
        <v>140217.37823366688</v>
      </c>
      <c r="T11" s="113">
        <f t="shared" si="4"/>
        <v>280516.06547181832</v>
      </c>
      <c r="U11" s="113">
        <f t="shared" si="4"/>
        <v>561032.13094363664</v>
      </c>
      <c r="V11" s="113">
        <f>V10+30</f>
        <v>1070</v>
      </c>
      <c r="W11" s="113">
        <f>W10+60</f>
        <v>2020</v>
      </c>
      <c r="X11" s="113">
        <f t="shared" si="5"/>
        <v>4316.0107957581531</v>
      </c>
    </row>
    <row r="12" spans="2:24" ht="16.5" customHeight="1" x14ac:dyDescent="0.35">
      <c r="B12" s="120" t="s">
        <v>98</v>
      </c>
      <c r="C12" s="129">
        <f>C10*C11</f>
        <v>56000</v>
      </c>
      <c r="D12" s="131"/>
      <c r="E12" s="125"/>
      <c r="Q12" s="118">
        <f t="shared" ca="1" si="2"/>
        <v>36</v>
      </c>
      <c r="R12" s="112">
        <f t="shared" si="2"/>
        <v>2034</v>
      </c>
      <c r="S12" s="113">
        <f t="shared" si="3"/>
        <v>145124.98647184522</v>
      </c>
      <c r="T12" s="113">
        <f t="shared" si="4"/>
        <v>290334.12776333193</v>
      </c>
      <c r="U12" s="113">
        <f t="shared" si="4"/>
        <v>580668.25552666385</v>
      </c>
      <c r="V12" s="113">
        <f t="shared" si="6"/>
        <v>1100</v>
      </c>
      <c r="W12" s="113">
        <f t="shared" si="7"/>
        <v>2080</v>
      </c>
      <c r="X12" s="113">
        <f t="shared" si="5"/>
        <v>4458.8707530977481</v>
      </c>
    </row>
    <row r="13" spans="2:24" ht="16.5" customHeight="1" x14ac:dyDescent="0.35">
      <c r="B13" s="120" t="s">
        <v>99</v>
      </c>
      <c r="C13" s="129">
        <f ca="1">C10*E13</f>
        <v>920.1160000000001</v>
      </c>
      <c r="D13" s="122" t="s">
        <v>100</v>
      </c>
      <c r="E13" s="132">
        <f ca="1">IF($C$9&lt;=35,J3,IF($C$9&lt;=45,J4,IF($C$9&lt;=50,J5,IF($C$9&lt;=55,J6,IF($C$9&lt;=60,J7,IF($C$9&lt;=65,J8,IF(J14&lt;=70,J9,J10)))))))</f>
        <v>0.23002900000000001</v>
      </c>
      <c r="Q13" s="118">
        <f t="shared" ca="1" si="2"/>
        <v>37</v>
      </c>
      <c r="R13" s="112">
        <f t="shared" si="2"/>
        <v>2035</v>
      </c>
      <c r="S13" s="113">
        <f t="shared" si="3"/>
        <v>150204.3609983598</v>
      </c>
      <c r="T13" s="113">
        <f t="shared" si="4"/>
        <v>300495.82223504852</v>
      </c>
      <c r="U13" s="113">
        <f t="shared" si="4"/>
        <v>600991.64447009703</v>
      </c>
      <c r="V13" s="113">
        <f t="shared" si="6"/>
        <v>1130</v>
      </c>
      <c r="W13" s="113">
        <f t="shared" si="7"/>
        <v>2140</v>
      </c>
      <c r="X13" s="113">
        <f t="shared" si="5"/>
        <v>4606.4593750252843</v>
      </c>
    </row>
    <row r="14" spans="2:24" ht="16.5" customHeight="1" x14ac:dyDescent="0.35">
      <c r="B14" s="120" t="s">
        <v>101</v>
      </c>
      <c r="C14" s="129">
        <f ca="1">C10*E14</f>
        <v>239.90800000000004</v>
      </c>
      <c r="D14" s="122" t="s">
        <v>102</v>
      </c>
      <c r="E14" s="132">
        <f ca="1">IF($C$9&lt;=35,K3,IF($C$9&lt;=45,K4,IF($C$9&lt;=50,K5,IF($C$9&lt;=55,K6,IF($C$9&lt;=60,K7,IF($C$9&lt;=65,K8,IF($C$9&lt;=70,K9,K10)))))))</f>
        <v>5.9977000000000009E-2</v>
      </c>
      <c r="Q14" s="118">
        <f t="shared" ca="1" si="2"/>
        <v>38</v>
      </c>
      <c r="R14" s="112">
        <f t="shared" si="2"/>
        <v>2036</v>
      </c>
      <c r="S14" s="113">
        <f t="shared" si="3"/>
        <v>155461.51363330238</v>
      </c>
      <c r="T14" s="113">
        <f t="shared" si="4"/>
        <v>311013.17601327517</v>
      </c>
      <c r="U14" s="113">
        <f t="shared" si="4"/>
        <v>622026.35202655033</v>
      </c>
      <c r="V14" s="113">
        <f t="shared" si="6"/>
        <v>1160</v>
      </c>
      <c r="W14" s="113">
        <f t="shared" si="7"/>
        <v>2200</v>
      </c>
      <c r="X14" s="113">
        <f t="shared" si="5"/>
        <v>4758.9331803386222</v>
      </c>
    </row>
    <row r="15" spans="2:24" ht="16.5" customHeight="1" x14ac:dyDescent="0.35">
      <c r="B15" s="120" t="s">
        <v>103</v>
      </c>
      <c r="C15" s="129">
        <f ca="1">E15*C10</f>
        <v>319.976</v>
      </c>
      <c r="D15" s="122" t="s">
        <v>104</v>
      </c>
      <c r="E15" s="132">
        <f ca="1">IF($C$9&lt;=35,L3,IF($C$9&lt;=45,L4,IF($C$9&lt;=50,L5,IF($C$9&lt;=55,L6,IF($C$9&lt;=60,L7,IF($C$9&lt;=65,L8,IF($C$9&lt;=70,L9,L10)))))))</f>
        <v>7.9993999999999996E-2</v>
      </c>
      <c r="Q15" s="118">
        <f t="shared" ca="1" si="2"/>
        <v>39</v>
      </c>
      <c r="R15" s="112">
        <f t="shared" si="2"/>
        <v>2037</v>
      </c>
      <c r="S15" s="113">
        <f t="shared" si="3"/>
        <v>160902.66661046795</v>
      </c>
      <c r="T15" s="113">
        <f t="shared" si="4"/>
        <v>321898.63717373979</v>
      </c>
      <c r="U15" s="113">
        <f t="shared" si="4"/>
        <v>643797.27434747957</v>
      </c>
      <c r="V15" s="113">
        <f t="shared" si="6"/>
        <v>1190</v>
      </c>
      <c r="W15" s="113">
        <f t="shared" si="7"/>
        <v>2260</v>
      </c>
      <c r="X15" s="113">
        <f t="shared" si="5"/>
        <v>4916.4538686078313</v>
      </c>
    </row>
    <row r="16" spans="2:24" ht="16.5" customHeight="1" x14ac:dyDescent="0.35">
      <c r="B16" s="120" t="s">
        <v>105</v>
      </c>
      <c r="C16" s="129">
        <f ca="1">E16*C10</f>
        <v>680</v>
      </c>
      <c r="D16" s="120" t="s">
        <v>106</v>
      </c>
      <c r="E16" s="132">
        <f ca="1">IF($C$9&lt;=35,N3,IF($C$9&lt;=45,N4,IF($C$9&lt;=50,N5,IF($C$9&lt;=55,N6,IF($C$9&lt;=60,N7,IF($C$9&lt;=65,N8,IF($C$9&lt;=70,N9,N10)))))))</f>
        <v>0.17</v>
      </c>
      <c r="Q16" s="118">
        <f t="shared" ca="1" si="2"/>
        <v>40</v>
      </c>
      <c r="R16" s="112">
        <f t="shared" si="2"/>
        <v>2038</v>
      </c>
      <c r="S16" s="113">
        <f t="shared" si="3"/>
        <v>166534.25994183432</v>
      </c>
      <c r="T16" s="113">
        <f t="shared" si="4"/>
        <v>333165.08947482065</v>
      </c>
      <c r="U16" s="113">
        <f t="shared" si="4"/>
        <v>666330.1789496413</v>
      </c>
      <c r="V16" s="113">
        <f t="shared" si="6"/>
        <v>1220</v>
      </c>
      <c r="W16" s="113">
        <f t="shared" si="7"/>
        <v>2320</v>
      </c>
      <c r="X16" s="113">
        <f t="shared" si="5"/>
        <v>5079.1884916587514</v>
      </c>
    </row>
    <row r="17" spans="2:24" ht="16.5" customHeight="1" x14ac:dyDescent="0.35">
      <c r="B17" s="120" t="s">
        <v>107</v>
      </c>
      <c r="C17" s="129">
        <f ca="1">E17*C10</f>
        <v>800</v>
      </c>
      <c r="D17" s="120" t="s">
        <v>108</v>
      </c>
      <c r="E17" s="132">
        <f ca="1">IF($C$9&lt;=35,O3,IF($C$9&lt;=45,O4,IF($C$9&lt;=50,O5,IF($C$9&lt;=55,O6,IF($C$9&lt;=60,O7,IF($C$9&lt;=65,O8,IF($C$9&lt;=70,O9,O10)))))))</f>
        <v>0.2</v>
      </c>
      <c r="Q17" s="118">
        <f t="shared" ca="1" si="2"/>
        <v>41</v>
      </c>
      <c r="R17" s="112">
        <f t="shared" si="2"/>
        <v>2039</v>
      </c>
      <c r="S17" s="113">
        <f t="shared" si="3"/>
        <v>172362.9590397985</v>
      </c>
      <c r="T17" s="113">
        <f t="shared" si="4"/>
        <v>344825.86760643934</v>
      </c>
      <c r="U17" s="113">
        <f t="shared" si="4"/>
        <v>689651.73521287867</v>
      </c>
      <c r="V17" s="113">
        <f>V16+30</f>
        <v>1250</v>
      </c>
      <c r="W17" s="113">
        <f>W16+60</f>
        <v>2380</v>
      </c>
      <c r="X17" s="113">
        <f t="shared" si="5"/>
        <v>5247.3096307326568</v>
      </c>
    </row>
    <row r="18" spans="2:24" ht="16.5" customHeight="1" x14ac:dyDescent="0.35">
      <c r="B18" s="133" t="s">
        <v>109</v>
      </c>
      <c r="C18" s="134">
        <f ca="1">C17+C16</f>
        <v>1480</v>
      </c>
      <c r="D18" s="131"/>
      <c r="E18" s="125"/>
      <c r="Q18" s="118">
        <f t="shared" ca="1" si="2"/>
        <v>42</v>
      </c>
      <c r="R18" s="112">
        <f t="shared" si="2"/>
        <v>2040</v>
      </c>
      <c r="S18" s="113">
        <f t="shared" si="3"/>
        <v>178395.66260619144</v>
      </c>
      <c r="T18" s="113">
        <f t="shared" si="4"/>
        <v>356894.77297266468</v>
      </c>
      <c r="U18" s="113">
        <f t="shared" si="4"/>
        <v>713789.54594532936</v>
      </c>
      <c r="V18" s="113">
        <f>V17+30</f>
        <v>1280</v>
      </c>
      <c r="W18" s="113">
        <f>W17+60</f>
        <v>2440</v>
      </c>
      <c r="X18" s="113">
        <f t="shared" si="5"/>
        <v>5420.9955795099086</v>
      </c>
    </row>
    <row r="19" spans="2:24" ht="16.5" customHeight="1" x14ac:dyDescent="0.35">
      <c r="B19" s="120" t="s">
        <v>110</v>
      </c>
      <c r="C19" s="128">
        <v>21000</v>
      </c>
      <c r="D19" s="120" t="s">
        <v>111</v>
      </c>
      <c r="E19" s="135">
        <f ca="1">C13*12*17</f>
        <v>187703.66400000002</v>
      </c>
      <c r="Q19" s="118">
        <f t="shared" ca="1" si="2"/>
        <v>43</v>
      </c>
      <c r="R19" s="112">
        <f t="shared" si="2"/>
        <v>2041</v>
      </c>
      <c r="S19" s="113">
        <f t="shared" si="3"/>
        <v>184639.51079740812</v>
      </c>
      <c r="T19" s="113">
        <f t="shared" si="4"/>
        <v>369386.09002670791</v>
      </c>
      <c r="U19" s="113">
        <f t="shared" si="4"/>
        <v>738772.18005341582</v>
      </c>
      <c r="V19" s="113">
        <f t="shared" si="6"/>
        <v>1310</v>
      </c>
      <c r="W19" s="113">
        <f t="shared" si="7"/>
        <v>2500</v>
      </c>
      <c r="X19" s="113">
        <f t="shared" si="5"/>
        <v>5600.4305331916876</v>
      </c>
    </row>
    <row r="20" spans="2:24" ht="16.5" customHeight="1" x14ac:dyDescent="0.35">
      <c r="B20" s="120" t="s">
        <v>112</v>
      </c>
      <c r="C20" s="128">
        <v>60000</v>
      </c>
      <c r="D20" s="120" t="s">
        <v>113</v>
      </c>
      <c r="E20" s="135">
        <f ca="1">C14*12*17</f>
        <v>48941.232000000011</v>
      </c>
      <c r="Q20" s="118">
        <f t="shared" ca="1" si="2"/>
        <v>44</v>
      </c>
      <c r="R20" s="112">
        <f t="shared" si="2"/>
        <v>2042</v>
      </c>
      <c r="S20" s="113">
        <f t="shared" si="3"/>
        <v>191101.89367531738</v>
      </c>
      <c r="T20" s="113">
        <f t="shared" si="4"/>
        <v>382314.60317764268</v>
      </c>
      <c r="U20" s="113">
        <f t="shared" si="4"/>
        <v>764629.20635528537</v>
      </c>
      <c r="V20" s="113">
        <f t="shared" si="6"/>
        <v>1340</v>
      </c>
      <c r="W20" s="113">
        <f t="shared" si="7"/>
        <v>2560</v>
      </c>
      <c r="X20" s="113">
        <f t="shared" si="5"/>
        <v>5785.8047838403336</v>
      </c>
    </row>
    <row r="21" spans="2:24" ht="16.5" customHeight="1" x14ac:dyDescent="0.35">
      <c r="B21" s="120" t="s">
        <v>114</v>
      </c>
      <c r="C21" s="128">
        <v>40000</v>
      </c>
      <c r="D21" s="120" t="s">
        <v>115</v>
      </c>
      <c r="E21" s="135">
        <f ca="1">C15*12*17</f>
        <v>65275.103999999999</v>
      </c>
      <c r="F21" s="136"/>
      <c r="Q21" s="118">
        <f t="shared" ref="Q21:R36" ca="1" si="8">Q20+1</f>
        <v>45</v>
      </c>
      <c r="R21" s="112">
        <f t="shared" si="8"/>
        <v>2043</v>
      </c>
      <c r="S21" s="113">
        <f t="shared" si="3"/>
        <v>197790.45995395348</v>
      </c>
      <c r="T21" s="113">
        <f t="shared" si="4"/>
        <v>395695.61428886012</v>
      </c>
      <c r="U21" s="113">
        <f t="shared" si="4"/>
        <v>791391.22857772023</v>
      </c>
      <c r="V21" s="113">
        <f t="shared" si="6"/>
        <v>1370</v>
      </c>
      <c r="W21" s="113">
        <f t="shared" si="7"/>
        <v>2620</v>
      </c>
      <c r="X21" s="113">
        <f t="shared" si="5"/>
        <v>5977.3149221854492</v>
      </c>
    </row>
    <row r="22" spans="2:24" ht="16.5" customHeight="1" x14ac:dyDescent="0.35">
      <c r="B22" s="120"/>
      <c r="C22" s="137"/>
      <c r="D22" s="136"/>
      <c r="E22" s="136"/>
      <c r="F22" s="136"/>
      <c r="Q22" s="118">
        <f t="shared" ca="1" si="8"/>
        <v>46</v>
      </c>
      <c r="R22" s="112">
        <f t="shared" si="8"/>
        <v>2044</v>
      </c>
      <c r="S22" s="113">
        <f t="shared" si="3"/>
        <v>204713.12605234183</v>
      </c>
      <c r="T22" s="113">
        <f t="shared" si="4"/>
        <v>409544.96078897017</v>
      </c>
      <c r="U22" s="113">
        <f t="shared" si="4"/>
        <v>819089.92157794035</v>
      </c>
      <c r="V22" s="113">
        <f t="shared" si="6"/>
        <v>1400</v>
      </c>
      <c r="W22" s="113">
        <f t="shared" si="7"/>
        <v>2680</v>
      </c>
      <c r="X22" s="113">
        <f t="shared" si="5"/>
        <v>6175.1640461097886</v>
      </c>
    </row>
    <row r="23" spans="2:24" ht="16.5" customHeight="1" x14ac:dyDescent="0.45">
      <c r="B23" s="119" t="s">
        <v>116</v>
      </c>
      <c r="C23" s="137"/>
      <c r="D23" s="136"/>
      <c r="E23" s="136"/>
      <c r="F23" s="136"/>
      <c r="Q23" s="118">
        <f t="shared" ca="1" si="8"/>
        <v>47</v>
      </c>
      <c r="R23" s="112">
        <f t="shared" si="8"/>
        <v>2045</v>
      </c>
      <c r="S23" s="113">
        <f t="shared" si="3"/>
        <v>211878.08546417378</v>
      </c>
      <c r="T23" s="113">
        <f t="shared" ref="T23:U38" si="9">T22*103.5%</f>
        <v>423879.03441658412</v>
      </c>
      <c r="U23" s="113">
        <f t="shared" si="9"/>
        <v>847758.06883316825</v>
      </c>
      <c r="V23" s="113">
        <f>V22+30</f>
        <v>1430</v>
      </c>
      <c r="W23" s="113">
        <f>W22+60</f>
        <v>2740</v>
      </c>
      <c r="X23" s="113">
        <f t="shared" si="5"/>
        <v>6379.5619760360232</v>
      </c>
    </row>
    <row r="24" spans="2:24" ht="16.5" customHeight="1" x14ac:dyDescent="0.35">
      <c r="B24" s="120" t="s">
        <v>117</v>
      </c>
      <c r="C24" s="126">
        <f ca="1">YEAR(TODAY()) + (55 - (YEAR(TODAY()) - YEAR(C8)))</f>
        <v>2054</v>
      </c>
      <c r="D24" s="120" t="s">
        <v>118</v>
      </c>
      <c r="E24" s="138">
        <f ca="1">$C$24-YEAR(TODAY())</f>
        <v>28</v>
      </c>
      <c r="F24" s="136"/>
      <c r="Q24" s="118">
        <f t="shared" ca="1" si="8"/>
        <v>48</v>
      </c>
      <c r="R24" s="112">
        <f t="shared" si="8"/>
        <v>2046</v>
      </c>
      <c r="S24" s="113">
        <f t="shared" si="3"/>
        <v>219293.81845541985</v>
      </c>
      <c r="T24" s="113">
        <f t="shared" si="9"/>
        <v>438714.80062116456</v>
      </c>
      <c r="U24" s="113">
        <f t="shared" si="9"/>
        <v>877429.60124232911</v>
      </c>
      <c r="V24" s="113">
        <f t="shared" ref="V24:V38" si="10">V23+30</f>
        <v>1460</v>
      </c>
      <c r="W24" s="113">
        <f t="shared" ref="W24:W38" si="11">W23+60</f>
        <v>2800</v>
      </c>
      <c r="X24" s="113">
        <f t="shared" si="5"/>
        <v>6590.7254774428166</v>
      </c>
    </row>
    <row r="25" spans="2:24" ht="16.5" customHeight="1" x14ac:dyDescent="0.35">
      <c r="B25" s="120" t="s">
        <v>119</v>
      </c>
      <c r="C25" s="129">
        <f ca="1">INDEX($S$2:$S$39,MATCH($C$24,$R$2:$R$39,1))</f>
        <v>288768.08189230872</v>
      </c>
      <c r="D25" s="120" t="s">
        <v>120</v>
      </c>
      <c r="E25" s="129">
        <f ca="1">INDEX($V$2:$V$39,MATCH($C$24,$R$2:$R$39,1))</f>
        <v>1700</v>
      </c>
      <c r="F25" s="136"/>
      <c r="Q25" s="118">
        <f t="shared" ca="1" si="8"/>
        <v>49</v>
      </c>
      <c r="R25" s="112">
        <f t="shared" si="8"/>
        <v>2047</v>
      </c>
      <c r="S25" s="113">
        <f t="shared" si="3"/>
        <v>226969.10210135952</v>
      </c>
      <c r="T25" s="113">
        <f t="shared" si="9"/>
        <v>454069.81864290527</v>
      </c>
      <c r="U25" s="113">
        <f t="shared" si="9"/>
        <v>908139.63728581055</v>
      </c>
      <c r="V25" s="113">
        <f t="shared" si="10"/>
        <v>1490</v>
      </c>
      <c r="W25" s="113">
        <f t="shared" si="11"/>
        <v>2860</v>
      </c>
      <c r="X25" s="113">
        <f t="shared" si="5"/>
        <v>6808.878490746175</v>
      </c>
    </row>
    <row r="26" spans="2:24" ht="16.5" customHeight="1" x14ac:dyDescent="0.35">
      <c r="B26" s="120" t="s">
        <v>121</v>
      </c>
      <c r="C26" s="129">
        <f ca="1">INDEX($T$2:$T$39,MATCH($C$24,$R$2:$R$39,1))</f>
        <v>577703.61410754698</v>
      </c>
      <c r="D26" s="120" t="s">
        <v>120</v>
      </c>
      <c r="E26" s="129">
        <f ca="1">INDEX($W$2:$W$39,MATCH($C$24,$R$2:$R$39,1))</f>
        <v>3280</v>
      </c>
      <c r="F26" s="136"/>
      <c r="Q26" s="118">
        <f t="shared" ca="1" si="8"/>
        <v>50</v>
      </c>
      <c r="R26" s="112">
        <f t="shared" si="8"/>
        <v>2048</v>
      </c>
      <c r="S26" s="113">
        <f t="shared" si="3"/>
        <v>234913.02067490708</v>
      </c>
      <c r="T26" s="113">
        <f t="shared" si="9"/>
        <v>469962.26229540689</v>
      </c>
      <c r="U26" s="113">
        <f t="shared" si="9"/>
        <v>939924.52459081379</v>
      </c>
      <c r="V26" s="113">
        <f t="shared" si="10"/>
        <v>1520</v>
      </c>
      <c r="W26" s="113">
        <f t="shared" si="11"/>
        <v>2920</v>
      </c>
      <c r="X26" s="113">
        <f t="shared" si="5"/>
        <v>7034.2523687898738</v>
      </c>
    </row>
    <row r="27" spans="2:24" ht="16.5" customHeight="1" x14ac:dyDescent="0.35">
      <c r="B27" s="120" t="s">
        <v>122</v>
      </c>
      <c r="C27" s="129">
        <f ca="1">INDEX($U$2:$U$39,MATCH($C$24,$R$2:$R$39,1))</f>
        <v>1155407.228215094</v>
      </c>
      <c r="D27" s="120" t="s">
        <v>120</v>
      </c>
      <c r="E27" s="129">
        <f ca="1">INDEX($X$2:$X$39,MATCH($C$24,$R$2:$R$39,1))</f>
        <v>8552.0870883899897</v>
      </c>
      <c r="F27" s="136"/>
      <c r="Q27" s="118">
        <f t="shared" ca="1" si="8"/>
        <v>51</v>
      </c>
      <c r="R27" s="112">
        <f t="shared" si="8"/>
        <v>2049</v>
      </c>
      <c r="S27" s="113">
        <f t="shared" si="3"/>
        <v>243134.97639852882</v>
      </c>
      <c r="T27" s="113">
        <f t="shared" si="9"/>
        <v>486410.94147574611</v>
      </c>
      <c r="U27" s="113">
        <f t="shared" si="9"/>
        <v>972821.88295149221</v>
      </c>
      <c r="V27" s="113">
        <f t="shared" si="10"/>
        <v>1550</v>
      </c>
      <c r="W27" s="113">
        <f t="shared" si="11"/>
        <v>2980</v>
      </c>
      <c r="X27" s="113">
        <f t="shared" si="5"/>
        <v>7267.0861221968198</v>
      </c>
    </row>
    <row r="28" spans="2:24" ht="16.5" customHeight="1" x14ac:dyDescent="0.35">
      <c r="F28" s="136"/>
      <c r="Q28" s="118">
        <f t="shared" ca="1" si="8"/>
        <v>52</v>
      </c>
      <c r="R28" s="112">
        <f t="shared" si="8"/>
        <v>2050</v>
      </c>
      <c r="S28" s="113">
        <f t="shared" si="3"/>
        <v>251644.7005724773</v>
      </c>
      <c r="T28" s="113">
        <f t="shared" si="9"/>
        <v>503435.32442739716</v>
      </c>
      <c r="U28" s="113">
        <f t="shared" si="9"/>
        <v>1006870.6488547943</v>
      </c>
      <c r="V28" s="113">
        <f t="shared" si="10"/>
        <v>1580</v>
      </c>
      <c r="W28" s="113">
        <f t="shared" si="11"/>
        <v>3040</v>
      </c>
      <c r="X28" s="113">
        <f t="shared" si="5"/>
        <v>7507.6266728415358</v>
      </c>
    </row>
    <row r="29" spans="2:24" ht="16.5" customHeight="1" x14ac:dyDescent="0.35">
      <c r="B29" s="96" t="s">
        <v>123</v>
      </c>
      <c r="C29" s="139">
        <v>0.02</v>
      </c>
      <c r="D29" s="120" t="s">
        <v>124</v>
      </c>
      <c r="E29" s="129">
        <f ca="1">FV(-$C$29,$C$24-YEAR(TODAY()),0,-E25)</f>
        <v>965.55949911510027</v>
      </c>
      <c r="F29" s="136"/>
      <c r="Q29" s="118">
        <f t="shared" ca="1" si="8"/>
        <v>53</v>
      </c>
      <c r="R29" s="112">
        <f t="shared" si="8"/>
        <v>2051</v>
      </c>
      <c r="S29" s="113">
        <f t="shared" si="3"/>
        <v>260452.26509251399</v>
      </c>
      <c r="T29" s="113">
        <f t="shared" si="9"/>
        <v>521055.56078235601</v>
      </c>
      <c r="U29" s="113">
        <f t="shared" si="9"/>
        <v>1042111.121564712</v>
      </c>
      <c r="V29" s="113">
        <f t="shared" si="10"/>
        <v>1610</v>
      </c>
      <c r="W29" s="113">
        <f t="shared" si="11"/>
        <v>3100</v>
      </c>
      <c r="X29" s="113">
        <f t="shared" si="5"/>
        <v>7756.1291157125916</v>
      </c>
    </row>
    <row r="30" spans="2:24" ht="16.5" customHeight="1" x14ac:dyDescent="0.35">
      <c r="D30" s="120" t="s">
        <v>125</v>
      </c>
      <c r="E30" s="129">
        <f ca="1">FV(-$C$29,$C$24-YEAR(TODAY()),0,-E26)</f>
        <v>1862.9618571161936</v>
      </c>
      <c r="F30" s="136"/>
      <c r="Q30" s="118">
        <f t="shared" ca="1" si="8"/>
        <v>54</v>
      </c>
      <c r="R30" s="112">
        <f t="shared" si="8"/>
        <v>2052</v>
      </c>
      <c r="S30" s="113">
        <f t="shared" si="3"/>
        <v>269568.09437075193</v>
      </c>
      <c r="T30" s="113">
        <f t="shared" si="9"/>
        <v>539292.5054097384</v>
      </c>
      <c r="U30" s="113">
        <f t="shared" si="9"/>
        <v>1078585.0108194768</v>
      </c>
      <c r="V30" s="113">
        <f t="shared" si="10"/>
        <v>1640</v>
      </c>
      <c r="W30" s="113">
        <f t="shared" si="11"/>
        <v>3160</v>
      </c>
      <c r="X30" s="113">
        <f t="shared" si="5"/>
        <v>8012.8569894426792</v>
      </c>
    </row>
    <row r="31" spans="2:24" ht="16.5" customHeight="1" x14ac:dyDescent="0.35">
      <c r="D31" s="120" t="s">
        <v>126</v>
      </c>
      <c r="E31" s="129">
        <f ca="1">FV(-$C$29,$C$24-YEAR(TODAY()),0,-E27)</f>
        <v>4857.3817208556202</v>
      </c>
      <c r="F31" s="136"/>
      <c r="Q31" s="118">
        <f t="shared" ca="1" si="8"/>
        <v>55</v>
      </c>
      <c r="R31" s="112">
        <f t="shared" si="8"/>
        <v>2053</v>
      </c>
      <c r="S31" s="113">
        <f t="shared" si="3"/>
        <v>279002.97767372825</v>
      </c>
      <c r="T31" s="113">
        <f t="shared" si="9"/>
        <v>558167.74309907923</v>
      </c>
      <c r="U31" s="113">
        <f t="shared" si="9"/>
        <v>1116335.4861981585</v>
      </c>
      <c r="V31" s="113">
        <f t="shared" si="10"/>
        <v>1670</v>
      </c>
      <c r="W31" s="113">
        <f t="shared" si="11"/>
        <v>3220</v>
      </c>
      <c r="X31" s="113">
        <f t="shared" si="5"/>
        <v>8278.082555793233</v>
      </c>
    </row>
    <row r="32" spans="2:24" ht="16.5" customHeight="1" x14ac:dyDescent="0.35">
      <c r="F32" s="136"/>
      <c r="Q32" s="118">
        <f t="shared" ca="1" si="8"/>
        <v>56</v>
      </c>
      <c r="R32" s="112">
        <f t="shared" si="8"/>
        <v>2054</v>
      </c>
      <c r="S32" s="113">
        <f t="shared" si="3"/>
        <v>288768.08189230872</v>
      </c>
      <c r="T32" s="113">
        <f t="shared" si="9"/>
        <v>577703.61410754698</v>
      </c>
      <c r="U32" s="113">
        <f t="shared" si="9"/>
        <v>1155407.228215094</v>
      </c>
      <c r="V32" s="113">
        <f t="shared" si="10"/>
        <v>1700</v>
      </c>
      <c r="W32" s="113">
        <f t="shared" si="11"/>
        <v>3280</v>
      </c>
      <c r="X32" s="113">
        <f t="shared" si="5"/>
        <v>8552.0870883899897</v>
      </c>
    </row>
    <row r="33" spans="2:24" ht="16.5" customHeight="1" x14ac:dyDescent="0.45">
      <c r="B33" s="119" t="s">
        <v>127</v>
      </c>
      <c r="C33" s="137"/>
      <c r="D33" s="136"/>
      <c r="E33" s="136"/>
      <c r="F33" s="136"/>
      <c r="Q33" s="118">
        <f t="shared" ca="1" si="8"/>
        <v>57</v>
      </c>
      <c r="R33" s="112">
        <f t="shared" si="8"/>
        <v>2055</v>
      </c>
      <c r="S33" s="113">
        <f t="shared" si="3"/>
        <v>298874.96475853951</v>
      </c>
      <c r="T33" s="113">
        <f t="shared" si="9"/>
        <v>597923.24060131109</v>
      </c>
      <c r="U33" s="113">
        <f t="shared" si="9"/>
        <v>1195846.4812026222</v>
      </c>
      <c r="V33" s="113">
        <f t="shared" si="10"/>
        <v>1730</v>
      </c>
      <c r="W33" s="113">
        <f t="shared" si="11"/>
        <v>3340</v>
      </c>
      <c r="X33" s="113">
        <f t="shared" si="5"/>
        <v>8835.1611710156994</v>
      </c>
    </row>
    <row r="34" spans="2:24" ht="16.5" customHeight="1" x14ac:dyDescent="0.35">
      <c r="B34" s="120" t="s">
        <v>128</v>
      </c>
      <c r="C34" s="140">
        <f ca="1">C25*(1+0.04)^10</f>
        <v>427447.3028879225</v>
      </c>
      <c r="D34" s="120" t="s">
        <v>129</v>
      </c>
      <c r="E34" s="140">
        <f ca="1">C26*(1+0.04)^10</f>
        <v>855142.4731593692</v>
      </c>
      <c r="F34" s="136"/>
      <c r="Q34" s="118">
        <f t="shared" ca="1" si="8"/>
        <v>58</v>
      </c>
      <c r="R34" s="112">
        <f t="shared" si="8"/>
        <v>2056</v>
      </c>
      <c r="S34" s="113">
        <f t="shared" si="3"/>
        <v>309335.58852508839</v>
      </c>
      <c r="T34" s="113">
        <f t="shared" si="9"/>
        <v>618850.55402235698</v>
      </c>
      <c r="U34" s="113">
        <f t="shared" si="9"/>
        <v>1237701.108044714</v>
      </c>
      <c r="V34" s="113">
        <f t="shared" si="10"/>
        <v>1760</v>
      </c>
      <c r="W34" s="113">
        <f t="shared" si="11"/>
        <v>3400</v>
      </c>
      <c r="X34" s="113">
        <f t="shared" si="5"/>
        <v>9127.6050057763205</v>
      </c>
    </row>
    <row r="35" spans="2:24" ht="16.5" customHeight="1" x14ac:dyDescent="0.35">
      <c r="B35" s="120" t="s">
        <v>130</v>
      </c>
      <c r="C35" s="140">
        <f ca="1">E25*12*15</f>
        <v>306000</v>
      </c>
      <c r="D35" s="120" t="s">
        <v>130</v>
      </c>
      <c r="E35" s="140">
        <f ca="1">E26*12*15</f>
        <v>590400</v>
      </c>
      <c r="F35" s="136"/>
      <c r="Q35" s="118">
        <f t="shared" ca="1" si="8"/>
        <v>59</v>
      </c>
      <c r="R35" s="112">
        <f t="shared" si="8"/>
        <v>2057</v>
      </c>
      <c r="S35" s="113">
        <f t="shared" si="3"/>
        <v>320162.33412346645</v>
      </c>
      <c r="T35" s="113">
        <f t="shared" si="9"/>
        <v>640510.32341313944</v>
      </c>
      <c r="U35" s="113">
        <f t="shared" si="9"/>
        <v>1281020.6468262789</v>
      </c>
      <c r="V35" s="113">
        <f t="shared" si="10"/>
        <v>1790</v>
      </c>
      <c r="W35" s="113">
        <f t="shared" si="11"/>
        <v>3460</v>
      </c>
      <c r="X35" s="113">
        <f t="shared" si="5"/>
        <v>9429.7287314675177</v>
      </c>
    </row>
    <row r="36" spans="2:24" ht="16.5" customHeight="1" x14ac:dyDescent="0.35">
      <c r="B36" s="120" t="s">
        <v>131</v>
      </c>
      <c r="C36" s="141">
        <f ca="1">C34-C35</f>
        <v>121447.3028879225</v>
      </c>
      <c r="D36" s="120" t="s">
        <v>131</v>
      </c>
      <c r="E36" s="141">
        <f ca="1">E34-E35</f>
        <v>264742.4731593692</v>
      </c>
      <c r="F36" s="136"/>
      <c r="Q36" s="118">
        <f t="shared" ca="1" si="8"/>
        <v>60</v>
      </c>
      <c r="R36" s="112">
        <f t="shared" si="8"/>
        <v>2058</v>
      </c>
      <c r="S36" s="113">
        <f t="shared" si="3"/>
        <v>331368.01581778773</v>
      </c>
      <c r="T36" s="113">
        <f t="shared" si="9"/>
        <v>662928.1847325993</v>
      </c>
      <c r="U36" s="113">
        <f t="shared" si="9"/>
        <v>1325856.3694651986</v>
      </c>
      <c r="V36" s="113">
        <f t="shared" si="10"/>
        <v>1820</v>
      </c>
      <c r="W36" s="113">
        <f t="shared" si="11"/>
        <v>3520</v>
      </c>
      <c r="X36" s="113">
        <f t="shared" si="5"/>
        <v>9741.8527524790934</v>
      </c>
    </row>
    <row r="37" spans="2:24" ht="16.5" customHeight="1" x14ac:dyDescent="0.35">
      <c r="B37" s="120"/>
      <c r="C37" s="126"/>
      <c r="D37" s="136"/>
      <c r="E37" s="136"/>
      <c r="F37" s="136"/>
      <c r="Q37" s="118">
        <f t="shared" ref="Q37:R38" ca="1" si="12">Q36+1</f>
        <v>61</v>
      </c>
      <c r="R37" s="112">
        <f t="shared" si="12"/>
        <v>2059</v>
      </c>
      <c r="S37" s="113">
        <f t="shared" si="3"/>
        <v>342965.89637141029</v>
      </c>
      <c r="T37" s="113">
        <f t="shared" si="9"/>
        <v>686130.67119824025</v>
      </c>
      <c r="U37" s="113">
        <f t="shared" si="9"/>
        <v>1372261.3423964805</v>
      </c>
      <c r="V37" s="113">
        <f t="shared" si="10"/>
        <v>1850</v>
      </c>
      <c r="W37" s="113">
        <f t="shared" si="11"/>
        <v>3580</v>
      </c>
      <c r="X37" s="113">
        <f t="shared" si="5"/>
        <v>10064.308078586153</v>
      </c>
    </row>
    <row r="38" spans="2:24" ht="16.5" customHeight="1" x14ac:dyDescent="0.45">
      <c r="B38" s="119"/>
      <c r="C38" s="137"/>
      <c r="D38" s="136"/>
      <c r="E38" s="136"/>
      <c r="F38" s="136"/>
      <c r="Q38" s="118">
        <f t="shared" ca="1" si="12"/>
        <v>62</v>
      </c>
      <c r="R38" s="112">
        <f t="shared" si="12"/>
        <v>2060</v>
      </c>
      <c r="S38" s="113">
        <f t="shared" si="3"/>
        <v>354969.70274440962</v>
      </c>
      <c r="T38" s="113">
        <f t="shared" si="9"/>
        <v>710145.24469017854</v>
      </c>
      <c r="U38" s="113">
        <f t="shared" si="9"/>
        <v>1420290.4893803571</v>
      </c>
      <c r="V38" s="113">
        <f t="shared" si="10"/>
        <v>1880</v>
      </c>
      <c r="W38" s="113">
        <f t="shared" si="11"/>
        <v>3640</v>
      </c>
      <c r="X38" s="113">
        <f t="shared" si="5"/>
        <v>10397.436675987356</v>
      </c>
    </row>
    <row r="39" spans="2:24" ht="16.5" customHeight="1" x14ac:dyDescent="0.45">
      <c r="B39" s="119" t="s">
        <v>132</v>
      </c>
      <c r="C39" s="137"/>
      <c r="D39" s="136"/>
      <c r="E39" s="136"/>
      <c r="F39" s="136"/>
      <c r="Q39" s="118">
        <f ca="1">Q38+1</f>
        <v>63</v>
      </c>
      <c r="R39" s="112">
        <f>R38+1</f>
        <v>2061</v>
      </c>
      <c r="S39" s="113">
        <f>(S38+3900)</f>
        <v>358869.70274440962</v>
      </c>
      <c r="T39" s="113">
        <f t="shared" ref="T39:U39" si="13">T38*103.5%</f>
        <v>735000.32825433474</v>
      </c>
      <c r="U39" s="113">
        <f t="shared" si="13"/>
        <v>1470000.6565086695</v>
      </c>
      <c r="V39" s="113">
        <f>V38+30</f>
        <v>1910</v>
      </c>
      <c r="W39" s="113">
        <f>W38+60</f>
        <v>3700</v>
      </c>
      <c r="X39" s="113">
        <f t="shared" si="5"/>
        <v>10741.591829962539</v>
      </c>
    </row>
    <row r="40" spans="2:24" ht="16.5" customHeight="1" x14ac:dyDescent="0.35">
      <c r="B40" s="120" t="s">
        <v>133</v>
      </c>
      <c r="C40" s="142" t="s">
        <v>134</v>
      </c>
      <c r="D40" s="136"/>
      <c r="E40" s="136"/>
      <c r="F40" s="136"/>
    </row>
    <row r="41" spans="2:24" ht="16.5" customHeight="1" x14ac:dyDescent="0.35">
      <c r="B41" s="120" t="s">
        <v>135</v>
      </c>
      <c r="C41" s="142" t="s">
        <v>134</v>
      </c>
      <c r="D41" s="136"/>
      <c r="E41" s="136"/>
      <c r="F41" s="136"/>
    </row>
    <row r="42" spans="2:24" ht="16.5" customHeight="1" x14ac:dyDescent="0.35">
      <c r="B42" s="120" t="s">
        <v>136</v>
      </c>
      <c r="C42" s="142" t="s">
        <v>134</v>
      </c>
      <c r="D42" s="120" t="s">
        <v>137</v>
      </c>
      <c r="E42" s="143">
        <v>67</v>
      </c>
      <c r="F42" s="136"/>
    </row>
    <row r="43" spans="2:24" ht="16.5" customHeight="1" x14ac:dyDescent="0.35">
      <c r="B43" s="137"/>
      <c r="C43" s="137"/>
      <c r="D43" s="136"/>
      <c r="E43" s="136"/>
      <c r="F43" s="136"/>
    </row>
    <row r="44" spans="2:24" ht="16.5" customHeight="1" x14ac:dyDescent="0.35">
      <c r="B44" s="137"/>
      <c r="C44" s="137"/>
      <c r="D44" s="136"/>
      <c r="E44" s="136"/>
      <c r="F44" s="144"/>
    </row>
    <row r="45" spans="2:24" ht="16.5" customHeight="1" x14ac:dyDescent="0.35">
      <c r="B45" s="145" t="s">
        <v>138</v>
      </c>
      <c r="C45" s="145"/>
      <c r="D45" s="144">
        <v>65</v>
      </c>
      <c r="E45" s="144"/>
      <c r="F45" s="144"/>
    </row>
    <row r="46" spans="2:24" ht="16.5" customHeight="1" x14ac:dyDescent="0.35">
      <c r="B46" s="145" t="s">
        <v>139</v>
      </c>
      <c r="C46" s="145"/>
      <c r="D46" s="144">
        <f>E47-D45</f>
        <v>25</v>
      </c>
      <c r="E46" s="144"/>
      <c r="F46" s="146" t="s">
        <v>140</v>
      </c>
    </row>
    <row r="47" spans="2:24" ht="16.5" customHeight="1" x14ac:dyDescent="0.35">
      <c r="B47" s="145"/>
      <c r="C47" s="145"/>
      <c r="D47" s="146" t="s">
        <v>141</v>
      </c>
      <c r="E47" s="147">
        <v>90</v>
      </c>
      <c r="F47" s="148"/>
    </row>
    <row r="48" spans="2:24" ht="16.5" customHeight="1" x14ac:dyDescent="0.35">
      <c r="B48" s="145" t="s">
        <v>142</v>
      </c>
      <c r="C48" s="145"/>
      <c r="D48" s="149" t="e">
        <f>D45-#REF!</f>
        <v>#REF!</v>
      </c>
      <c r="E48" s="150"/>
      <c r="F48" s="151"/>
    </row>
    <row r="49" spans="2:6" ht="16.5" customHeight="1" x14ac:dyDescent="0.35">
      <c r="B49" s="145" t="s">
        <v>143</v>
      </c>
      <c r="C49" s="145"/>
      <c r="D49" s="152">
        <f>D51</f>
        <v>1000</v>
      </c>
      <c r="E49" s="153"/>
    </row>
    <row r="50" spans="2:6" ht="16.5" customHeight="1" x14ac:dyDescent="0.35">
      <c r="B50" s="154"/>
      <c r="C50" s="154"/>
      <c r="F50" s="155">
        <v>0.02</v>
      </c>
    </row>
    <row r="51" spans="2:6" ht="16.5" customHeight="1" x14ac:dyDescent="0.35">
      <c r="B51" s="145" t="s">
        <v>144</v>
      </c>
      <c r="C51" s="145"/>
      <c r="D51" s="156">
        <v>1000</v>
      </c>
      <c r="E51" s="157" t="s">
        <v>145</v>
      </c>
      <c r="F51" s="158">
        <f ca="1">FV(F50,$D$117,0,-D51)</f>
        <v>2122.2987924018184</v>
      </c>
    </row>
    <row r="52" spans="2:6" ht="16.5" customHeight="1" x14ac:dyDescent="0.35">
      <c r="B52" s="145" t="s">
        <v>146</v>
      </c>
      <c r="C52" s="145"/>
      <c r="D52" s="149">
        <f>D45</f>
        <v>65</v>
      </c>
      <c r="E52" s="159" t="s">
        <v>147</v>
      </c>
      <c r="F52" s="158">
        <f ca="1">F51*D53*12</f>
        <v>636689.63772054552</v>
      </c>
    </row>
    <row r="53" spans="2:6" ht="16.5" customHeight="1" x14ac:dyDescent="0.35">
      <c r="B53" s="145" t="s">
        <v>148</v>
      </c>
      <c r="C53" s="145"/>
      <c r="D53" s="160">
        <f>D46</f>
        <v>25</v>
      </c>
      <c r="E53" s="161" t="s">
        <v>147</v>
      </c>
      <c r="F53" s="136"/>
    </row>
    <row r="54" spans="2:6" ht="16.5" customHeight="1" x14ac:dyDescent="0.35">
      <c r="B54" s="137"/>
      <c r="C54" s="137"/>
      <c r="D54" s="136"/>
      <c r="E54" s="136"/>
      <c r="F54" s="136"/>
    </row>
    <row r="55" spans="2:6" ht="16.5" customHeight="1" x14ac:dyDescent="0.35">
      <c r="B55" s="137"/>
      <c r="C55" s="137"/>
      <c r="D55" s="136"/>
      <c r="E55" s="136"/>
      <c r="F55" s="136"/>
    </row>
    <row r="56" spans="2:6" ht="16.5" customHeight="1" x14ac:dyDescent="0.35">
      <c r="B56" s="137"/>
      <c r="C56" s="137"/>
      <c r="D56" s="136"/>
      <c r="E56" s="136"/>
      <c r="F56" s="136"/>
    </row>
    <row r="57" spans="2:6" ht="16.5" customHeight="1" x14ac:dyDescent="0.35">
      <c r="B57" s="137"/>
      <c r="C57" s="137"/>
      <c r="D57" s="136"/>
      <c r="E57" s="136"/>
      <c r="F57" s="136"/>
    </row>
    <row r="58" spans="2:6" ht="16.5" customHeight="1" x14ac:dyDescent="0.35">
      <c r="B58" s="137"/>
      <c r="C58" s="137"/>
      <c r="D58" s="136"/>
      <c r="E58" s="136"/>
      <c r="F58" s="136"/>
    </row>
    <row r="59" spans="2:6" ht="16.5" customHeight="1" x14ac:dyDescent="0.35">
      <c r="B59" s="137"/>
      <c r="C59" s="137"/>
      <c r="D59" s="136"/>
      <c r="E59" s="136"/>
      <c r="F59" s="136"/>
    </row>
    <row r="60" spans="2:6" ht="16.5" customHeight="1" x14ac:dyDescent="0.35">
      <c r="B60" s="137"/>
      <c r="C60" s="137"/>
      <c r="D60" s="136"/>
      <c r="E60" s="136"/>
      <c r="F60" s="136"/>
    </row>
    <row r="61" spans="2:6" ht="16.5" customHeight="1" x14ac:dyDescent="0.35">
      <c r="B61" s="137"/>
      <c r="C61" s="137"/>
      <c r="D61" s="136"/>
      <c r="E61" s="136"/>
      <c r="F61" s="136"/>
    </row>
    <row r="62" spans="2:6" ht="16.5" customHeight="1" x14ac:dyDescent="0.35">
      <c r="B62" s="137"/>
      <c r="C62" s="137"/>
      <c r="D62" s="136"/>
      <c r="E62" s="136"/>
      <c r="F62" s="136"/>
    </row>
    <row r="63" spans="2:6" ht="16.5" customHeight="1" x14ac:dyDescent="0.35">
      <c r="B63" s="137"/>
      <c r="C63" s="137"/>
      <c r="D63" s="136"/>
      <c r="E63" s="136"/>
      <c r="F63" s="136"/>
    </row>
    <row r="64" spans="2:6" ht="16.5" customHeight="1" x14ac:dyDescent="0.35">
      <c r="B64" s="137"/>
      <c r="C64" s="137"/>
      <c r="D64" s="136"/>
      <c r="E64" s="136"/>
      <c r="F64" s="136"/>
    </row>
    <row r="65" spans="2:6" ht="16.5" customHeight="1" x14ac:dyDescent="0.35">
      <c r="B65" s="137"/>
      <c r="C65" s="137"/>
      <c r="D65" s="136"/>
      <c r="E65" s="136"/>
      <c r="F65" s="136"/>
    </row>
    <row r="66" spans="2:6" ht="16.5" customHeight="1" x14ac:dyDescent="0.35">
      <c r="B66" s="137"/>
      <c r="C66" s="137"/>
      <c r="D66" s="136"/>
      <c r="E66" s="136"/>
      <c r="F66" s="136"/>
    </row>
    <row r="67" spans="2:6" ht="16.5" customHeight="1" x14ac:dyDescent="0.35">
      <c r="B67" s="137"/>
      <c r="C67" s="137"/>
      <c r="D67" s="136"/>
      <c r="E67" s="136"/>
      <c r="F67" s="136"/>
    </row>
    <row r="68" spans="2:6" ht="16.5" customHeight="1" x14ac:dyDescent="0.35">
      <c r="B68" s="137"/>
      <c r="C68" s="137"/>
      <c r="D68" s="136"/>
      <c r="E68" s="136"/>
      <c r="F68" s="136"/>
    </row>
    <row r="69" spans="2:6" ht="16.5" customHeight="1" x14ac:dyDescent="0.35">
      <c r="B69" s="137"/>
      <c r="C69" s="137"/>
      <c r="D69" s="136"/>
      <c r="E69" s="136"/>
      <c r="F69" s="136"/>
    </row>
    <row r="70" spans="2:6" ht="16.5" customHeight="1" x14ac:dyDescent="0.35">
      <c r="B70" s="137"/>
      <c r="C70" s="137"/>
      <c r="D70" s="136"/>
      <c r="E70" s="136"/>
      <c r="F70" s="136"/>
    </row>
    <row r="71" spans="2:6" ht="16.5" customHeight="1" x14ac:dyDescent="0.35">
      <c r="B71" s="137"/>
      <c r="C71" s="137"/>
      <c r="D71" s="136"/>
      <c r="E71" s="136"/>
      <c r="F71" s="136"/>
    </row>
    <row r="72" spans="2:6" ht="16.5" customHeight="1" x14ac:dyDescent="0.35">
      <c r="B72" s="137"/>
      <c r="C72" s="137"/>
      <c r="D72" s="136"/>
      <c r="E72" s="136"/>
      <c r="F72" s="136"/>
    </row>
    <row r="73" spans="2:6" ht="16.5" customHeight="1" x14ac:dyDescent="0.35">
      <c r="B73" s="137"/>
      <c r="C73" s="137"/>
      <c r="D73" s="136"/>
      <c r="E73" s="136"/>
      <c r="F73" s="136"/>
    </row>
    <row r="74" spans="2:6" ht="16.5" customHeight="1" x14ac:dyDescent="0.35">
      <c r="B74" s="137"/>
      <c r="C74" s="137"/>
      <c r="D74" s="136"/>
      <c r="E74" s="136"/>
      <c r="F74" s="136"/>
    </row>
    <row r="75" spans="2:6" ht="16.5" customHeight="1" x14ac:dyDescent="0.35">
      <c r="B75" s="137"/>
      <c r="C75" s="137"/>
      <c r="D75" s="136"/>
      <c r="E75" s="136"/>
      <c r="F75" s="136"/>
    </row>
    <row r="76" spans="2:6" ht="16.5" customHeight="1" x14ac:dyDescent="0.35">
      <c r="B76" s="137"/>
      <c r="C76" s="137"/>
      <c r="D76" s="136"/>
      <c r="E76" s="136"/>
      <c r="F76" s="136"/>
    </row>
    <row r="77" spans="2:6" ht="16.5" customHeight="1" x14ac:dyDescent="0.35">
      <c r="B77" s="137"/>
      <c r="C77" s="137"/>
      <c r="D77" s="136"/>
      <c r="E77" s="136"/>
      <c r="F77" s="136"/>
    </row>
    <row r="78" spans="2:6" ht="16.5" customHeight="1" x14ac:dyDescent="0.35">
      <c r="B78" s="137"/>
      <c r="C78" s="137"/>
      <c r="D78" s="136"/>
      <c r="E78" s="136"/>
      <c r="F78" s="136"/>
    </row>
    <row r="79" spans="2:6" ht="16.5" customHeight="1" x14ac:dyDescent="0.35">
      <c r="B79" s="137"/>
      <c r="C79" s="137"/>
      <c r="D79" s="136"/>
      <c r="E79" s="136"/>
      <c r="F79" s="136"/>
    </row>
    <row r="80" spans="2:6" ht="16.5" customHeight="1" x14ac:dyDescent="0.35">
      <c r="B80" s="137"/>
      <c r="C80" s="137"/>
      <c r="D80" s="136"/>
      <c r="E80" s="136"/>
      <c r="F80" s="136"/>
    </row>
    <row r="81" spans="2:6" ht="16.5" customHeight="1" x14ac:dyDescent="0.35">
      <c r="B81" s="137"/>
      <c r="C81" s="137"/>
      <c r="D81" s="136"/>
      <c r="E81" s="136"/>
      <c r="F81" s="136"/>
    </row>
    <row r="82" spans="2:6" ht="16.5" customHeight="1" x14ac:dyDescent="0.35">
      <c r="B82" s="137"/>
      <c r="C82" s="137"/>
      <c r="D82" s="136"/>
      <c r="E82" s="136"/>
      <c r="F82" s="136"/>
    </row>
    <row r="83" spans="2:6" ht="16.5" customHeight="1" x14ac:dyDescent="0.35">
      <c r="B83" s="137"/>
      <c r="C83" s="137"/>
      <c r="D83" s="136"/>
      <c r="E83" s="136"/>
      <c r="F83" s="136"/>
    </row>
    <row r="84" spans="2:6" ht="16.5" customHeight="1" x14ac:dyDescent="0.35">
      <c r="B84" s="137"/>
      <c r="C84" s="137"/>
      <c r="D84" s="136"/>
      <c r="E84" s="136"/>
      <c r="F84" s="136"/>
    </row>
    <row r="85" spans="2:6" ht="16.5" customHeight="1" x14ac:dyDescent="0.35">
      <c r="B85" s="137"/>
      <c r="C85" s="137"/>
      <c r="D85" s="136"/>
      <c r="E85" s="136"/>
      <c r="F85" s="136"/>
    </row>
    <row r="86" spans="2:6" ht="16.5" customHeight="1" x14ac:dyDescent="0.35">
      <c r="B86" s="137"/>
      <c r="C86" s="137"/>
      <c r="D86" s="136"/>
      <c r="E86" s="136"/>
      <c r="F86" s="136"/>
    </row>
    <row r="87" spans="2:6" ht="16.5" customHeight="1" x14ac:dyDescent="0.35">
      <c r="B87" s="137"/>
      <c r="C87" s="137"/>
      <c r="D87" s="136"/>
      <c r="E87" s="136"/>
      <c r="F87" s="136"/>
    </row>
    <row r="88" spans="2:6" ht="16.5" customHeight="1" x14ac:dyDescent="0.35">
      <c r="B88" s="137"/>
      <c r="C88" s="137"/>
      <c r="D88" s="136"/>
      <c r="E88" s="136"/>
      <c r="F88" s="136"/>
    </row>
    <row r="89" spans="2:6" ht="16.5" customHeight="1" x14ac:dyDescent="0.35">
      <c r="B89" s="137"/>
      <c r="C89" s="137"/>
      <c r="D89" s="136"/>
      <c r="E89" s="136"/>
      <c r="F89" s="136"/>
    </row>
    <row r="90" spans="2:6" ht="16.5" customHeight="1" x14ac:dyDescent="0.35">
      <c r="B90" s="137"/>
      <c r="C90" s="137"/>
      <c r="D90" s="136"/>
      <c r="E90" s="136"/>
      <c r="F90" s="136"/>
    </row>
    <row r="91" spans="2:6" ht="16.5" customHeight="1" x14ac:dyDescent="0.35">
      <c r="B91" s="137"/>
      <c r="C91" s="137"/>
      <c r="D91" s="136"/>
      <c r="E91" s="136"/>
      <c r="F91" s="136"/>
    </row>
    <row r="92" spans="2:6" ht="16.5" customHeight="1" x14ac:dyDescent="0.35">
      <c r="B92" s="137"/>
      <c r="C92" s="137"/>
      <c r="D92" s="136"/>
      <c r="E92" s="136"/>
      <c r="F92" s="136"/>
    </row>
    <row r="93" spans="2:6" ht="16.5" customHeight="1" x14ac:dyDescent="0.35">
      <c r="B93" s="137"/>
      <c r="C93" s="137"/>
      <c r="D93" s="136"/>
      <c r="E93" s="136"/>
      <c r="F93" s="136"/>
    </row>
    <row r="94" spans="2:6" ht="16.5" customHeight="1" x14ac:dyDescent="0.35">
      <c r="B94" s="137"/>
      <c r="C94" s="137"/>
      <c r="D94" s="136"/>
      <c r="E94" s="136"/>
      <c r="F94" s="136"/>
    </row>
    <row r="95" spans="2:6" ht="16.5" customHeight="1" x14ac:dyDescent="0.45">
      <c r="B95" s="137"/>
      <c r="C95" s="137"/>
      <c r="D95" s="136"/>
      <c r="E95" s="136"/>
      <c r="F95" s="162">
        <f ca="1">YEAR(E96)</f>
        <v>2054</v>
      </c>
    </row>
    <row r="96" spans="2:6" ht="16.5" customHeight="1" x14ac:dyDescent="0.45">
      <c r="B96" s="163" t="s">
        <v>149</v>
      </c>
      <c r="C96" s="163"/>
      <c r="D96" s="164" t="s">
        <v>150</v>
      </c>
      <c r="E96" s="165">
        <f ca="1">TODAY()+(55-$C$9)*365</f>
        <v>56403</v>
      </c>
      <c r="F96" s="166"/>
    </row>
    <row r="97" spans="2:7" ht="16.5" customHeight="1" x14ac:dyDescent="0.4">
      <c r="B97" s="167" t="s">
        <v>151</v>
      </c>
      <c r="C97" s="168">
        <v>55</v>
      </c>
      <c r="D97" s="169">
        <f>'[10]CPF TB'!D42</f>
        <v>93497.753450004369</v>
      </c>
      <c r="E97" s="170"/>
      <c r="F97" s="166"/>
    </row>
    <row r="98" spans="2:7" ht="16.5" customHeight="1" x14ac:dyDescent="0.4">
      <c r="B98" s="171" t="s">
        <v>152</v>
      </c>
      <c r="C98" s="172">
        <f>C97</f>
        <v>55</v>
      </c>
      <c r="D98" s="169">
        <f>'[10]CPF TB'!E42</f>
        <v>373778.16499252373</v>
      </c>
      <c r="E98" s="170"/>
      <c r="F98" s="166"/>
    </row>
    <row r="99" spans="2:7" ht="16.5" customHeight="1" x14ac:dyDescent="0.4">
      <c r="B99" s="171" t="s">
        <v>153</v>
      </c>
      <c r="C99" s="172">
        <f>C98</f>
        <v>55</v>
      </c>
      <c r="D99" s="169">
        <f>'[10]CPF TB'!C42</f>
        <v>75500</v>
      </c>
      <c r="E99" s="170"/>
      <c r="F99" s="173"/>
    </row>
    <row r="100" spans="2:7" ht="16.5" customHeight="1" x14ac:dyDescent="0.4">
      <c r="B100" s="174" t="s">
        <v>154</v>
      </c>
      <c r="C100" s="175">
        <f>C99</f>
        <v>55</v>
      </c>
      <c r="D100" s="176">
        <f>D97+D98</f>
        <v>467275.91844252811</v>
      </c>
      <c r="E100" s="177"/>
      <c r="F100" s="178"/>
    </row>
    <row r="101" spans="2:7" ht="16.5" customHeight="1" x14ac:dyDescent="0.35">
      <c r="B101" s="179"/>
      <c r="C101" s="179"/>
      <c r="D101" s="178"/>
      <c r="E101" s="178"/>
    </row>
    <row r="102" spans="2:7" ht="16.5" customHeight="1" x14ac:dyDescent="0.4">
      <c r="F102" s="180"/>
    </row>
    <row r="103" spans="2:7" ht="16.5" customHeight="1" x14ac:dyDescent="0.45">
      <c r="B103" s="181"/>
      <c r="C103" s="180" t="s">
        <v>155</v>
      </c>
      <c r="D103" s="180" t="s">
        <v>156</v>
      </c>
      <c r="E103" s="180" t="s">
        <v>157</v>
      </c>
      <c r="F103" s="182"/>
    </row>
    <row r="104" spans="2:7" ht="16.5" customHeight="1" x14ac:dyDescent="0.4">
      <c r="B104" s="183" t="s">
        <v>158</v>
      </c>
      <c r="C104" s="184">
        <f>C19</f>
        <v>21000</v>
      </c>
      <c r="D104" s="185"/>
      <c r="E104" s="185"/>
      <c r="F104" s="182"/>
    </row>
    <row r="105" spans="2:7" ht="16.5" customHeight="1" x14ac:dyDescent="0.4">
      <c r="B105" s="183" t="s">
        <v>159</v>
      </c>
      <c r="C105" s="184">
        <f>C20</f>
        <v>60000</v>
      </c>
      <c r="D105" s="185"/>
      <c r="E105" s="185"/>
      <c r="F105" s="182"/>
    </row>
    <row r="106" spans="2:7" ht="16.5" customHeight="1" x14ac:dyDescent="0.4">
      <c r="B106" s="183" t="s">
        <v>160</v>
      </c>
      <c r="C106" s="184" t="e">
        <f>#REF!</f>
        <v>#REF!</v>
      </c>
      <c r="D106" s="185"/>
      <c r="E106" s="185"/>
      <c r="F106" s="186"/>
      <c r="G106" s="187">
        <f ca="1">FV(F119,$D$117,0,-E107)</f>
        <v>4032.3677055634553</v>
      </c>
    </row>
    <row r="107" spans="2:7" ht="16.5" customHeight="1" x14ac:dyDescent="0.4">
      <c r="B107" s="188" t="s">
        <v>77</v>
      </c>
      <c r="C107" s="189">
        <f>'[10]CPF TB'!H42</f>
        <v>261864.74874262491</v>
      </c>
      <c r="D107" s="157" t="str">
        <f>'[10]CPF TB'!C48</f>
        <v>Yes</v>
      </c>
      <c r="E107" s="186">
        <f>'[10]CPF TB'!D48</f>
        <v>1900</v>
      </c>
      <c r="F107" s="186"/>
      <c r="G107" s="187">
        <f ca="1">FV(F119,$D$117,0,-E108)</f>
        <v>8582.312542099502</v>
      </c>
    </row>
    <row r="108" spans="2:7" ht="16.5" customHeight="1" x14ac:dyDescent="0.4">
      <c r="B108" s="188" t="s">
        <v>78</v>
      </c>
      <c r="C108" s="189">
        <f>'[10]CPF TB'!I42</f>
        <v>523729.49748524983</v>
      </c>
      <c r="D108" s="180" t="str">
        <f>'[10]CPF TB'!C49</f>
        <v>No</v>
      </c>
      <c r="E108" s="186">
        <f>'[10]CPF TB'!D49</f>
        <v>4043.8757128947177</v>
      </c>
      <c r="F108" s="186"/>
      <c r="G108" s="187">
        <f ca="1">FV(F119,$D$117,0,-E109)</f>
        <v>2143.521780325837</v>
      </c>
    </row>
    <row r="109" spans="2:7" ht="16.5" customHeight="1" x14ac:dyDescent="0.4">
      <c r="B109" s="188" t="s">
        <v>76</v>
      </c>
      <c r="C109" s="189">
        <f>'[10]CPF TB'!G42</f>
        <v>130894.42295845121</v>
      </c>
      <c r="D109" s="180" t="str">
        <f>'[10]CPF TB'!C47</f>
        <v>Yes</v>
      </c>
      <c r="E109" s="186">
        <f>'[10]CPF TB'!D47</f>
        <v>1010</v>
      </c>
      <c r="F109" s="190"/>
    </row>
    <row r="110" spans="2:7" ht="16.5" customHeight="1" x14ac:dyDescent="0.4">
      <c r="B110" s="188" t="s">
        <v>161</v>
      </c>
      <c r="C110" s="191">
        <f>D100-C107</f>
        <v>205411.1696999032</v>
      </c>
      <c r="D110" s="192"/>
      <c r="E110" s="192"/>
      <c r="F110" s="178"/>
    </row>
    <row r="111" spans="2:7" ht="16.5" customHeight="1" x14ac:dyDescent="0.45">
      <c r="B111" s="179"/>
      <c r="C111" s="179"/>
      <c r="D111" s="178"/>
      <c r="E111" s="178"/>
      <c r="F111" s="193"/>
    </row>
    <row r="112" spans="2:7" ht="16.5" customHeight="1" x14ac:dyDescent="0.45">
      <c r="B112" s="193" t="s">
        <v>162</v>
      </c>
      <c r="C112" s="193"/>
      <c r="D112" s="193"/>
      <c r="E112" s="193"/>
    </row>
    <row r="113" spans="2:6" ht="16.5" customHeight="1" x14ac:dyDescent="0.45">
      <c r="B113" s="119"/>
      <c r="F113" s="144"/>
    </row>
    <row r="114" spans="2:6" ht="16.5" customHeight="1" x14ac:dyDescent="0.35">
      <c r="B114" s="145" t="s">
        <v>138</v>
      </c>
      <c r="C114" s="145"/>
      <c r="D114" s="144">
        <v>65</v>
      </c>
      <c r="E114" s="144"/>
      <c r="F114" s="144"/>
    </row>
    <row r="115" spans="2:6" ht="16.5" customHeight="1" x14ac:dyDescent="0.35">
      <c r="B115" s="145" t="s">
        <v>139</v>
      </c>
      <c r="C115" s="145"/>
      <c r="D115" s="144">
        <f>E116-D114</f>
        <v>25</v>
      </c>
      <c r="E115" s="144"/>
      <c r="F115" s="146" t="s">
        <v>140</v>
      </c>
    </row>
    <row r="116" spans="2:6" ht="16.5" customHeight="1" x14ac:dyDescent="0.35">
      <c r="B116" s="145"/>
      <c r="C116" s="145"/>
      <c r="D116" s="146" t="s">
        <v>141</v>
      </c>
      <c r="E116" s="147">
        <v>90</v>
      </c>
      <c r="F116" s="148"/>
    </row>
    <row r="117" spans="2:6" ht="16.5" customHeight="1" x14ac:dyDescent="0.35">
      <c r="B117" s="145" t="s">
        <v>142</v>
      </c>
      <c r="C117" s="145"/>
      <c r="D117" s="149">
        <f ca="1">D114-C9</f>
        <v>38</v>
      </c>
      <c r="E117" s="150"/>
      <c r="F117" s="151"/>
    </row>
    <row r="118" spans="2:6" ht="16.5" customHeight="1" x14ac:dyDescent="0.35">
      <c r="B118" s="145" t="s">
        <v>143</v>
      </c>
      <c r="C118" s="145"/>
      <c r="D118" s="152">
        <f>D120</f>
        <v>1000</v>
      </c>
      <c r="E118" s="153"/>
    </row>
    <row r="119" spans="2:6" ht="16.5" customHeight="1" x14ac:dyDescent="0.35">
      <c r="B119" s="154"/>
      <c r="C119" s="154"/>
      <c r="F119" s="155">
        <v>0.02</v>
      </c>
    </row>
    <row r="120" spans="2:6" ht="16.5" customHeight="1" x14ac:dyDescent="0.35">
      <c r="B120" s="145" t="s">
        <v>144</v>
      </c>
      <c r="C120" s="145"/>
      <c r="D120" s="156">
        <v>1000</v>
      </c>
      <c r="E120" s="157" t="s">
        <v>145</v>
      </c>
      <c r="F120" s="158">
        <f ca="1">FV(F119,$D$117,0,-D120)</f>
        <v>2122.2987924018184</v>
      </c>
    </row>
    <row r="121" spans="2:6" ht="16.5" customHeight="1" x14ac:dyDescent="0.35">
      <c r="B121" s="145" t="s">
        <v>146</v>
      </c>
      <c r="C121" s="145"/>
      <c r="D121" s="149">
        <f>D114</f>
        <v>65</v>
      </c>
      <c r="E121" s="159" t="s">
        <v>147</v>
      </c>
      <c r="F121" s="158">
        <f ca="1">F120*D122*12</f>
        <v>636689.63772054552</v>
      </c>
    </row>
    <row r="122" spans="2:6" ht="16.5" customHeight="1" x14ac:dyDescent="0.35">
      <c r="B122" s="145" t="s">
        <v>148</v>
      </c>
      <c r="C122" s="145"/>
      <c r="D122" s="160">
        <f>D115</f>
        <v>25</v>
      </c>
      <c r="E122" s="161" t="s">
        <v>147</v>
      </c>
    </row>
    <row r="126" spans="2:6" ht="16.5" customHeight="1" x14ac:dyDescent="0.35">
      <c r="F126" s="194"/>
    </row>
    <row r="127" spans="2:6" ht="16.5" customHeight="1" x14ac:dyDescent="0.4">
      <c r="B127" s="194" t="s">
        <v>163</v>
      </c>
      <c r="C127" s="194"/>
      <c r="D127" s="194"/>
      <c r="E127" s="194"/>
      <c r="F127" s="195">
        <f>D114</f>
        <v>65</v>
      </c>
    </row>
    <row r="128" spans="2:6" ht="16.5" customHeight="1" x14ac:dyDescent="0.45">
      <c r="B128" s="99" t="s">
        <v>164</v>
      </c>
      <c r="D128" s="196" t="s">
        <v>165</v>
      </c>
      <c r="E128" s="195"/>
      <c r="F128" s="166"/>
    </row>
    <row r="129" spans="2:6" ht="16.5" customHeight="1" x14ac:dyDescent="0.4">
      <c r="B129" s="197" t="s">
        <v>166</v>
      </c>
      <c r="C129" s="198"/>
      <c r="D129" s="169">
        <f>'[10]CPF TB'!D41</f>
        <v>162761.74743422811</v>
      </c>
      <c r="E129" s="170"/>
      <c r="F129" s="166"/>
    </row>
    <row r="130" spans="2:6" ht="16.5" customHeight="1" x14ac:dyDescent="0.4">
      <c r="B130" s="197" t="s">
        <v>167</v>
      </c>
      <c r="C130" s="198"/>
      <c r="D130" s="169">
        <f>'[10]CPF TB'!E41</f>
        <v>714215.28130384267</v>
      </c>
      <c r="E130" s="170"/>
    </row>
    <row r="131" spans="2:6" ht="16.5" customHeight="1" x14ac:dyDescent="0.4">
      <c r="F131" s="195">
        <v>55</v>
      </c>
    </row>
    <row r="132" spans="2:6" ht="16.5" customHeight="1" x14ac:dyDescent="0.45">
      <c r="B132" s="99" t="s">
        <v>168</v>
      </c>
      <c r="D132" s="196" t="s">
        <v>165</v>
      </c>
      <c r="E132" s="195"/>
      <c r="F132" s="166"/>
    </row>
    <row r="133" spans="2:6" ht="16.5" customHeight="1" x14ac:dyDescent="0.4">
      <c r="B133" s="197" t="s">
        <v>166</v>
      </c>
      <c r="C133" s="198"/>
      <c r="D133" s="169">
        <f>'[10]CPF TB'!E53</f>
        <v>93497.753450004369</v>
      </c>
      <c r="E133" s="170"/>
      <c r="F133" s="166"/>
    </row>
    <row r="134" spans="2:6" ht="16.5" customHeight="1" x14ac:dyDescent="0.4">
      <c r="B134" s="197" t="s">
        <v>167</v>
      </c>
      <c r="C134" s="198"/>
      <c r="D134" s="169">
        <f>'[10]CPF TB'!D53</f>
        <v>111913.41624989882</v>
      </c>
      <c r="E134" s="170"/>
    </row>
    <row r="135" spans="2:6" ht="16.5" customHeight="1" x14ac:dyDescent="0.4">
      <c r="F135" s="199">
        <f>F131</f>
        <v>55</v>
      </c>
    </row>
    <row r="136" spans="2:6" ht="16.5" customHeight="1" x14ac:dyDescent="0.45">
      <c r="B136" s="99" t="s">
        <v>169</v>
      </c>
      <c r="D136" s="196" t="s">
        <v>165</v>
      </c>
      <c r="E136" s="195"/>
      <c r="F136" s="166"/>
    </row>
    <row r="137" spans="2:6" ht="16.5" customHeight="1" x14ac:dyDescent="0.4">
      <c r="B137" s="197" t="s">
        <v>166</v>
      </c>
      <c r="C137" s="198"/>
      <c r="D137" s="169">
        <f>'[10]CPF TB'!E62</f>
        <v>-56453.579042721729</v>
      </c>
      <c r="E137" s="170"/>
      <c r="F137" s="166"/>
    </row>
    <row r="138" spans="2:6" ht="16.5" customHeight="1" x14ac:dyDescent="0.4">
      <c r="B138" s="197" t="s">
        <v>167</v>
      </c>
      <c r="C138" s="198"/>
      <c r="D138" s="169">
        <f>'[10]CPF TB'!D62</f>
        <v>0</v>
      </c>
      <c r="E138" s="170"/>
      <c r="F138" s="178"/>
    </row>
    <row r="139" spans="2:6" ht="16.5" customHeight="1" x14ac:dyDescent="0.4">
      <c r="B139" s="179"/>
      <c r="C139" s="179"/>
      <c r="D139" s="178"/>
      <c r="E139" s="178"/>
      <c r="F139" s="199">
        <f>F135</f>
        <v>55</v>
      </c>
    </row>
    <row r="140" spans="2:6" ht="16.5" customHeight="1" x14ac:dyDescent="0.45">
      <c r="B140" s="99" t="s">
        <v>170</v>
      </c>
      <c r="D140" s="196" t="s">
        <v>165</v>
      </c>
      <c r="E140" s="195"/>
      <c r="F140" s="166"/>
    </row>
    <row r="141" spans="2:6" ht="16.5" customHeight="1" x14ac:dyDescent="0.4">
      <c r="B141" s="197" t="s">
        <v>166</v>
      </c>
      <c r="C141" s="198"/>
      <c r="D141" s="169">
        <f>'[10]CPF TB'!E73</f>
        <v>93497.753450004369</v>
      </c>
      <c r="E141" s="170"/>
      <c r="F141" s="166"/>
    </row>
    <row r="142" spans="2:6" ht="16.5" customHeight="1" x14ac:dyDescent="0.4">
      <c r="B142" s="197" t="s">
        <v>167</v>
      </c>
      <c r="C142" s="198"/>
      <c r="D142" s="169">
        <f>'[10]CPF TB'!D73</f>
        <v>242883.74203407252</v>
      </c>
      <c r="E142" s="170"/>
      <c r="F142" s="200" t="s">
        <v>58</v>
      </c>
    </row>
    <row r="143" spans="2:6" ht="16.5" customHeight="1" x14ac:dyDescent="0.35">
      <c r="B143" s="179"/>
      <c r="C143" s="179"/>
      <c r="D143" s="178"/>
      <c r="E143" s="178"/>
      <c r="F143" s="201"/>
    </row>
    <row r="144" spans="2:6" ht="16.5" customHeight="1" x14ac:dyDescent="0.4">
      <c r="B144" s="197" t="s">
        <v>171</v>
      </c>
      <c r="C144" s="198">
        <v>65</v>
      </c>
      <c r="D144" s="202">
        <v>65</v>
      </c>
      <c r="E144" s="203"/>
      <c r="F144" s="201"/>
    </row>
    <row r="145" spans="1:24" ht="16.5" customHeight="1" x14ac:dyDescent="0.4">
      <c r="B145" s="197" t="s">
        <v>172</v>
      </c>
      <c r="C145" s="198">
        <f>E116</f>
        <v>90</v>
      </c>
      <c r="D145" s="202">
        <f>E116</f>
        <v>90</v>
      </c>
      <c r="E145" s="203"/>
      <c r="F145" s="178"/>
    </row>
    <row r="146" spans="1:24" ht="16.5" customHeight="1" x14ac:dyDescent="0.35">
      <c r="B146" s="179"/>
      <c r="C146" s="179"/>
      <c r="D146" s="178"/>
      <c r="E146" s="178"/>
      <c r="F146" s="178"/>
    </row>
    <row r="147" spans="1:24" ht="16.5" customHeight="1" x14ac:dyDescent="0.35">
      <c r="B147" s="179"/>
      <c r="C147" s="179"/>
      <c r="D147" s="204"/>
      <c r="E147" s="178"/>
      <c r="F147" s="200"/>
      <c r="G147" s="205">
        <v>65</v>
      </c>
      <c r="H147" s="205" t="s">
        <v>173</v>
      </c>
      <c r="I147" s="206" t="s">
        <v>174</v>
      </c>
      <c r="J147" s="206" t="s">
        <v>175</v>
      </c>
    </row>
    <row r="148" spans="1:24" ht="16.5" customHeight="1" x14ac:dyDescent="0.4">
      <c r="B148" s="179" t="s">
        <v>176</v>
      </c>
      <c r="C148" s="179"/>
      <c r="D148" s="207" t="s">
        <v>177</v>
      </c>
      <c r="E148" s="200" t="s">
        <v>58</v>
      </c>
      <c r="F148" s="208"/>
      <c r="G148" s="209">
        <f>'[10]CPF TB'!G54</f>
        <v>248502.16272359656</v>
      </c>
      <c r="H148" s="209">
        <f>'[10]CPF TB'!H54</f>
        <v>1900</v>
      </c>
      <c r="I148" s="209">
        <f>H148+D149</f>
        <v>2900</v>
      </c>
      <c r="J148" s="210">
        <v>63</v>
      </c>
    </row>
    <row r="149" spans="1:24" ht="16.5" customHeight="1" x14ac:dyDescent="0.4">
      <c r="B149" s="211" t="s">
        <v>178</v>
      </c>
      <c r="C149" s="211">
        <f>($D$145-$D$144)*E112*12</f>
        <v>0</v>
      </c>
      <c r="D149" s="209">
        <f>$D$118</f>
        <v>1000</v>
      </c>
      <c r="E149" s="208" t="s">
        <v>179</v>
      </c>
      <c r="F149" s="208"/>
      <c r="G149" s="209">
        <f>'[10]CPF TB'!G63</f>
        <v>121550.82234174525</v>
      </c>
      <c r="H149" s="209">
        <f>'[10]CPF TB'!H63</f>
        <v>4043.8757128947177</v>
      </c>
      <c r="I149" s="209">
        <f>H149+D150</f>
        <v>5043.8757128947182</v>
      </c>
      <c r="J149" s="210">
        <v>57</v>
      </c>
      <c r="Q149" s="212"/>
      <c r="R149" s="212"/>
      <c r="S149" s="212"/>
      <c r="T149" s="212"/>
      <c r="U149" s="212"/>
      <c r="V149" s="212"/>
      <c r="W149" s="212"/>
      <c r="X149" s="212"/>
    </row>
    <row r="150" spans="1:24" s="212" customFormat="1" ht="16.5" customHeight="1" x14ac:dyDescent="0.4">
      <c r="A150" s="96"/>
      <c r="B150" s="211" t="s">
        <v>180</v>
      </c>
      <c r="C150" s="211">
        <f>($D$145-$D$144)*E113*12</f>
        <v>0</v>
      </c>
      <c r="D150" s="209">
        <f t="shared" ref="D150:D151" si="14">$D$118</f>
        <v>1000</v>
      </c>
      <c r="E150" s="208" t="s">
        <v>179</v>
      </c>
      <c r="F150" s="213"/>
      <c r="G150" s="214">
        <f>'[10]CPF TB'!G74</f>
        <v>346822.0937022976</v>
      </c>
      <c r="H150" s="214">
        <f>'[10]CPF TB'!H74</f>
        <v>1010</v>
      </c>
      <c r="I150" s="214">
        <f>H150+D151</f>
        <v>2010</v>
      </c>
      <c r="J150" s="215">
        <f>'[10]CPF TB'!B38</f>
        <v>90</v>
      </c>
      <c r="Q150" s="96"/>
      <c r="R150" s="96"/>
      <c r="S150" s="96"/>
      <c r="T150" s="96"/>
      <c r="U150" s="96"/>
      <c r="V150" s="96"/>
      <c r="W150" s="96"/>
      <c r="X150" s="96"/>
    </row>
    <row r="151" spans="1:24" ht="16.5" customHeight="1" x14ac:dyDescent="0.4">
      <c r="A151" s="212"/>
      <c r="B151" s="216" t="s">
        <v>181</v>
      </c>
      <c r="C151" s="216">
        <f>($D$145-$D$144)*E114*12</f>
        <v>0</v>
      </c>
      <c r="D151" s="214">
        <f t="shared" si="14"/>
        <v>1000</v>
      </c>
      <c r="E151" s="213" t="s">
        <v>182</v>
      </c>
    </row>
    <row r="152" spans="1:24" ht="16.5" customHeight="1" x14ac:dyDescent="0.35">
      <c r="F152" s="178"/>
    </row>
    <row r="153" spans="1:24" ht="16.5" customHeight="1" x14ac:dyDescent="0.35">
      <c r="B153" s="179"/>
      <c r="C153" s="179"/>
      <c r="D153" s="178"/>
      <c r="E153" s="178"/>
    </row>
    <row r="154" spans="1:24" ht="16.5" customHeight="1" x14ac:dyDescent="0.45">
      <c r="B154" s="119" t="s">
        <v>183</v>
      </c>
      <c r="F154" s="217"/>
    </row>
    <row r="155" spans="1:24" ht="16.5" customHeight="1" x14ac:dyDescent="0.35">
      <c r="B155" s="218" t="s">
        <v>184</v>
      </c>
      <c r="C155" s="219"/>
      <c r="D155" s="220">
        <v>350000</v>
      </c>
      <c r="E155" s="221"/>
      <c r="F155" s="222"/>
    </row>
    <row r="156" spans="1:24" ht="16.5" customHeight="1" x14ac:dyDescent="0.35">
      <c r="B156" s="218" t="s">
        <v>185</v>
      </c>
      <c r="C156" s="219"/>
      <c r="D156" s="223">
        <f>C104</f>
        <v>21000</v>
      </c>
      <c r="E156" s="224"/>
      <c r="F156" s="225" t="s">
        <v>186</v>
      </c>
    </row>
    <row r="157" spans="1:24" ht="16.5" customHeight="1" x14ac:dyDescent="0.35">
      <c r="B157" s="218" t="s">
        <v>187</v>
      </c>
      <c r="C157" s="219"/>
      <c r="D157" s="226" t="s">
        <v>188</v>
      </c>
      <c r="E157" s="227"/>
      <c r="F157" s="228">
        <f>20%*D155</f>
        <v>70000</v>
      </c>
    </row>
    <row r="158" spans="1:24" ht="16.5" customHeight="1" x14ac:dyDescent="0.35">
      <c r="B158" s="229" t="s">
        <v>189</v>
      </c>
      <c r="C158" s="229"/>
      <c r="D158" s="230">
        <f>10%*D155</f>
        <v>35000</v>
      </c>
      <c r="E158" s="231"/>
      <c r="F158" s="225"/>
    </row>
    <row r="159" spans="1:24" ht="16.5" customHeight="1" x14ac:dyDescent="0.35">
      <c r="B159" s="218" t="s">
        <v>190</v>
      </c>
      <c r="C159" s="219"/>
      <c r="D159" s="230">
        <f>C104-D158</f>
        <v>-14000</v>
      </c>
      <c r="E159" s="231"/>
      <c r="F159" s="225"/>
    </row>
    <row r="160" spans="1:24" ht="16.5" customHeight="1" x14ac:dyDescent="0.35">
      <c r="B160" s="218" t="s">
        <v>191</v>
      </c>
      <c r="C160" s="219"/>
      <c r="D160" s="230">
        <v>0</v>
      </c>
      <c r="E160" s="231"/>
      <c r="F160" s="232"/>
    </row>
    <row r="161" spans="2:6" ht="16.5" customHeight="1" x14ac:dyDescent="0.35">
      <c r="B161" s="229" t="s">
        <v>192</v>
      </c>
      <c r="C161" s="229"/>
      <c r="D161" s="232">
        <v>30</v>
      </c>
      <c r="E161" s="232"/>
      <c r="F161" s="228"/>
    </row>
    <row r="162" spans="2:6" ht="16.5" customHeight="1" x14ac:dyDescent="0.35">
      <c r="B162" s="229" t="s">
        <v>193</v>
      </c>
      <c r="C162" s="229"/>
      <c r="D162" s="228">
        <f>D155-D158</f>
        <v>315000</v>
      </c>
      <c r="E162" s="228"/>
      <c r="F162" s="222"/>
    </row>
    <row r="163" spans="2:6" ht="16.5" customHeight="1" x14ac:dyDescent="0.35">
      <c r="B163" s="218" t="s">
        <v>194</v>
      </c>
      <c r="C163" s="219"/>
      <c r="D163" s="223">
        <f>C104-D158</f>
        <v>-14000</v>
      </c>
      <c r="E163" s="224"/>
      <c r="F163" s="222"/>
    </row>
    <row r="164" spans="2:6" ht="16.5" customHeight="1" x14ac:dyDescent="0.35">
      <c r="B164" s="218" t="s">
        <v>195</v>
      </c>
      <c r="C164" s="219"/>
      <c r="D164" s="223">
        <f>D162-D163</f>
        <v>329000</v>
      </c>
      <c r="E164" s="224"/>
      <c r="F164" s="233"/>
    </row>
    <row r="165" spans="2:6" ht="16.5" customHeight="1" x14ac:dyDescent="0.35">
      <c r="B165" s="229" t="s">
        <v>196</v>
      </c>
      <c r="C165" s="229"/>
      <c r="D165" s="233">
        <v>2.5999999999999999E-2</v>
      </c>
      <c r="E165" s="233"/>
      <c r="F165" s="228"/>
    </row>
    <row r="166" spans="2:6" ht="16.5" customHeight="1" x14ac:dyDescent="0.35">
      <c r="B166" s="234" t="s">
        <v>197</v>
      </c>
      <c r="C166" s="235"/>
      <c r="D166" s="228">
        <v>1288</v>
      </c>
      <c r="E166" s="228"/>
      <c r="F166" s="228"/>
    </row>
    <row r="167" spans="2:6" ht="16.5" customHeight="1" x14ac:dyDescent="0.35">
      <c r="B167" s="229" t="s">
        <v>198</v>
      </c>
      <c r="C167" s="229"/>
      <c r="D167" s="228">
        <f ca="1">C13</f>
        <v>920.1160000000001</v>
      </c>
      <c r="E167" s="228"/>
      <c r="F167" s="228"/>
    </row>
    <row r="168" spans="2:6" ht="16.5" customHeight="1" x14ac:dyDescent="0.35">
      <c r="B168" s="229" t="s">
        <v>199</v>
      </c>
      <c r="C168" s="229"/>
      <c r="D168" s="228">
        <f ca="1">D166-D167</f>
        <v>367.8839999999999</v>
      </c>
      <c r="E168" s="228"/>
    </row>
    <row r="169" spans="2:6" ht="16.5" customHeight="1" x14ac:dyDescent="0.45">
      <c r="B169" s="119" t="s">
        <v>200</v>
      </c>
      <c r="F169" s="236"/>
    </row>
    <row r="170" spans="2:6" ht="16.5" customHeight="1" x14ac:dyDescent="0.4">
      <c r="B170" s="197" t="s">
        <v>201</v>
      </c>
      <c r="C170" s="198"/>
      <c r="D170" s="237">
        <f>'[10]CPF TB'!B28</f>
        <v>525</v>
      </c>
      <c r="E170" s="238"/>
      <c r="F170" s="236"/>
    </row>
    <row r="171" spans="2:6" ht="16.5" customHeight="1" x14ac:dyDescent="0.4">
      <c r="B171" s="197" t="s">
        <v>202</v>
      </c>
      <c r="C171" s="198"/>
      <c r="D171" s="237">
        <f>'[10]CPF TB'!B33</f>
        <v>600</v>
      </c>
      <c r="E171" s="238"/>
      <c r="F171" s="236"/>
    </row>
    <row r="172" spans="2:6" ht="16.5" customHeight="1" x14ac:dyDescent="0.4">
      <c r="B172" s="197" t="s">
        <v>203</v>
      </c>
      <c r="C172" s="198"/>
      <c r="D172" s="237">
        <v>500</v>
      </c>
      <c r="E172" s="238"/>
      <c r="F172" s="236"/>
    </row>
    <row r="173" spans="2:6" ht="16.5" customHeight="1" x14ac:dyDescent="0.4">
      <c r="B173" s="197" t="s">
        <v>204</v>
      </c>
      <c r="C173" s="198"/>
      <c r="D173" s="237">
        <v>340.5</v>
      </c>
      <c r="E173" s="238"/>
      <c r="F173" s="173"/>
    </row>
    <row r="174" spans="2:6" ht="16.5" customHeight="1" x14ac:dyDescent="0.4">
      <c r="B174" s="197" t="s">
        <v>205</v>
      </c>
      <c r="C174" s="198"/>
      <c r="D174" s="176">
        <v>0</v>
      </c>
      <c r="E174" s="177"/>
      <c r="F174" s="239"/>
    </row>
    <row r="175" spans="2:6" ht="16.5" customHeight="1" x14ac:dyDescent="0.4">
      <c r="B175" s="197" t="s">
        <v>206</v>
      </c>
      <c r="C175" s="198"/>
      <c r="D175" s="240">
        <v>0</v>
      </c>
      <c r="E175" s="241"/>
      <c r="F175" s="236"/>
    </row>
    <row r="176" spans="2:6" ht="16.5" customHeight="1" x14ac:dyDescent="0.4">
      <c r="B176" s="197" t="s">
        <v>207</v>
      </c>
      <c r="C176" s="198"/>
      <c r="D176" s="237">
        <f>'[10]CPF TB'!B32</f>
        <v>93</v>
      </c>
      <c r="E176" s="238"/>
      <c r="F176" s="239"/>
    </row>
    <row r="177" spans="2:6" ht="16.5" customHeight="1" x14ac:dyDescent="0.4">
      <c r="B177" s="197" t="s">
        <v>208</v>
      </c>
      <c r="C177" s="198"/>
      <c r="D177" s="240">
        <v>0</v>
      </c>
      <c r="E177" s="241"/>
    </row>
    <row r="178" spans="2:6" ht="16.5" customHeight="1" x14ac:dyDescent="0.45">
      <c r="B178" s="119"/>
    </row>
    <row r="191" spans="2:6" ht="16.5" customHeight="1" x14ac:dyDescent="0.4">
      <c r="F191" s="242"/>
    </row>
    <row r="192" spans="2:6" ht="16.5" customHeight="1" x14ac:dyDescent="0.4">
      <c r="B192" s="243"/>
      <c r="C192" s="242"/>
      <c r="D192" s="242"/>
      <c r="E192" s="242"/>
      <c r="F192" s="244"/>
    </row>
    <row r="193" spans="2:6" ht="16.5" customHeight="1" x14ac:dyDescent="0.4">
      <c r="B193" s="243"/>
      <c r="C193" s="245"/>
      <c r="D193" s="246"/>
      <c r="E193" s="244"/>
      <c r="F193" s="244"/>
    </row>
    <row r="194" spans="2:6" ht="16.5" customHeight="1" x14ac:dyDescent="0.4">
      <c r="B194" s="243"/>
      <c r="C194" s="245"/>
      <c r="D194" s="246"/>
      <c r="E194" s="244"/>
    </row>
  </sheetData>
  <mergeCells count="58">
    <mergeCell ref="B175:C175"/>
    <mergeCell ref="B176:C176"/>
    <mergeCell ref="B177:C177"/>
    <mergeCell ref="B168:C168"/>
    <mergeCell ref="B170:C170"/>
    <mergeCell ref="B171:C171"/>
    <mergeCell ref="B172:C172"/>
    <mergeCell ref="B173:C173"/>
    <mergeCell ref="B174:C174"/>
    <mergeCell ref="B161:C161"/>
    <mergeCell ref="B162:C162"/>
    <mergeCell ref="B163:C163"/>
    <mergeCell ref="B164:C164"/>
    <mergeCell ref="B165:C165"/>
    <mergeCell ref="B167:C167"/>
    <mergeCell ref="D157:E157"/>
    <mergeCell ref="B158:C158"/>
    <mergeCell ref="D158:E158"/>
    <mergeCell ref="B159:C159"/>
    <mergeCell ref="D159:E159"/>
    <mergeCell ref="B160:C160"/>
    <mergeCell ref="D160:E160"/>
    <mergeCell ref="B149:C149"/>
    <mergeCell ref="B150:C150"/>
    <mergeCell ref="B151:C151"/>
    <mergeCell ref="B155:C155"/>
    <mergeCell ref="B156:C156"/>
    <mergeCell ref="B157:C157"/>
    <mergeCell ref="B137:C137"/>
    <mergeCell ref="B138:C138"/>
    <mergeCell ref="B141:C141"/>
    <mergeCell ref="B142:C142"/>
    <mergeCell ref="B144:C144"/>
    <mergeCell ref="B145:C145"/>
    <mergeCell ref="B121:C121"/>
    <mergeCell ref="B122:C122"/>
    <mergeCell ref="B129:C129"/>
    <mergeCell ref="B130:C130"/>
    <mergeCell ref="B133:C133"/>
    <mergeCell ref="B134:C134"/>
    <mergeCell ref="B114:C114"/>
    <mergeCell ref="B115:C115"/>
    <mergeCell ref="B116:C116"/>
    <mergeCell ref="B117:C117"/>
    <mergeCell ref="B118:C118"/>
    <mergeCell ref="B120:C120"/>
    <mergeCell ref="B48:C48"/>
    <mergeCell ref="B49:C49"/>
    <mergeCell ref="B51:C51"/>
    <mergeCell ref="B52:C52"/>
    <mergeCell ref="B53:C53"/>
    <mergeCell ref="B96:C96"/>
    <mergeCell ref="H1:O1"/>
    <mergeCell ref="Q1:U1"/>
    <mergeCell ref="V1:X1"/>
    <mergeCell ref="B45:C45"/>
    <mergeCell ref="B46:C46"/>
    <mergeCell ref="B47:C47"/>
  </mergeCells>
  <conditionalFormatting sqref="F109 C110:E110 F191 C192:E192">
    <cfRule type="cellIs" dxfId="6" priority="2" operator="lessThan">
      <formula>0</formula>
    </cfRule>
  </conditionalFormatting>
  <conditionalFormatting sqref="Q2:Q39">
    <cfRule type="containsText" dxfId="5" priority="1" operator="containsText" text="55">
      <formula>NOT(ISERROR(SEARCH("55",Q2)))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AC17-6CA9-4740-8F6E-0467C40311D5}">
  <dimension ref="A1:BM402"/>
  <sheetViews>
    <sheetView zoomScale="62" zoomScaleNormal="62" workbookViewId="0"/>
  </sheetViews>
  <sheetFormatPr defaultColWidth="16.26953125" defaultRowHeight="53" customHeight="1" x14ac:dyDescent="0.35"/>
  <cols>
    <col min="1" max="1" width="16.26953125" style="247"/>
    <col min="2" max="4" width="16.26953125" style="248"/>
    <col min="5" max="5" width="16.26953125" style="247"/>
    <col min="6" max="6" width="16.26953125" style="248"/>
    <col min="7" max="7" width="16.26953125" style="249"/>
    <col min="8" max="19" width="16.26953125" style="247"/>
    <col min="20" max="34" width="0" style="247" hidden="1" customWidth="1"/>
    <col min="35" max="16384" width="16.26953125" style="247"/>
  </cols>
  <sheetData>
    <row r="1" spans="1:65" ht="53" customHeight="1" x14ac:dyDescent="0.35">
      <c r="A1" s="247" t="s">
        <v>209</v>
      </c>
    </row>
    <row r="2" spans="1:65" ht="53" customHeight="1" x14ac:dyDescent="0.35">
      <c r="B2" s="250" t="s">
        <v>116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1"/>
      <c r="AB2" s="251"/>
      <c r="AC2" s="251"/>
      <c r="AD2" s="251"/>
      <c r="AE2" s="251"/>
      <c r="AF2" s="251"/>
      <c r="AG2" s="251"/>
      <c r="AH2" s="251"/>
      <c r="AI2" s="252"/>
      <c r="AJ2" s="252"/>
      <c r="AK2" s="253" t="s">
        <v>210</v>
      </c>
      <c r="AL2" s="254" t="s">
        <v>211</v>
      </c>
      <c r="AM2" s="253" t="s">
        <v>210</v>
      </c>
      <c r="AN2" s="254" t="s">
        <v>212</v>
      </c>
      <c r="AR2" s="255" t="s">
        <v>64</v>
      </c>
      <c r="AS2" s="255"/>
      <c r="AT2" s="255"/>
      <c r="AU2" s="255"/>
      <c r="AV2" s="255"/>
      <c r="AW2" s="255" t="s">
        <v>65</v>
      </c>
      <c r="AX2" s="255"/>
      <c r="AY2" s="255"/>
      <c r="AZ2" s="256"/>
      <c r="BA2" s="255" t="s">
        <v>213</v>
      </c>
      <c r="BB2" s="255"/>
      <c r="BC2" s="255"/>
      <c r="BD2" s="255"/>
      <c r="BF2" s="255" t="s">
        <v>63</v>
      </c>
      <c r="BG2" s="255"/>
      <c r="BH2" s="255"/>
      <c r="BI2" s="255"/>
      <c r="BJ2" s="255"/>
      <c r="BK2" s="255"/>
      <c r="BL2" s="255"/>
      <c r="BM2" s="255"/>
    </row>
    <row r="3" spans="1:65" ht="53" customHeight="1" x14ac:dyDescent="0.35">
      <c r="B3" s="257" t="s">
        <v>214</v>
      </c>
      <c r="C3" s="257"/>
      <c r="D3" s="257"/>
      <c r="E3" s="257"/>
      <c r="F3" s="257"/>
      <c r="G3" s="257"/>
      <c r="H3" s="257"/>
      <c r="I3" s="257"/>
      <c r="J3" s="257"/>
      <c r="K3" s="257"/>
      <c r="L3" s="256"/>
      <c r="M3" s="258" t="s">
        <v>215</v>
      </c>
      <c r="N3" s="258"/>
      <c r="O3" s="258"/>
      <c r="P3" s="258"/>
      <c r="Q3" s="258"/>
      <c r="R3" s="258"/>
      <c r="S3" s="256"/>
      <c r="T3" s="259" t="s">
        <v>216</v>
      </c>
      <c r="U3" s="259"/>
      <c r="V3" s="259"/>
      <c r="W3" s="259"/>
      <c r="X3" s="259"/>
      <c r="Y3" s="259"/>
      <c r="Z3" s="259"/>
      <c r="AA3" s="256"/>
      <c r="AB3" s="260" t="s">
        <v>217</v>
      </c>
      <c r="AC3" s="260"/>
      <c r="AD3" s="260"/>
      <c r="AE3" s="260"/>
      <c r="AF3" s="260"/>
      <c r="AG3" s="260"/>
      <c r="AH3" s="260"/>
      <c r="AI3" s="256"/>
      <c r="AJ3" s="256"/>
      <c r="AK3" s="261" t="s">
        <v>218</v>
      </c>
      <c r="AL3" s="262">
        <v>3.5000000000000003E-2</v>
      </c>
      <c r="AM3" s="261" t="s">
        <v>218</v>
      </c>
      <c r="AN3" s="263">
        <v>0.06</v>
      </c>
      <c r="AR3" s="264" t="s">
        <v>3</v>
      </c>
      <c r="AS3" s="264" t="s">
        <v>75</v>
      </c>
      <c r="AT3" s="264" t="s">
        <v>76</v>
      </c>
      <c r="AU3" s="265" t="s">
        <v>77</v>
      </c>
      <c r="AV3" s="264" t="s">
        <v>78</v>
      </c>
      <c r="AW3" s="264" t="s">
        <v>76</v>
      </c>
      <c r="AX3" s="265" t="s">
        <v>77</v>
      </c>
      <c r="AY3" s="264" t="s">
        <v>78</v>
      </c>
      <c r="AZ3" s="266"/>
      <c r="BA3" s="267" t="s">
        <v>219</v>
      </c>
      <c r="BB3" s="268">
        <v>0.02</v>
      </c>
      <c r="BC3" s="269" t="s">
        <v>220</v>
      </c>
      <c r="BD3" s="268">
        <v>0.02</v>
      </c>
      <c r="BE3" s="270"/>
      <c r="BF3" s="264" t="s">
        <v>67</v>
      </c>
      <c r="BG3" s="264" t="s">
        <v>68</v>
      </c>
      <c r="BH3" s="264" t="s">
        <v>69</v>
      </c>
      <c r="BI3" s="265" t="s">
        <v>70</v>
      </c>
      <c r="BJ3" s="264" t="s">
        <v>71</v>
      </c>
      <c r="BK3" s="264" t="s">
        <v>72</v>
      </c>
      <c r="BL3" s="264" t="s">
        <v>73</v>
      </c>
      <c r="BM3" s="264" t="s">
        <v>74</v>
      </c>
    </row>
    <row r="4" spans="1:65" ht="53" customHeight="1" x14ac:dyDescent="0.35">
      <c r="B4" s="271" t="s">
        <v>3</v>
      </c>
      <c r="C4" s="272" t="s">
        <v>221</v>
      </c>
      <c r="D4" s="271" t="s">
        <v>222</v>
      </c>
      <c r="E4" s="271" t="s">
        <v>223</v>
      </c>
      <c r="F4" s="271" t="s">
        <v>224</v>
      </c>
      <c r="G4" s="271" t="s">
        <v>225</v>
      </c>
      <c r="H4" s="271" t="s">
        <v>226</v>
      </c>
      <c r="I4" s="271" t="s">
        <v>227</v>
      </c>
      <c r="J4" s="271" t="s">
        <v>228</v>
      </c>
      <c r="K4" s="271" t="s">
        <v>229</v>
      </c>
      <c r="L4" s="273"/>
      <c r="M4" s="271" t="s">
        <v>230</v>
      </c>
      <c r="N4" s="271" t="s">
        <v>231</v>
      </c>
      <c r="O4" s="271" t="s">
        <v>232</v>
      </c>
      <c r="P4" s="271" t="s">
        <v>233</v>
      </c>
      <c r="Q4" s="272" t="s">
        <v>234</v>
      </c>
      <c r="R4" s="271" t="s">
        <v>235</v>
      </c>
      <c r="T4" s="271" t="s">
        <v>236</v>
      </c>
      <c r="U4" s="271" t="s">
        <v>237</v>
      </c>
      <c r="V4" s="271" t="s">
        <v>238</v>
      </c>
      <c r="W4" s="271" t="s">
        <v>239</v>
      </c>
      <c r="X4" s="271" t="s">
        <v>240</v>
      </c>
      <c r="Y4" s="272" t="s">
        <v>234</v>
      </c>
      <c r="Z4" s="271" t="s">
        <v>241</v>
      </c>
      <c r="AA4" s="274"/>
      <c r="AB4" s="274" t="s">
        <v>242</v>
      </c>
      <c r="AC4" s="274" t="s">
        <v>243</v>
      </c>
      <c r="AD4" s="274" t="s">
        <v>244</v>
      </c>
      <c r="AE4" s="274"/>
      <c r="AF4" s="274"/>
      <c r="AG4" s="274"/>
      <c r="AH4" s="274"/>
      <c r="AI4" s="274"/>
      <c r="AJ4" s="274"/>
      <c r="AK4" s="261" t="s">
        <v>245</v>
      </c>
      <c r="AL4" s="262">
        <v>2.5000000000000001E-2</v>
      </c>
      <c r="AM4" s="261" t="s">
        <v>246</v>
      </c>
      <c r="AN4" s="262">
        <v>0.05</v>
      </c>
      <c r="AR4" s="275"/>
      <c r="AS4" s="276"/>
      <c r="AT4" s="277"/>
      <c r="AU4" s="277"/>
      <c r="AV4" s="277"/>
      <c r="AW4" s="277"/>
      <c r="AX4" s="277"/>
      <c r="AY4" s="277"/>
      <c r="AZ4" s="278"/>
      <c r="BA4" s="264" t="s">
        <v>58</v>
      </c>
      <c r="BB4" s="264" t="s">
        <v>88</v>
      </c>
      <c r="BC4" s="265" t="s">
        <v>247</v>
      </c>
      <c r="BD4" s="264" t="s">
        <v>248</v>
      </c>
      <c r="BE4" s="270"/>
      <c r="BF4" s="262" t="s">
        <v>79</v>
      </c>
      <c r="BG4" s="263">
        <f>SUM(BH4:BJ4)</f>
        <v>0.37000000000000005</v>
      </c>
      <c r="BH4" s="268">
        <f>62.17%*BK4</f>
        <v>0.23002900000000001</v>
      </c>
      <c r="BI4" s="268">
        <f>16.21%*BK4</f>
        <v>5.9977000000000009E-2</v>
      </c>
      <c r="BJ4" s="268">
        <f>21.62%*BK4</f>
        <v>7.9993999999999996E-2</v>
      </c>
      <c r="BK4" s="262">
        <f>BL4+BM4</f>
        <v>0.37</v>
      </c>
      <c r="BL4" s="262">
        <v>0.17</v>
      </c>
      <c r="BM4" s="262">
        <v>0.2</v>
      </c>
    </row>
    <row r="5" spans="1:65" ht="53" customHeight="1" x14ac:dyDescent="0.35">
      <c r="B5" s="275">
        <f ca="1">BH30</f>
        <v>52</v>
      </c>
      <c r="C5" s="279">
        <f ca="1">INDEX(BB5:BC42, MATCH(B5, BA5:BA42, 0), MATCH('Retirement Dashboard'!$C$7, BB4:BC4, 0))</f>
        <v>391.13285670629784</v>
      </c>
      <c r="D5" s="279">
        <f t="shared" ref="D5:D56" ca="1" si="0">IF(B5&lt;=20,$AL$14,IF(B5&lt;=30,$AL$15,IF(B5&lt;=40,$AL$16,IF(B5&lt;=50,$AL$17,IF(B5&lt;=60,$AL$18,IF(B5&lt;=65,$AL$19,IF(B5&lt;=70,$AL$20,
IF(B5&lt;=73,$AL$21,IF(B5&lt;=75,$AL$22,IF(B5&lt;=78,$AL$23,IF(B5&lt;=80,$AL$24,IF(B5&lt;=83,$AL$25,IF(B5&lt;=85,$AL$26,IF(B5&lt;=90,$AL$27,$AL$28))))))))))))))</f>
        <v>800</v>
      </c>
      <c r="E5" s="279">
        <f t="shared" ref="E5:E56" ca="1" si="1">IF(B5&lt;=20,$AM$14,IF(B5&lt;=30,$AM$15,IF(B5&lt;=40,$AM$16,IF(B5&lt;=50,$AM$17,IF(B5&lt;=60,$AM$18,IF(B5&lt;=65,$AM$19,IF(B5&lt;=70,$AM$20,
IF(B5&lt;=73,$AM$21,IF(B5&lt;=75,$AM$22,IF(B5&lt;=78,$AM$23,IF(B5&lt;=80,$AM$24,IF(B5&lt;=83,$AM$25,IF(B5&lt;=85,$AM$26,IF(B5&lt;=90,$AM$27,$AM$28))))))))))))))</f>
        <v>600</v>
      </c>
      <c r="F5" s="279">
        <f ca="1">IF(AND('Retirement Dashboard'!$C$42="Yes", B5&lt;= 'Retirement Dashboard'!$E$42), 600, 0)</f>
        <v>600</v>
      </c>
      <c r="G5" s="279">
        <f ca="1">IF(B5&lt;'Retirement Dashboard'!$E$6,IF(B5&lt;=35,$BJ$4,IF(B5&lt;=45,$BJ$5,IF(B5&lt;=50,$BJ$6,IF(B5&lt;=55,$BJ$7,IF(B5&lt;=60,$BJ$8,IF(B5&lt;=65,$BJ$9,IF(B5&lt;=70,$BJ$10,$BJ$11)))))))*'Retirement Dashboard'!$C$12,0)</f>
        <v>5878.2640000000001</v>
      </c>
      <c r="H5" s="279">
        <f ca="1">'Retirement Dashboard'!C21-C5-D5-E5-F5+G5</f>
        <v>43487.131143293707</v>
      </c>
      <c r="I5" s="279">
        <f t="shared" ref="I5:I56" ca="1" si="2">$AL$8*H5</f>
        <v>1739.4852457317484</v>
      </c>
      <c r="J5" s="279">
        <f t="shared" ref="J5:J56" ca="1" si="3">IF(I5+H5-$AL$35&gt;0,I5+H5-$AL$35,0)</f>
        <v>0</v>
      </c>
      <c r="K5" s="279">
        <f ca="1">H5+I5-J5</f>
        <v>45226.616389025454</v>
      </c>
      <c r="L5" s="278"/>
      <c r="M5" s="280">
        <f ca="1">IF(J5&gt;=0,J5,0)</f>
        <v>0</v>
      </c>
      <c r="N5" s="279">
        <f ca="1">IF(B5&lt;$BH$31,IF(B6&lt;=35,$BI$4,IF(B6&lt;=45,$BI$5,IF(B6&lt;=50,$BI$6,IF(B6&lt;=55,$BI$7,IF(B6&lt;=60,$BI$8,IF(B6&lt;=65,$BI$9,IF(B6&lt;=70,$BI$10,$BI$11)))))))*'Retirement Dashboard'!$C$12,0)</f>
        <v>6439.7759999999989</v>
      </c>
      <c r="O5" s="279">
        <f ca="1">M5+N5+'Retirement Dashboard'!C20</f>
        <v>66439.775999999998</v>
      </c>
      <c r="P5" s="279">
        <f ca="1">IF(B5&lt;=55,$AL$5,$AL$6)*(IF(O5&gt;=40000,40000,O5))</f>
        <v>2000</v>
      </c>
      <c r="Q5" s="279">
        <f t="shared" ref="Q5:Q56" ca="1" si="4">$AN$7*IF(O5&gt;=40000,O5-40000,0)</f>
        <v>1321.9888000000001</v>
      </c>
      <c r="R5" s="279">
        <f ca="1">IF(B5&gt;=55,0,O5+P5+Q5)</f>
        <v>69761.764800000004</v>
      </c>
      <c r="T5" s="279">
        <f ca="1">IF(B5&lt;$BH$31,IF(B5&lt;=35,$BH$4,IF(B6&lt;=45,$BH$5,IF(B6&lt;=50,$BH$6,IF(B6&lt;=55,$BH$7,IF(B6&lt;=60,$BH$8,IF(B6&lt;=65,$BH$9,IF(B6&lt;=70,$BH$10,$BH$11)))))))*'Retirement Dashboard'!$C$12,0)</f>
        <v>8401.9599999999991</v>
      </c>
      <c r="U5" s="279">
        <f t="shared" ref="U5:U56" ca="1" si="5">IF(B5&lt;($BH$57+$BH$30),$BH$56*12,0)</f>
        <v>0</v>
      </c>
      <c r="V5" s="279">
        <f t="shared" ref="V5:V56" ca="1" si="6">IF(B5&lt;=34,$AN$31,IF(B5&lt;=39,$AN$32,IF(B5&lt;=44,$AN$33,IF(B5&lt;=49,$AN$34,IF(B5&lt;=54,$AN$35,IF(B5&lt;=59,$AN$36,IF(B5&lt;=69,$AN$37,0)))))))</f>
        <v>188</v>
      </c>
      <c r="W5" s="279">
        <f ca="1">IF(B5&gt;=55,T5-U5-V5+'Retirement Dashboard'!C19,T5-U5-V5+'Retirement Dashboard'!C19)</f>
        <v>29213.96</v>
      </c>
      <c r="X5" s="279">
        <f t="shared" ref="X5:X56" ca="1" si="7">IF(B5&lt;=55,$AL$3,$AN$3)*(IF(W5&gt;=20000,20000,W5))</f>
        <v>700.00000000000011</v>
      </c>
      <c r="Y5" s="279">
        <f t="shared" ref="Y5:Y56" ca="1" si="8">$AL$4*IF(W5&gt;=20000,W5-20000,W5)</f>
        <v>230.34899999999999</v>
      </c>
      <c r="Z5" s="279">
        <f ca="1">W5+X5+Y5</f>
        <v>30144.308999999997</v>
      </c>
      <c r="AA5" s="270"/>
      <c r="AB5" s="270"/>
      <c r="AC5" s="270"/>
      <c r="AD5" s="270"/>
      <c r="AE5" s="270"/>
      <c r="AF5" s="270"/>
      <c r="AG5" s="270"/>
      <c r="AH5" s="270"/>
      <c r="AI5" s="270"/>
      <c r="AJ5" s="270"/>
      <c r="AK5" s="261" t="s">
        <v>249</v>
      </c>
      <c r="AL5" s="262">
        <v>0.05</v>
      </c>
      <c r="AM5" s="261" t="s">
        <v>245</v>
      </c>
      <c r="AN5" s="263">
        <v>2.5000000000000001E-2</v>
      </c>
      <c r="AR5" s="276">
        <f ca="1">'Retirement Dashboard'!C9</f>
        <v>27</v>
      </c>
      <c r="AS5" s="276">
        <f>BH27</f>
        <v>2025</v>
      </c>
      <c r="AT5" s="269">
        <v>106500</v>
      </c>
      <c r="AU5" s="269">
        <v>213000</v>
      </c>
      <c r="AV5" s="269">
        <v>426000</v>
      </c>
      <c r="AW5" s="269">
        <v>840</v>
      </c>
      <c r="AX5" s="269">
        <v>1590</v>
      </c>
      <c r="AY5" s="269">
        <v>3330</v>
      </c>
      <c r="AZ5" s="281"/>
      <c r="BA5" s="267">
        <v>30</v>
      </c>
      <c r="BB5" s="269">
        <v>253</v>
      </c>
      <c r="BC5" s="269">
        <v>206</v>
      </c>
      <c r="BD5" s="269">
        <v>662</v>
      </c>
      <c r="BE5" s="282"/>
      <c r="BF5" s="262" t="s">
        <v>80</v>
      </c>
      <c r="BG5" s="263">
        <f t="shared" ref="BG5:BG11" si="9">SUM(BH5:BJ5)</f>
        <v>0.37</v>
      </c>
      <c r="BH5" s="263">
        <f>56.77%*BK5</f>
        <v>0.21004899999999999</v>
      </c>
      <c r="BI5" s="263">
        <f>18.91%*BK5</f>
        <v>6.9967000000000001E-2</v>
      </c>
      <c r="BJ5" s="263">
        <f>24.32%*BK5</f>
        <v>8.9983999999999995E-2</v>
      </c>
      <c r="BK5" s="262">
        <f t="shared" ref="BK5:BK11" si="10">BL5+BM5</f>
        <v>0.37</v>
      </c>
      <c r="BL5" s="262">
        <v>0.17</v>
      </c>
      <c r="BM5" s="262">
        <v>0.2</v>
      </c>
    </row>
    <row r="6" spans="1:65" ht="53" customHeight="1" x14ac:dyDescent="0.35">
      <c r="B6" s="275">
        <f ca="1">B5+1</f>
        <v>53</v>
      </c>
      <c r="C6" s="279">
        <f t="shared" ref="C6:C56" ca="1" si="11">IF(B6&gt;=67,$BI$55,C5+(1.0244%*C5))</f>
        <v>395.13962169039718</v>
      </c>
      <c r="D6" s="279">
        <f t="shared" ca="1" si="0"/>
        <v>800</v>
      </c>
      <c r="E6" s="279">
        <f t="shared" ca="1" si="1"/>
        <v>600</v>
      </c>
      <c r="F6" s="279">
        <f ca="1">IF(AND('Retirement Dashboard'!$C$42="Yes", B6&lt;= 'Retirement Dashboard'!$E$42), 600, 0)</f>
        <v>600</v>
      </c>
      <c r="G6" s="279">
        <f ca="1">IF(B6&lt;'Retirement Dashboard'!$E$6,IF(B6&lt;=35,$BJ$4,IF(B6&lt;=45,$BJ$5,IF(B6&lt;=50,$BJ$6,IF(B6&lt;=55,$BJ$7,IF(B6&lt;=60,$BJ$8,IF(B6&lt;=65,$BJ$9,IF(B6&lt;=70,$BJ$10,$BJ$11)))))))*'Retirement Dashboard'!$C$12,0)</f>
        <v>5878.2640000000001</v>
      </c>
      <c r="H6" s="279">
        <f ca="1">K5-C6-D6-E6-F6+G6</f>
        <v>48709.740767335061</v>
      </c>
      <c r="I6" s="279">
        <f t="shared" ca="1" si="2"/>
        <v>1948.3896306934025</v>
      </c>
      <c r="J6" s="279">
        <f t="shared" ca="1" si="3"/>
        <v>0</v>
      </c>
      <c r="K6" s="279">
        <f ca="1">H6+I6-J6</f>
        <v>50658.130398028465</v>
      </c>
      <c r="L6" s="278"/>
      <c r="M6" s="280">
        <f t="shared" ref="M6:M56" ca="1" si="12">IF(J6&gt;=0,J6,0)</f>
        <v>0</v>
      </c>
      <c r="N6" s="279">
        <f ca="1">IF(B6&lt;$BH$31,IF(B7&lt;=35,$BI$4,IF(B7&lt;=45,$BI$5,IF(B7&lt;=50,$BI$6,IF(B7&lt;=55,$BI$7,IF(B7&lt;=60,$BI$8,IF(B7&lt;=65,$BI$9,IF(B7&lt;=70,$BI$10,$BI$11)))))))*'Retirement Dashboard'!$C$12,0)</f>
        <v>6439.7759999999989</v>
      </c>
      <c r="O6" s="279">
        <f ca="1">R5+N6+M6</f>
        <v>76201.540800000002</v>
      </c>
      <c r="P6" s="279">
        <f t="shared" ref="P6:P56" ca="1" si="13">IF(B6&lt;=55,$AL$5,$AN$6)*(IF(O6&gt;=40000,40000,O6))</f>
        <v>2000</v>
      </c>
      <c r="Q6" s="279">
        <f t="shared" ca="1" si="4"/>
        <v>1810.0770400000001</v>
      </c>
      <c r="R6" s="279">
        <f t="shared" ref="R6:R56" ca="1" si="14">O6+P6+Q6</f>
        <v>80011.617840000006</v>
      </c>
      <c r="T6" s="279">
        <f ca="1">IF(B6&lt;$BH$31,IF(B6&lt;=35,$BH$4,IF(B7&lt;=45,$BH$5,IF(B7&lt;=50,$BH$6,IF(B7&lt;=55,$BH$7,IF(B7&lt;=60,$BH$8,IF(B7&lt;=65,$BH$9,IF(B7&lt;=70,$BH$10,$BH$11)))))))*'Retirement Dashboard'!$C$12,0)</f>
        <v>8401.9599999999991</v>
      </c>
      <c r="U6" s="279">
        <f t="shared" ca="1" si="5"/>
        <v>0</v>
      </c>
      <c r="V6" s="279">
        <f t="shared" ca="1" si="6"/>
        <v>188</v>
      </c>
      <c r="W6" s="279">
        <f ca="1">Z5+T6-U6-V6</f>
        <v>38358.269</v>
      </c>
      <c r="X6" s="279">
        <f t="shared" ca="1" si="7"/>
        <v>700.00000000000011</v>
      </c>
      <c r="Y6" s="279">
        <f t="shared" ca="1" si="8"/>
        <v>458.95672500000001</v>
      </c>
      <c r="Z6" s="279">
        <f ca="1">W6+X6+Y6</f>
        <v>39517.225724999997</v>
      </c>
      <c r="AA6" s="270"/>
      <c r="AB6" s="270"/>
      <c r="AC6" s="270"/>
      <c r="AD6" s="270"/>
      <c r="AE6" s="270"/>
      <c r="AF6" s="270"/>
      <c r="AG6" s="270"/>
      <c r="AH6" s="270"/>
      <c r="AI6" s="270"/>
      <c r="AJ6" s="270"/>
      <c r="AK6" s="261" t="s">
        <v>250</v>
      </c>
      <c r="AL6" s="262">
        <v>0.04</v>
      </c>
      <c r="AM6" s="261" t="s">
        <v>251</v>
      </c>
      <c r="AN6" s="263">
        <v>0.06</v>
      </c>
      <c r="AR6" s="275">
        <f ca="1">AR5+1</f>
        <v>28</v>
      </c>
      <c r="AS6" s="276">
        <f>AS5+1</f>
        <v>2026</v>
      </c>
      <c r="AT6" s="269">
        <v>110200</v>
      </c>
      <c r="AU6" s="269">
        <v>220440</v>
      </c>
      <c r="AV6" s="269">
        <v>440800</v>
      </c>
      <c r="AW6" s="269">
        <v>850</v>
      </c>
      <c r="AX6" s="269">
        <v>1600</v>
      </c>
      <c r="AY6" s="269">
        <f>AY5*103.31%</f>
        <v>3440.2230000000004</v>
      </c>
      <c r="AZ6" s="281"/>
      <c r="BA6" s="267">
        <v>31</v>
      </c>
      <c r="BB6" s="269">
        <f>(100%+$BB$3)*BB5</f>
        <v>258.06</v>
      </c>
      <c r="BC6" s="269">
        <f>(100%+$BB$3)*BC5</f>
        <v>210.12</v>
      </c>
      <c r="BD6" s="269">
        <f>(100%+$BD$3)*BD5</f>
        <v>675.24</v>
      </c>
      <c r="BE6" s="282"/>
      <c r="BF6" s="262" t="s">
        <v>82</v>
      </c>
      <c r="BG6" s="263">
        <f t="shared" si="9"/>
        <v>0.37</v>
      </c>
      <c r="BH6" s="263">
        <f>51.36%*BK6</f>
        <v>0.19003199999999998</v>
      </c>
      <c r="BI6" s="263">
        <f>21.62%*BK6</f>
        <v>7.9993999999999996E-2</v>
      </c>
      <c r="BJ6" s="263">
        <f>27.02%*BK6</f>
        <v>9.9973999999999993E-2</v>
      </c>
      <c r="BK6" s="262">
        <f t="shared" si="10"/>
        <v>0.37</v>
      </c>
      <c r="BL6" s="262">
        <v>0.17</v>
      </c>
      <c r="BM6" s="262">
        <v>0.2</v>
      </c>
    </row>
    <row r="7" spans="1:65" ht="53" customHeight="1" x14ac:dyDescent="0.35">
      <c r="B7" s="275">
        <f t="shared" ref="B7:B56" ca="1" si="15">B6+1</f>
        <v>54</v>
      </c>
      <c r="C7" s="279">
        <f t="shared" ca="1" si="11"/>
        <v>399.18743197499361</v>
      </c>
      <c r="D7" s="279">
        <f t="shared" ca="1" si="0"/>
        <v>800</v>
      </c>
      <c r="E7" s="279">
        <f t="shared" ca="1" si="1"/>
        <v>600</v>
      </c>
      <c r="F7" s="279">
        <f ca="1">IF(AND('Retirement Dashboard'!$C$42="Yes", B7&lt;= 'Retirement Dashboard'!$E$42), 600, 0)</f>
        <v>600</v>
      </c>
      <c r="G7" s="279">
        <f ca="1">IF(B7&lt;'Retirement Dashboard'!$E$6,IF(B7&lt;=35,$BJ$4,IF(B7&lt;=45,$BJ$5,IF(B7&lt;=50,$BJ$6,IF(B7&lt;=55,$BJ$7,IF(B7&lt;=60,$BJ$8,IF(B7&lt;=65,$BJ$9,IF(B7&lt;=70,$BJ$10,$BJ$11)))))))*'Retirement Dashboard'!$C$12,0)</f>
        <v>5878.2640000000001</v>
      </c>
      <c r="H7" s="279">
        <f t="shared" ref="H7:H56" ca="1" si="16">K6-C7-D7-E7-F7+G7</f>
        <v>54137.206966053476</v>
      </c>
      <c r="I7" s="279">
        <f t="shared" ca="1" si="2"/>
        <v>2165.488278642139</v>
      </c>
      <c r="J7" s="279">
        <f t="shared" ca="1" si="3"/>
        <v>0</v>
      </c>
      <c r="K7" s="279">
        <f t="shared" ref="K7:K56" ca="1" si="17">H7+I7-J7</f>
        <v>56302.695244695613</v>
      </c>
      <c r="L7" s="278"/>
      <c r="M7" s="280">
        <f t="shared" ca="1" si="12"/>
        <v>0</v>
      </c>
      <c r="N7" s="279">
        <f ca="1">IF(B7&lt;$BH$31,IF(B8&lt;=35,$BI$4,IF(B8&lt;=45,$BI$5,IF(B8&lt;=50,$BI$6,IF(B8&lt;=55,$BI$7,IF(B8&lt;=60,$BI$8,IF(B8&lt;=65,$BI$9,IF(B8&lt;=70,$BI$10,$BI$11)))))))*'Retirement Dashboard'!$C$12,0)</f>
        <v>6439.7759999999989</v>
      </c>
      <c r="O7" s="279">
        <f t="shared" ref="O7:O56" ca="1" si="18">R6+N7+M7</f>
        <v>86451.393840000004</v>
      </c>
      <c r="P7" s="279">
        <f t="shared" ca="1" si="13"/>
        <v>2000</v>
      </c>
      <c r="Q7" s="279">
        <f t="shared" ca="1" si="4"/>
        <v>2322.5696920000005</v>
      </c>
      <c r="R7" s="279">
        <f t="shared" ca="1" si="14"/>
        <v>90773.963532000009</v>
      </c>
      <c r="T7" s="279">
        <f ca="1">IF(B7&lt;$BH$31,IF(B7&lt;=35,$BH$4,IF(B8&lt;=45,$BH$5,IF(B8&lt;=50,$BH$6,IF(B8&lt;=55,$BH$7,IF(B8&lt;=60,$BH$8,IF(B8&lt;=65,$BH$9,IF(B8&lt;=70,$BH$10,$BH$11)))))))*'Retirement Dashboard'!$C$12,0)</f>
        <v>8401.9599999999991</v>
      </c>
      <c r="U7" s="279">
        <f t="shared" ca="1" si="5"/>
        <v>0</v>
      </c>
      <c r="V7" s="279">
        <f t="shared" ca="1" si="6"/>
        <v>188</v>
      </c>
      <c r="W7" s="279">
        <f t="shared" ref="W7:W56" ca="1" si="19">Z6+T7-U7-V7</f>
        <v>47731.185724999996</v>
      </c>
      <c r="X7" s="279">
        <f t="shared" ca="1" si="7"/>
        <v>700.00000000000011</v>
      </c>
      <c r="Y7" s="279">
        <f t="shared" ca="1" si="8"/>
        <v>693.27964312499989</v>
      </c>
      <c r="Z7" s="279">
        <f t="shared" ref="Z7:Z56" ca="1" si="20">W7+X7+Y7</f>
        <v>49124.465368124998</v>
      </c>
      <c r="AA7" s="270"/>
      <c r="AB7" s="270"/>
      <c r="AC7" s="270"/>
      <c r="AD7" s="270"/>
      <c r="AE7" s="270"/>
      <c r="AF7" s="270"/>
      <c r="AG7" s="270"/>
      <c r="AH7" s="270"/>
      <c r="AI7" s="270"/>
      <c r="AJ7" s="270"/>
      <c r="AK7" s="261" t="s">
        <v>252</v>
      </c>
      <c r="AL7" s="262" t="s">
        <v>253</v>
      </c>
      <c r="AM7" s="261" t="s">
        <v>254</v>
      </c>
      <c r="AN7" s="263">
        <v>0.05</v>
      </c>
      <c r="AR7" s="275">
        <f t="shared" ref="AR7:AS22" ca="1" si="21">AR6+1</f>
        <v>29</v>
      </c>
      <c r="AS7" s="276">
        <f t="shared" si="21"/>
        <v>2027</v>
      </c>
      <c r="AT7" s="269">
        <v>114100</v>
      </c>
      <c r="AU7" s="269">
        <v>228200</v>
      </c>
      <c r="AV7" s="269">
        <v>456400</v>
      </c>
      <c r="AW7" s="269">
        <v>900</v>
      </c>
      <c r="AX7" s="269">
        <v>1670</v>
      </c>
      <c r="AY7" s="269">
        <v>3550</v>
      </c>
      <c r="AZ7" s="281"/>
      <c r="BA7" s="267">
        <v>32</v>
      </c>
      <c r="BB7" s="269">
        <f t="shared" ref="BB7:BC22" si="22">(100%+$BB$3)*BB6</f>
        <v>263.22120000000001</v>
      </c>
      <c r="BC7" s="269">
        <f t="shared" si="22"/>
        <v>214.32240000000002</v>
      </c>
      <c r="BD7" s="269">
        <f t="shared" ref="BD7:BD42" si="23">(100%+$BD$3)*BD6</f>
        <v>688.74480000000005</v>
      </c>
      <c r="BE7" s="282"/>
      <c r="BF7" s="262" t="s">
        <v>86</v>
      </c>
      <c r="BG7" s="263">
        <f t="shared" si="9"/>
        <v>0.37</v>
      </c>
      <c r="BH7" s="263">
        <f>40.55%*BK7</f>
        <v>0.15003499999999997</v>
      </c>
      <c r="BI7" s="263">
        <f>31.08%*BK7</f>
        <v>0.11499599999999999</v>
      </c>
      <c r="BJ7" s="263">
        <f>28.37%*BK7</f>
        <v>0.10496900000000001</v>
      </c>
      <c r="BK7" s="262">
        <f t="shared" si="10"/>
        <v>0.37</v>
      </c>
      <c r="BL7" s="262">
        <v>0.17</v>
      </c>
      <c r="BM7" s="262">
        <v>0.2</v>
      </c>
    </row>
    <row r="8" spans="1:65" ht="53" customHeight="1" x14ac:dyDescent="0.35">
      <c r="B8" s="275">
        <f t="shared" ca="1" si="15"/>
        <v>55</v>
      </c>
      <c r="C8" s="279">
        <f t="shared" ca="1" si="11"/>
        <v>403.27670802814544</v>
      </c>
      <c r="D8" s="279">
        <f t="shared" ca="1" si="0"/>
        <v>800</v>
      </c>
      <c r="E8" s="279">
        <f t="shared" ca="1" si="1"/>
        <v>600</v>
      </c>
      <c r="F8" s="279">
        <f ca="1">IF(AND('Retirement Dashboard'!$C$42="Yes", B8&lt;= 'Retirement Dashboard'!$E$42), 600, 0)</f>
        <v>600</v>
      </c>
      <c r="G8" s="279">
        <f ca="1">IF(B8&lt;'Retirement Dashboard'!$E$6,IF(B8&lt;=35,$BJ$4,IF(B8&lt;=45,$BJ$5,IF(B8&lt;=50,$BJ$6,IF(B8&lt;=55,$BJ$7,IF(B8&lt;=60,$BJ$8,IF(B8&lt;=65,$BJ$9,IF(B8&lt;=70,$BJ$10,$BJ$11)))))))*'Retirement Dashboard'!$C$12,0)</f>
        <v>5878.2640000000001</v>
      </c>
      <c r="H8" s="279">
        <f ca="1">K7-C8-D8-E8-F8+G8</f>
        <v>59777.682536667468</v>
      </c>
      <c r="I8" s="279">
        <f t="shared" ca="1" si="2"/>
        <v>2391.1073014666986</v>
      </c>
      <c r="J8" s="279">
        <f t="shared" ca="1" si="3"/>
        <v>0</v>
      </c>
      <c r="K8" s="279">
        <f t="shared" ca="1" si="17"/>
        <v>62168.789838134166</v>
      </c>
      <c r="L8" s="278"/>
      <c r="M8" s="280">
        <f t="shared" ca="1" si="12"/>
        <v>0</v>
      </c>
      <c r="N8" s="279">
        <f ca="1">IF(B8&lt;$BH$31,IF(B9&lt;=35,$BI$4,IF(B9&lt;=45,$BI$5,IF(B9&lt;=50,$BI$6,IF(B9&lt;=55,$BI$7,IF(B9&lt;=60,$BI$8,IF(B9&lt;=65,$BI$9,IF(B9&lt;=70,$BI$10,$BI$11)))))))*'Retirement Dashboard'!$C$12,0)</f>
        <v>4988.6200000000008</v>
      </c>
      <c r="O8" s="279">
        <f t="shared" ca="1" si="18"/>
        <v>95762.583532000004</v>
      </c>
      <c r="P8" s="279">
        <f t="shared" ca="1" si="13"/>
        <v>2000</v>
      </c>
      <c r="Q8" s="279">
        <f t="shared" ca="1" si="4"/>
        <v>2788.1291766000004</v>
      </c>
      <c r="R8" s="279">
        <f t="shared" ca="1" si="14"/>
        <v>100550.71270860001</v>
      </c>
      <c r="T8" s="279">
        <f ca="1">IF(B8&lt;$BH$31,IF(B8&lt;=35,$BH$4,IF(B9&lt;=45,$BH$5,IF(B9&lt;=50,$BH$6,IF(B9&lt;=55,$BH$7,IF(B9&lt;=60,$BH$8,IF(B9&lt;=65,$BH$9,IF(B9&lt;=70,$BH$10,$BH$11)))))))*'Retirement Dashboard'!$C$12,0)</f>
        <v>5618.7040000000006</v>
      </c>
      <c r="U8" s="279">
        <f t="shared" ca="1" si="5"/>
        <v>0</v>
      </c>
      <c r="V8" s="279">
        <f t="shared" ca="1" si="6"/>
        <v>298</v>
      </c>
      <c r="W8" s="279">
        <f t="shared" ca="1" si="19"/>
        <v>54445.169368124996</v>
      </c>
      <c r="X8" s="279">
        <f t="shared" ca="1" si="7"/>
        <v>700.00000000000011</v>
      </c>
      <c r="Y8" s="279">
        <f t="shared" ca="1" si="8"/>
        <v>861.12923420312495</v>
      </c>
      <c r="Z8" s="279">
        <f t="shared" ca="1" si="20"/>
        <v>56006.298602328119</v>
      </c>
      <c r="AA8" s="270"/>
      <c r="AB8" s="270"/>
      <c r="AC8" s="270"/>
      <c r="AD8" s="270"/>
      <c r="AE8" s="270"/>
      <c r="AF8" s="270"/>
      <c r="AG8" s="270"/>
      <c r="AH8" s="270"/>
      <c r="AI8" s="270"/>
      <c r="AJ8" s="270"/>
      <c r="AK8" s="283" t="s">
        <v>255</v>
      </c>
      <c r="AL8" s="284">
        <v>0.04</v>
      </c>
      <c r="AM8" s="261" t="s">
        <v>256</v>
      </c>
      <c r="AN8" s="262">
        <v>0.04</v>
      </c>
      <c r="AR8" s="275">
        <f t="shared" ca="1" si="21"/>
        <v>30</v>
      </c>
      <c r="AS8" s="276">
        <f t="shared" si="21"/>
        <v>2028</v>
      </c>
      <c r="AT8" s="269">
        <f>(AT7*103.47%)</f>
        <v>118059.26999999999</v>
      </c>
      <c r="AU8" s="269">
        <f>AU7*103.5%</f>
        <v>236186.99999999997</v>
      </c>
      <c r="AV8" s="269">
        <f>AV7*103.5%</f>
        <v>472373.99999999994</v>
      </c>
      <c r="AW8" s="269">
        <v>930</v>
      </c>
      <c r="AX8" s="269">
        <v>1730</v>
      </c>
      <c r="AY8" s="269">
        <f>AY7*103.31%</f>
        <v>3667.5050000000006</v>
      </c>
      <c r="AZ8" s="281"/>
      <c r="BA8" s="267">
        <v>33</v>
      </c>
      <c r="BB8" s="269">
        <f t="shared" si="22"/>
        <v>268.48562400000003</v>
      </c>
      <c r="BC8" s="269">
        <f t="shared" si="22"/>
        <v>218.60884800000002</v>
      </c>
      <c r="BD8" s="269">
        <f t="shared" si="23"/>
        <v>702.51969600000007</v>
      </c>
      <c r="BE8" s="282"/>
      <c r="BF8" s="262" t="s">
        <v>90</v>
      </c>
      <c r="BG8" s="263">
        <f t="shared" si="9"/>
        <v>0.29949400000000004</v>
      </c>
      <c r="BH8" s="263">
        <f>30.872%*BK8</f>
        <v>0.10033400000000001</v>
      </c>
      <c r="BI8" s="263">
        <f>27.41%*BK8</f>
        <v>8.9082500000000009E-2</v>
      </c>
      <c r="BJ8" s="263">
        <f>33.87%*BK8</f>
        <v>0.11007750000000001</v>
      </c>
      <c r="BK8" s="262">
        <f>BL8+BM8</f>
        <v>0.32500000000000001</v>
      </c>
      <c r="BL8" s="262">
        <f>32.5%-17%</f>
        <v>0.155</v>
      </c>
      <c r="BM8" s="262">
        <v>0.17</v>
      </c>
    </row>
    <row r="9" spans="1:65" ht="53" customHeight="1" x14ac:dyDescent="0.35">
      <c r="B9" s="275">
        <f t="shared" ca="1" si="15"/>
        <v>56</v>
      </c>
      <c r="C9" s="279">
        <f t="shared" ca="1" si="11"/>
        <v>407.40787462518574</v>
      </c>
      <c r="D9" s="279">
        <f t="shared" ca="1" si="0"/>
        <v>800</v>
      </c>
      <c r="E9" s="279">
        <f t="shared" ca="1" si="1"/>
        <v>600</v>
      </c>
      <c r="F9" s="279">
        <f ca="1">IF(AND('Retirement Dashboard'!$C$42="Yes", B9&lt;= 'Retirement Dashboard'!$E$42), 600, 0)</f>
        <v>600</v>
      </c>
      <c r="G9" s="279">
        <f ca="1">IF(B9&lt;'Retirement Dashboard'!$E$6,IF(B9&lt;=35,$BJ$4,IF(B9&lt;=45,$BJ$5,IF(B9&lt;=50,$BJ$6,IF(B9&lt;=55,$BJ$7,IF(B9&lt;=60,$BJ$8,IF(B9&lt;=65,$BJ$9,IF(B9&lt;=70,$BJ$10,$BJ$11)))))))*'Retirement Dashboard'!$C$12,0)</f>
        <v>6164.34</v>
      </c>
      <c r="H9" s="279">
        <f t="shared" ca="1" si="16"/>
        <v>65925.721963508986</v>
      </c>
      <c r="I9" s="279">
        <f t="shared" ca="1" si="2"/>
        <v>2637.0288785403595</v>
      </c>
      <c r="J9" s="279">
        <f t="shared" ca="1" si="3"/>
        <v>0</v>
      </c>
      <c r="K9" s="279">
        <f t="shared" ca="1" si="17"/>
        <v>68562.75084204934</v>
      </c>
      <c r="L9" s="278"/>
      <c r="M9" s="280">
        <f t="shared" ca="1" si="12"/>
        <v>0</v>
      </c>
      <c r="N9" s="279">
        <f ca="1">IF(B9&lt;$BH$31,IF(B10&lt;=35,$BI$4,IF(B10&lt;=45,$BI$5,IF(B10&lt;=50,$BI$6,IF(B10&lt;=55,$BI$7,IF(B10&lt;=60,$BI$8,IF(B10&lt;=65,$BI$9,IF(B10&lt;=70,$BI$10,$BI$11)))))))*'Retirement Dashboard'!$C$12,0)</f>
        <v>4988.6200000000008</v>
      </c>
      <c r="O9" s="279">
        <f t="shared" ca="1" si="18"/>
        <v>105539.33270860001</v>
      </c>
      <c r="P9" s="279">
        <f t="shared" ca="1" si="13"/>
        <v>2400</v>
      </c>
      <c r="Q9" s="279">
        <f t="shared" ca="1" si="4"/>
        <v>3276.9666354300007</v>
      </c>
      <c r="R9" s="279">
        <f t="shared" ca="1" si="14"/>
        <v>111216.29934403001</v>
      </c>
      <c r="T9" s="279">
        <f ca="1">IF(B9&lt;$BH$31,IF(B9&lt;=35,$BH$4,IF(B10&lt;=45,$BH$5,IF(B10&lt;=50,$BH$6,IF(B10&lt;=55,$BH$7,IF(B10&lt;=60,$BH$8,IF(B10&lt;=65,$BH$9,IF(B10&lt;=70,$BH$10,$BH$11)))))))*'Retirement Dashboard'!$C$12,0)</f>
        <v>5618.7040000000006</v>
      </c>
      <c r="U9" s="279">
        <f t="shared" ca="1" si="5"/>
        <v>0</v>
      </c>
      <c r="V9" s="279">
        <f t="shared" ca="1" si="6"/>
        <v>298</v>
      </c>
      <c r="W9" s="279">
        <f t="shared" ca="1" si="19"/>
        <v>61327.002602328117</v>
      </c>
      <c r="X9" s="279">
        <f t="shared" ca="1" si="7"/>
        <v>1200</v>
      </c>
      <c r="Y9" s="279">
        <f t="shared" ca="1" si="8"/>
        <v>1033.175065058203</v>
      </c>
      <c r="Z9" s="279">
        <f t="shared" ca="1" si="20"/>
        <v>63560.177667386321</v>
      </c>
      <c r="AA9" s="270"/>
      <c r="AB9" s="270"/>
      <c r="AC9" s="270"/>
      <c r="AD9" s="270"/>
      <c r="AE9" s="270"/>
      <c r="AF9" s="270"/>
      <c r="AG9" s="270"/>
      <c r="AH9" s="270"/>
      <c r="AI9" s="270"/>
      <c r="AJ9" s="270"/>
      <c r="AK9" s="285"/>
      <c r="AL9" s="286"/>
      <c r="AM9" s="287" t="s">
        <v>257</v>
      </c>
      <c r="AN9" s="263" t="s">
        <v>258</v>
      </c>
      <c r="AR9" s="275">
        <f t="shared" ca="1" si="21"/>
        <v>31</v>
      </c>
      <c r="AS9" s="276">
        <f t="shared" si="21"/>
        <v>2029</v>
      </c>
      <c r="AT9" s="269">
        <f t="shared" ref="AT9:AT40" si="24">(AT8*103.5%)</f>
        <v>122191.34444999998</v>
      </c>
      <c r="AU9" s="269">
        <f t="shared" ref="AU9:AV24" si="25">AU8*103.5%</f>
        <v>244453.54499999995</v>
      </c>
      <c r="AV9" s="269">
        <f t="shared" si="25"/>
        <v>488907.08999999991</v>
      </c>
      <c r="AW9" s="269">
        <v>950</v>
      </c>
      <c r="AX9" s="269">
        <v>1780</v>
      </c>
      <c r="AY9" s="269">
        <f t="shared" ref="AY9:AY41" si="26">AY8*103.31%</f>
        <v>3788.8994155000009</v>
      </c>
      <c r="AZ9" s="281"/>
      <c r="BA9" s="267">
        <v>34</v>
      </c>
      <c r="BB9" s="269">
        <f t="shared" si="22"/>
        <v>273.85533648000006</v>
      </c>
      <c r="BC9" s="269">
        <f t="shared" si="22"/>
        <v>222.98102496000001</v>
      </c>
      <c r="BD9" s="269">
        <f t="shared" si="23"/>
        <v>716.5700899200001</v>
      </c>
      <c r="BE9" s="270"/>
      <c r="BF9" s="262" t="s">
        <v>92</v>
      </c>
      <c r="BG9" s="263">
        <f t="shared" si="9"/>
        <v>0.23429499999999998</v>
      </c>
      <c r="BH9" s="263">
        <f>15.62%*BK9</f>
        <v>3.6706999999999997E-2</v>
      </c>
      <c r="BI9" s="263">
        <f>36.36%*BK9</f>
        <v>8.5445999999999994E-2</v>
      </c>
      <c r="BJ9" s="263">
        <f>47.72%*BK9</f>
        <v>0.11214199999999999</v>
      </c>
      <c r="BK9" s="262">
        <f t="shared" si="10"/>
        <v>0.23499999999999999</v>
      </c>
      <c r="BL9" s="262">
        <f>23.5%-BM9</f>
        <v>0.11999999999999998</v>
      </c>
      <c r="BM9" s="262">
        <v>0.115</v>
      </c>
    </row>
    <row r="10" spans="1:65" ht="53" customHeight="1" x14ac:dyDescent="0.35">
      <c r="B10" s="275">
        <f t="shared" ca="1" si="15"/>
        <v>57</v>
      </c>
      <c r="C10" s="279">
        <f t="shared" ca="1" si="11"/>
        <v>411.58136089284613</v>
      </c>
      <c r="D10" s="279">
        <f t="shared" ca="1" si="0"/>
        <v>800</v>
      </c>
      <c r="E10" s="279">
        <f t="shared" ca="1" si="1"/>
        <v>600</v>
      </c>
      <c r="F10" s="279">
        <f ca="1">IF(AND('Retirement Dashboard'!$C$42="Yes", B10&lt;= 'Retirement Dashboard'!$E$42), 600, 0)</f>
        <v>600</v>
      </c>
      <c r="G10" s="279">
        <f ca="1">IF(B10&lt;'Retirement Dashboard'!$E$6,IF(B10&lt;=35,$BJ$4,IF(B10&lt;=45,$BJ$5,IF(B10&lt;=50,$BJ$6,IF(B10&lt;=55,$BJ$7,IF(B10&lt;=60,$BJ$8,IF(B10&lt;=65,$BJ$9,IF(B10&lt;=70,$BJ$10,$BJ$11)))))))*'Retirement Dashboard'!$C$12,0)</f>
        <v>6164.34</v>
      </c>
      <c r="H10" s="279">
        <f t="shared" ca="1" si="16"/>
        <v>72315.509481156492</v>
      </c>
      <c r="I10" s="279">
        <f t="shared" ca="1" si="2"/>
        <v>2892.6203792462597</v>
      </c>
      <c r="J10" s="279">
        <f t="shared" ca="1" si="3"/>
        <v>0</v>
      </c>
      <c r="K10" s="279">
        <f t="shared" ca="1" si="17"/>
        <v>75208.129860402754</v>
      </c>
      <c r="L10" s="278"/>
      <c r="M10" s="280">
        <f t="shared" ca="1" si="12"/>
        <v>0</v>
      </c>
      <c r="N10" s="279">
        <f ca="1">IF(B10&lt;$BH$31,IF(B11&lt;=35,$BI$4,IF(B11&lt;=45,$BI$5,IF(B11&lt;=50,$BI$6,IF(B11&lt;=55,$BI$7,IF(B11&lt;=60,$BI$8,IF(B11&lt;=65,$BI$9,IF(B11&lt;=70,$BI$10,$BI$11)))))))*'Retirement Dashboard'!$C$12,0)</f>
        <v>4988.6200000000008</v>
      </c>
      <c r="O10" s="279">
        <f t="shared" ca="1" si="18"/>
        <v>116204.91934403</v>
      </c>
      <c r="P10" s="279">
        <f t="shared" ca="1" si="13"/>
        <v>2400</v>
      </c>
      <c r="Q10" s="279">
        <f t="shared" ca="1" si="4"/>
        <v>3810.2459672015002</v>
      </c>
      <c r="R10" s="279">
        <f t="shared" ca="1" si="14"/>
        <v>122415.1653112315</v>
      </c>
      <c r="T10" s="279">
        <f ca="1">IF(B10&lt;$BH$31,IF(B10&lt;=35,$BH$4,IF(B11&lt;=45,$BH$5,IF(B11&lt;=50,$BH$6,IF(B11&lt;=55,$BH$7,IF(B11&lt;=60,$BH$8,IF(B11&lt;=65,$BH$9,IF(B11&lt;=70,$BH$10,$BH$11)))))))*'Retirement Dashboard'!$C$12,0)</f>
        <v>5618.7040000000006</v>
      </c>
      <c r="U10" s="279">
        <f t="shared" ca="1" si="5"/>
        <v>0</v>
      </c>
      <c r="V10" s="279">
        <f t="shared" ca="1" si="6"/>
        <v>298</v>
      </c>
      <c r="W10" s="279">
        <f t="shared" ca="1" si="19"/>
        <v>68880.881667386318</v>
      </c>
      <c r="X10" s="279">
        <f t="shared" ca="1" si="7"/>
        <v>1200</v>
      </c>
      <c r="Y10" s="279">
        <f t="shared" ca="1" si="8"/>
        <v>1222.022041684658</v>
      </c>
      <c r="Z10" s="279">
        <f t="shared" ca="1" si="20"/>
        <v>71302.903709070975</v>
      </c>
      <c r="AA10" s="270"/>
      <c r="AB10" s="270"/>
      <c r="AC10" s="270"/>
      <c r="AD10" s="270"/>
      <c r="AE10" s="270"/>
      <c r="AF10" s="270"/>
      <c r="AG10" s="270"/>
      <c r="AH10" s="270"/>
      <c r="AI10" s="270"/>
      <c r="AJ10" s="270"/>
      <c r="AK10" s="288"/>
      <c r="AL10" s="289"/>
      <c r="AM10" s="287" t="s">
        <v>71</v>
      </c>
      <c r="AN10" s="263">
        <v>0.04</v>
      </c>
      <c r="AR10" s="275">
        <f t="shared" ca="1" si="21"/>
        <v>32</v>
      </c>
      <c r="AS10" s="276">
        <f t="shared" si="21"/>
        <v>2030</v>
      </c>
      <c r="AT10" s="269">
        <f t="shared" si="24"/>
        <v>126468.04150574996</v>
      </c>
      <c r="AU10" s="269">
        <f t="shared" si="25"/>
        <v>253009.41907499993</v>
      </c>
      <c r="AV10" s="269">
        <f t="shared" si="25"/>
        <v>506018.83814999985</v>
      </c>
      <c r="AW10" s="269">
        <v>980</v>
      </c>
      <c r="AX10" s="269">
        <v>1840</v>
      </c>
      <c r="AY10" s="269">
        <f t="shared" si="26"/>
        <v>3914.3119861530513</v>
      </c>
      <c r="AZ10" s="281"/>
      <c r="BA10" s="267">
        <v>35</v>
      </c>
      <c r="BB10" s="269">
        <f t="shared" si="22"/>
        <v>279.33244320960006</v>
      </c>
      <c r="BC10" s="269">
        <f t="shared" si="22"/>
        <v>227.44064545920003</v>
      </c>
      <c r="BD10" s="269">
        <f t="shared" si="23"/>
        <v>730.90149171840017</v>
      </c>
      <c r="BE10" s="270"/>
      <c r="BF10" s="262" t="s">
        <v>94</v>
      </c>
      <c r="BG10" s="263">
        <f t="shared" si="9"/>
        <v>0.16500000000000001</v>
      </c>
      <c r="BH10" s="263">
        <f>6.07%*BK10</f>
        <v>1.0015500000000002E-2</v>
      </c>
      <c r="BI10" s="263">
        <f>30.3%*BK10</f>
        <v>4.9994999999999998E-2</v>
      </c>
      <c r="BJ10" s="263">
        <f>63.63%*BK10</f>
        <v>0.1049895</v>
      </c>
      <c r="BK10" s="262">
        <f t="shared" si="10"/>
        <v>0.16500000000000001</v>
      </c>
      <c r="BL10" s="262">
        <f>16.5%-BM10</f>
        <v>9.0000000000000011E-2</v>
      </c>
      <c r="BM10" s="262">
        <v>7.4999999999999997E-2</v>
      </c>
    </row>
    <row r="11" spans="1:65" ht="53" customHeight="1" x14ac:dyDescent="0.35">
      <c r="A11" s="290"/>
      <c r="B11" s="291">
        <f t="shared" ca="1" si="15"/>
        <v>58</v>
      </c>
      <c r="C11" s="280">
        <f t="shared" ca="1" si="11"/>
        <v>415.79760035383242</v>
      </c>
      <c r="D11" s="280">
        <f t="shared" ca="1" si="0"/>
        <v>800</v>
      </c>
      <c r="E11" s="280">
        <f t="shared" ca="1" si="1"/>
        <v>600</v>
      </c>
      <c r="F11" s="279">
        <f ca="1">IF(AND('Retirement Dashboard'!$C$42="Yes", B11&lt;= 'Retirement Dashboard'!$E$42), 600, 0)</f>
        <v>600</v>
      </c>
      <c r="G11" s="279">
        <f ca="1">IF(B11&lt;'Retirement Dashboard'!$E$6,IF(B11&lt;=35,$BJ$4,IF(B11&lt;=45,$BJ$5,IF(B11&lt;=50,$BJ$6,IF(B11&lt;=55,$BJ$7,IF(B11&lt;=60,$BJ$8,IF(B11&lt;=65,$BJ$9,IF(B11&lt;=70,$BJ$10,$BJ$11)))))))*'Retirement Dashboard'!$C$12,0)</f>
        <v>6164.34</v>
      </c>
      <c r="H11" s="279">
        <f t="shared" ca="1" si="16"/>
        <v>78956.672260048916</v>
      </c>
      <c r="I11" s="279">
        <f t="shared" ca="1" si="2"/>
        <v>3158.2668904019565</v>
      </c>
      <c r="J11" s="279">
        <f t="shared" ca="1" si="3"/>
        <v>6614.9391504508676</v>
      </c>
      <c r="K11" s="279">
        <f ca="1">H11+I11-J11</f>
        <v>75500</v>
      </c>
      <c r="L11" s="292"/>
      <c r="M11" s="280">
        <f t="shared" ca="1" si="12"/>
        <v>6614.9391504508676</v>
      </c>
      <c r="N11" s="279">
        <f ca="1">IF(B11&lt;$BH$31,IF(B12&lt;=35,$BI$4,IF(B12&lt;=45,$BI$5,IF(B12&lt;=50,$BI$6,IF(B12&lt;=55,$BI$7,IF(B12&lt;=60,$BI$8,IF(B12&lt;=65,$BI$9,IF(B12&lt;=70,$BI$10,$BI$11)))))))*'Retirement Dashboard'!$C$12,0)</f>
        <v>4988.6200000000008</v>
      </c>
      <c r="O11" s="279">
        <f t="shared" ca="1" si="18"/>
        <v>134018.72446168237</v>
      </c>
      <c r="P11" s="279">
        <f t="shared" ca="1" si="13"/>
        <v>2400</v>
      </c>
      <c r="Q11" s="279">
        <f t="shared" ca="1" si="4"/>
        <v>4700.9362230841189</v>
      </c>
      <c r="R11" s="280">
        <f t="shared" ca="1" si="14"/>
        <v>141119.66068476648</v>
      </c>
      <c r="S11" s="290"/>
      <c r="T11" s="279">
        <f ca="1">IF(B11&lt;$BH$31,IF(B11&lt;=35,$BH$4,IF(B12&lt;=45,$BH$5,IF(B12&lt;=50,$BH$6,IF(B12&lt;=55,$BH$7,IF(B12&lt;=60,$BH$8,IF(B12&lt;=65,$BH$9,IF(B12&lt;=70,$BH$10,$BH$11)))))))*'Retirement Dashboard'!$C$12,0)</f>
        <v>5618.7040000000006</v>
      </c>
      <c r="U11" s="279">
        <f t="shared" ca="1" si="5"/>
        <v>0</v>
      </c>
      <c r="V11" s="279">
        <f t="shared" ca="1" si="6"/>
        <v>298</v>
      </c>
      <c r="W11" s="280">
        <f t="shared" ca="1" si="19"/>
        <v>76623.607709070973</v>
      </c>
      <c r="X11" s="279">
        <f t="shared" ca="1" si="7"/>
        <v>1200</v>
      </c>
      <c r="Y11" s="279">
        <f t="shared" ca="1" si="8"/>
        <v>1415.5901927267744</v>
      </c>
      <c r="Z11" s="279">
        <f t="shared" ca="1" si="20"/>
        <v>79239.197901797743</v>
      </c>
      <c r="AA11" s="270"/>
      <c r="AB11" s="270"/>
      <c r="AC11" s="270"/>
      <c r="AD11" s="270"/>
      <c r="AE11" s="270"/>
      <c r="AF11" s="270"/>
      <c r="AG11" s="270"/>
      <c r="AH11" s="270"/>
      <c r="AI11" s="270"/>
      <c r="AJ11" s="270"/>
      <c r="AR11" s="275">
        <f t="shared" ca="1" si="21"/>
        <v>33</v>
      </c>
      <c r="AS11" s="276">
        <f t="shared" si="21"/>
        <v>2031</v>
      </c>
      <c r="AT11" s="269">
        <f t="shared" si="24"/>
        <v>130894.42295845121</v>
      </c>
      <c r="AU11" s="269">
        <f t="shared" si="25"/>
        <v>261864.74874262491</v>
      </c>
      <c r="AV11" s="269">
        <f t="shared" si="25"/>
        <v>523729.49748524983</v>
      </c>
      <c r="AW11" s="269">
        <f t="shared" ref="AW11:AW24" si="27">AW10+30</f>
        <v>1010</v>
      </c>
      <c r="AX11" s="269">
        <f t="shared" ref="AX11:AX24" si="28">AX10+60</f>
        <v>1900</v>
      </c>
      <c r="AY11" s="269">
        <f t="shared" si="26"/>
        <v>4043.8757128947177</v>
      </c>
      <c r="AZ11" s="281"/>
      <c r="BA11" s="267">
        <v>36</v>
      </c>
      <c r="BB11" s="269">
        <f t="shared" si="22"/>
        <v>284.91909207379206</v>
      </c>
      <c r="BC11" s="269">
        <f t="shared" si="22"/>
        <v>231.98945836838402</v>
      </c>
      <c r="BD11" s="269">
        <f t="shared" si="23"/>
        <v>745.5195215527682</v>
      </c>
      <c r="BE11" s="270"/>
      <c r="BF11" s="262" t="s">
        <v>96</v>
      </c>
      <c r="BG11" s="263">
        <f t="shared" si="9"/>
        <v>0.125</v>
      </c>
      <c r="BH11" s="263">
        <f>8%*BK11</f>
        <v>0.01</v>
      </c>
      <c r="BI11" s="263">
        <f>8%*BK11</f>
        <v>0.01</v>
      </c>
      <c r="BJ11" s="263">
        <f>84%*BK11</f>
        <v>0.105</v>
      </c>
      <c r="BK11" s="262">
        <f t="shared" si="10"/>
        <v>0.125</v>
      </c>
      <c r="BL11" s="262">
        <f>12.5%-BM11</f>
        <v>7.4999999999999997E-2</v>
      </c>
      <c r="BM11" s="262">
        <v>0.05</v>
      </c>
    </row>
    <row r="12" spans="1:65" ht="53" customHeight="1" x14ac:dyDescent="0.35">
      <c r="B12" s="275">
        <f t="shared" ca="1" si="15"/>
        <v>59</v>
      </c>
      <c r="C12" s="279">
        <f t="shared" ca="1" si="11"/>
        <v>420.0570309718571</v>
      </c>
      <c r="D12" s="279">
        <f t="shared" ca="1" si="0"/>
        <v>800</v>
      </c>
      <c r="E12" s="279">
        <f t="shared" ca="1" si="1"/>
        <v>600</v>
      </c>
      <c r="F12" s="279">
        <f ca="1">IF(AND('Retirement Dashboard'!$C$42="Yes", B12&lt;= 'Retirement Dashboard'!$E$42), 600, 0)</f>
        <v>600</v>
      </c>
      <c r="G12" s="279">
        <f ca="1">IF(B12&lt;'Retirement Dashboard'!$E$6,IF(B12&lt;=35,$BJ$4,IF(B12&lt;=45,$BJ$5,IF(B12&lt;=50,$BJ$6,IF(B12&lt;=55,$BJ$7,IF(B12&lt;=60,$BJ$8,IF(B12&lt;=65,$BJ$9,IF(B12&lt;=70,$BJ$10,$BJ$11)))))))*'Retirement Dashboard'!$C$12,0)</f>
        <v>6164.34</v>
      </c>
      <c r="H12" s="279">
        <f t="shared" ca="1" si="16"/>
        <v>79244.282969028136</v>
      </c>
      <c r="I12" s="279">
        <f t="shared" ca="1" si="2"/>
        <v>3169.7713187611257</v>
      </c>
      <c r="J12" s="279">
        <f t="shared" ca="1" si="3"/>
        <v>6914.0542877892585</v>
      </c>
      <c r="K12" s="279">
        <f t="shared" ca="1" si="17"/>
        <v>75500</v>
      </c>
      <c r="L12" s="278"/>
      <c r="M12" s="280">
        <f t="shared" ca="1" si="12"/>
        <v>6914.0542877892585</v>
      </c>
      <c r="N12" s="279">
        <f ca="1">IF(B12&lt;$BH$31,IF(B13&lt;=35,$BI$4,IF(B13&lt;=45,$BI$5,IF(B13&lt;=50,$BI$6,IF(B13&lt;=55,$BI$7,IF(B13&lt;=60,$BI$8,IF(B13&lt;=65,$BI$9,IF(B13&lt;=70,$BI$10,$BI$11)))))))*'Retirement Dashboard'!$C$12,0)</f>
        <v>4988.6200000000008</v>
      </c>
      <c r="O12" s="279">
        <f t="shared" ca="1" si="18"/>
        <v>153022.33497255575</v>
      </c>
      <c r="P12" s="279">
        <f t="shared" ca="1" si="13"/>
        <v>2400</v>
      </c>
      <c r="Q12" s="279">
        <f t="shared" ca="1" si="4"/>
        <v>5651.1167486277882</v>
      </c>
      <c r="R12" s="279">
        <f t="shared" ca="1" si="14"/>
        <v>161073.45172118355</v>
      </c>
      <c r="T12" s="279">
        <f ca="1">IF(B12&lt;$BH$31,IF(B12&lt;=35,$BH$4,IF(B13&lt;=45,$BH$5,IF(B13&lt;=50,$BH$6,IF(B13&lt;=55,$BH$7,IF(B13&lt;=60,$BH$8,IF(B13&lt;=65,$BH$9,IF(B13&lt;=70,$BH$10,$BH$11)))))))*'Retirement Dashboard'!$C$12,0)</f>
        <v>5618.7040000000006</v>
      </c>
      <c r="U12" s="279">
        <f t="shared" ca="1" si="5"/>
        <v>0</v>
      </c>
      <c r="V12" s="279">
        <f t="shared" ca="1" si="6"/>
        <v>298</v>
      </c>
      <c r="W12" s="279">
        <f t="shared" ca="1" si="19"/>
        <v>84559.901901797741</v>
      </c>
      <c r="X12" s="279">
        <f t="shared" ca="1" si="7"/>
        <v>1200</v>
      </c>
      <c r="Y12" s="279">
        <f t="shared" ca="1" si="8"/>
        <v>1613.9975475449437</v>
      </c>
      <c r="Z12" s="279">
        <f t="shared" ca="1" si="20"/>
        <v>87373.899449342687</v>
      </c>
      <c r="AA12" s="270"/>
      <c r="AB12" s="270"/>
      <c r="AC12" s="270"/>
      <c r="AD12" s="270"/>
      <c r="AE12" s="270"/>
      <c r="AF12" s="270"/>
      <c r="AG12" s="270"/>
      <c r="AH12" s="270"/>
      <c r="AI12" s="270"/>
      <c r="AJ12" s="270"/>
      <c r="AK12" s="293" t="s">
        <v>259</v>
      </c>
      <c r="AL12" s="293"/>
      <c r="AM12" s="293"/>
      <c r="AR12" s="275">
        <f ca="1">AR11+1</f>
        <v>34</v>
      </c>
      <c r="AS12" s="276">
        <f t="shared" si="21"/>
        <v>2032</v>
      </c>
      <c r="AT12" s="269">
        <f t="shared" si="24"/>
        <v>135475.727761997</v>
      </c>
      <c r="AU12" s="269">
        <f t="shared" si="25"/>
        <v>271030.01494861674</v>
      </c>
      <c r="AV12" s="269">
        <f t="shared" si="25"/>
        <v>542060.02989723347</v>
      </c>
      <c r="AW12" s="269">
        <f>AW11+30</f>
        <v>1040</v>
      </c>
      <c r="AX12" s="269">
        <f>AX11+60</f>
        <v>1960</v>
      </c>
      <c r="AY12" s="269">
        <f t="shared" si="26"/>
        <v>4177.7279989915332</v>
      </c>
      <c r="AZ12" s="281"/>
      <c r="BA12" s="267">
        <v>37</v>
      </c>
      <c r="BB12" s="269">
        <f t="shared" si="22"/>
        <v>290.61747391526791</v>
      </c>
      <c r="BC12" s="269">
        <f t="shared" si="22"/>
        <v>236.62924753575172</v>
      </c>
      <c r="BD12" s="269">
        <f t="shared" si="23"/>
        <v>760.42991198382356</v>
      </c>
      <c r="BE12" s="270"/>
      <c r="BF12" s="270"/>
      <c r="BG12" s="270"/>
    </row>
    <row r="13" spans="1:65" ht="53" customHeight="1" x14ac:dyDescent="0.35">
      <c r="A13" s="294"/>
      <c r="B13" s="275">
        <f t="shared" ca="1" si="15"/>
        <v>60</v>
      </c>
      <c r="C13" s="279">
        <f t="shared" ca="1" si="11"/>
        <v>424.36009519713281</v>
      </c>
      <c r="D13" s="279">
        <f t="shared" ca="1" si="0"/>
        <v>800</v>
      </c>
      <c r="E13" s="279">
        <f t="shared" ca="1" si="1"/>
        <v>600</v>
      </c>
      <c r="F13" s="279">
        <f ca="1">IF(AND('Retirement Dashboard'!$C$42="Yes", B13&lt;= 'Retirement Dashboard'!$E$42), 600, 0)</f>
        <v>600</v>
      </c>
      <c r="G13" s="279">
        <f ca="1">IF(B13&lt;'Retirement Dashboard'!$E$6,IF(B13&lt;=35,$BJ$4,IF(B13&lt;=45,$BJ$5,IF(B13&lt;=50,$BJ$6,IF(B13&lt;=55,$BJ$7,IF(B13&lt;=60,$BJ$8,IF(B13&lt;=65,$BJ$9,IF(B13&lt;=70,$BJ$10,$BJ$11)))))))*'Retirement Dashboard'!$C$12,0)</f>
        <v>6164.34</v>
      </c>
      <c r="H13" s="279">
        <f t="shared" ca="1" si="16"/>
        <v>79239.979904802865</v>
      </c>
      <c r="I13" s="279">
        <f t="shared" ca="1" si="2"/>
        <v>3169.5991961921145</v>
      </c>
      <c r="J13" s="279">
        <f t="shared" ca="1" si="3"/>
        <v>6909.5791009949753</v>
      </c>
      <c r="K13" s="279">
        <f t="shared" ca="1" si="17"/>
        <v>75500</v>
      </c>
      <c r="L13" s="295"/>
      <c r="M13" s="280">
        <f t="shared" ca="1" si="12"/>
        <v>6909.5791009949753</v>
      </c>
      <c r="N13" s="279">
        <f ca="1">IF(B13&lt;$BH$31,IF(B14&lt;=35,$BI$4,IF(B14&lt;=45,$BI$5,IF(B14&lt;=50,$BI$6,IF(B14&lt;=55,$BI$7,IF(B14&lt;=60,$BI$8,IF(B14&lt;=65,$BI$9,IF(B14&lt;=70,$BI$10,$BI$11)))))))*'Retirement Dashboard'!$C$12,0)</f>
        <v>4784.9759999999997</v>
      </c>
      <c r="O13" s="279">
        <f t="shared" ca="1" si="18"/>
        <v>172768.00682217852</v>
      </c>
      <c r="P13" s="279">
        <f t="shared" ca="1" si="13"/>
        <v>2400</v>
      </c>
      <c r="Q13" s="279">
        <f t="shared" ca="1" si="4"/>
        <v>6638.4003411089261</v>
      </c>
      <c r="R13" s="279">
        <f t="shared" ca="1" si="14"/>
        <v>181806.40716328745</v>
      </c>
      <c r="S13" s="294"/>
      <c r="T13" s="279">
        <f ca="1">IF(B13&lt;$BH$31,IF(B13&lt;=35,$BH$4,IF(B14&lt;=45,$BH$5,IF(B14&lt;=50,$BH$6,IF(B14&lt;=55,$BH$7,IF(B14&lt;=60,$BH$8,IF(B14&lt;=65,$BH$9,IF(B14&lt;=70,$BH$10,$BH$11)))))))*'Retirement Dashboard'!$C$12,0)</f>
        <v>2055.5919999999996</v>
      </c>
      <c r="U13" s="279">
        <f t="shared" ca="1" si="5"/>
        <v>0</v>
      </c>
      <c r="V13" s="279">
        <f t="shared" ca="1" si="6"/>
        <v>298</v>
      </c>
      <c r="W13" s="279">
        <f t="shared" ca="1" si="19"/>
        <v>89131.491449342691</v>
      </c>
      <c r="X13" s="279">
        <f t="shared" ca="1" si="7"/>
        <v>1200</v>
      </c>
      <c r="Y13" s="279">
        <f t="shared" ca="1" si="8"/>
        <v>1728.2872862335673</v>
      </c>
      <c r="Z13" s="279">
        <f t="shared" ca="1" si="20"/>
        <v>92059.778735576256</v>
      </c>
      <c r="AA13" s="270"/>
      <c r="AB13" s="270"/>
      <c r="AC13" s="270"/>
      <c r="AD13" s="270"/>
      <c r="AE13" s="270"/>
      <c r="AF13" s="270"/>
      <c r="AG13" s="270"/>
      <c r="AH13" s="270"/>
      <c r="AI13" s="270"/>
      <c r="AJ13" s="270"/>
      <c r="AK13" s="272" t="s">
        <v>3</v>
      </c>
      <c r="AL13" s="272" t="s">
        <v>260</v>
      </c>
      <c r="AM13" s="296" t="s">
        <v>261</v>
      </c>
      <c r="AR13" s="275">
        <f ca="1">AR12+1</f>
        <v>35</v>
      </c>
      <c r="AS13" s="276">
        <f t="shared" si="21"/>
        <v>2033</v>
      </c>
      <c r="AT13" s="269">
        <f t="shared" si="24"/>
        <v>140217.37823366688</v>
      </c>
      <c r="AU13" s="269">
        <f t="shared" si="25"/>
        <v>280516.06547181832</v>
      </c>
      <c r="AV13" s="269">
        <f t="shared" si="25"/>
        <v>561032.13094363664</v>
      </c>
      <c r="AW13" s="269">
        <f>AW12+30</f>
        <v>1070</v>
      </c>
      <c r="AX13" s="269">
        <f>AX12+60</f>
        <v>2020</v>
      </c>
      <c r="AY13" s="269">
        <f t="shared" si="26"/>
        <v>4316.0107957581531</v>
      </c>
      <c r="AZ13" s="281"/>
      <c r="BA13" s="267">
        <v>38</v>
      </c>
      <c r="BB13" s="269">
        <f t="shared" si="22"/>
        <v>296.42982339357326</v>
      </c>
      <c r="BC13" s="269">
        <f t="shared" si="22"/>
        <v>241.36183248646677</v>
      </c>
      <c r="BD13" s="269">
        <f t="shared" si="23"/>
        <v>775.63851022350002</v>
      </c>
      <c r="BE13" s="270"/>
      <c r="BF13" s="270"/>
      <c r="BG13" s="270"/>
    </row>
    <row r="14" spans="1:65" ht="53" customHeight="1" x14ac:dyDescent="0.35">
      <c r="B14" s="275">
        <f t="shared" ca="1" si="15"/>
        <v>61</v>
      </c>
      <c r="C14" s="279">
        <f t="shared" ca="1" si="11"/>
        <v>428.70724001233225</v>
      </c>
      <c r="D14" s="279">
        <f t="shared" ca="1" si="0"/>
        <v>1020</v>
      </c>
      <c r="E14" s="279">
        <f t="shared" ca="1" si="1"/>
        <v>600</v>
      </c>
      <c r="F14" s="279">
        <f ca="1">IF(AND('Retirement Dashboard'!$C$42="Yes", B14&lt;= 'Retirement Dashboard'!$E$42), 600, 0)</f>
        <v>600</v>
      </c>
      <c r="G14" s="279">
        <f ca="1">IF(B14&lt;'Retirement Dashboard'!$E$6,IF(B14&lt;=35,$BJ$4,IF(B14&lt;=45,$BJ$5,IF(B14&lt;=50,$BJ$6,IF(B14&lt;=55,$BJ$7,IF(B14&lt;=60,$BJ$8,IF(B14&lt;=65,$BJ$9,IF(B14&lt;=70,$BJ$10,$BJ$11)))))))*'Retirement Dashboard'!$C$12,0)</f>
        <v>6279.9519999999993</v>
      </c>
      <c r="H14" s="279">
        <f t="shared" ca="1" si="16"/>
        <v>79131.244759987676</v>
      </c>
      <c r="I14" s="279">
        <f t="shared" ca="1" si="2"/>
        <v>3165.2497903995072</v>
      </c>
      <c r="J14" s="279">
        <f t="shared" ca="1" si="3"/>
        <v>6796.4945503871859</v>
      </c>
      <c r="K14" s="279">
        <f t="shared" ca="1" si="17"/>
        <v>75500</v>
      </c>
      <c r="L14" s="278"/>
      <c r="M14" s="280">
        <f t="shared" ca="1" si="12"/>
        <v>6796.4945503871859</v>
      </c>
      <c r="N14" s="279">
        <f ca="1">IF(B14&lt;$BH$31,IF(B15&lt;=35,$BI$4,IF(B15&lt;=45,$BI$5,IF(B15&lt;=50,$BI$6,IF(B15&lt;=55,$BI$7,IF(B15&lt;=60,$BI$8,IF(B15&lt;=65,$BI$9,IF(B15&lt;=70,$BI$10,$BI$11)))))))*'Retirement Dashboard'!$C$12,0)</f>
        <v>4784.9759999999997</v>
      </c>
      <c r="O14" s="279">
        <f t="shared" ca="1" si="18"/>
        <v>193387.87771367462</v>
      </c>
      <c r="P14" s="279">
        <f t="shared" ca="1" si="13"/>
        <v>2400</v>
      </c>
      <c r="Q14" s="279">
        <f t="shared" ca="1" si="4"/>
        <v>7669.3938856837312</v>
      </c>
      <c r="R14" s="279">
        <f t="shared" ca="1" si="14"/>
        <v>203457.27159935836</v>
      </c>
      <c r="S14" s="297"/>
      <c r="T14" s="279">
        <f ca="1">IF(B14&lt;$BH$31,IF(B14&lt;=35,$BH$4,IF(B15&lt;=45,$BH$5,IF(B15&lt;=50,$BH$6,IF(B15&lt;=55,$BH$7,IF(B15&lt;=60,$BH$8,IF(B15&lt;=65,$BH$9,IF(B15&lt;=70,$BH$10,$BH$11)))))))*'Retirement Dashboard'!$C$12,0)</f>
        <v>2055.5919999999996</v>
      </c>
      <c r="U14" s="279">
        <f t="shared" ca="1" si="5"/>
        <v>0</v>
      </c>
      <c r="V14" s="279">
        <f t="shared" ca="1" si="6"/>
        <v>298</v>
      </c>
      <c r="W14" s="279">
        <f t="shared" ca="1" si="19"/>
        <v>93817.37073557626</v>
      </c>
      <c r="X14" s="279">
        <f t="shared" ca="1" si="7"/>
        <v>1200</v>
      </c>
      <c r="Y14" s="279">
        <f t="shared" ca="1" si="8"/>
        <v>1845.4342683894065</v>
      </c>
      <c r="Z14" s="279">
        <f t="shared" ca="1" si="20"/>
        <v>96862.805003965666</v>
      </c>
      <c r="AA14" s="270"/>
      <c r="AB14" s="270"/>
      <c r="AC14" s="270"/>
      <c r="AD14" s="270"/>
      <c r="AE14" s="270"/>
      <c r="AF14" s="270"/>
      <c r="AG14" s="270"/>
      <c r="AH14" s="270"/>
      <c r="AI14" s="270"/>
      <c r="AJ14" s="270"/>
      <c r="AK14" s="298" t="s">
        <v>262</v>
      </c>
      <c r="AL14" s="299">
        <v>145</v>
      </c>
      <c r="AM14" s="300">
        <v>300</v>
      </c>
      <c r="AR14" s="275">
        <f t="shared" ca="1" si="21"/>
        <v>36</v>
      </c>
      <c r="AS14" s="276">
        <f t="shared" si="21"/>
        <v>2034</v>
      </c>
      <c r="AT14" s="269">
        <f t="shared" si="24"/>
        <v>145124.98647184522</v>
      </c>
      <c r="AU14" s="269">
        <f t="shared" si="25"/>
        <v>290334.12776333193</v>
      </c>
      <c r="AV14" s="269">
        <f t="shared" si="25"/>
        <v>580668.25552666385</v>
      </c>
      <c r="AW14" s="269">
        <f t="shared" si="27"/>
        <v>1100</v>
      </c>
      <c r="AX14" s="269">
        <f t="shared" si="28"/>
        <v>2080</v>
      </c>
      <c r="AY14" s="269">
        <f t="shared" si="26"/>
        <v>4458.8707530977481</v>
      </c>
      <c r="AZ14" s="281"/>
      <c r="BA14" s="267">
        <v>39</v>
      </c>
      <c r="BB14" s="269">
        <f t="shared" si="22"/>
        <v>302.3584198614447</v>
      </c>
      <c r="BC14" s="269">
        <f t="shared" si="22"/>
        <v>246.18906913619611</v>
      </c>
      <c r="BD14" s="269">
        <f t="shared" si="23"/>
        <v>791.15128042797005</v>
      </c>
      <c r="BE14" s="270"/>
      <c r="BF14" s="266"/>
      <c r="BG14" s="266"/>
      <c r="BH14" s="301"/>
      <c r="BI14" s="266"/>
      <c r="BJ14" s="302"/>
    </row>
    <row r="15" spans="1:65" ht="53" customHeight="1" x14ac:dyDescent="0.35">
      <c r="B15" s="275">
        <f t="shared" ca="1" si="15"/>
        <v>62</v>
      </c>
      <c r="C15" s="279">
        <f t="shared" ca="1" si="11"/>
        <v>433.09891697901855</v>
      </c>
      <c r="D15" s="279">
        <f t="shared" ca="1" si="0"/>
        <v>1020</v>
      </c>
      <c r="E15" s="279">
        <f t="shared" ca="1" si="1"/>
        <v>600</v>
      </c>
      <c r="F15" s="279">
        <f ca="1">IF(AND('Retirement Dashboard'!$C$42="Yes", B15&lt;= 'Retirement Dashboard'!$E$42), 600, 0)</f>
        <v>600</v>
      </c>
      <c r="G15" s="279">
        <f ca="1">IF(B15&lt;'Retirement Dashboard'!$E$6,IF(B15&lt;=35,$BJ$4,IF(B15&lt;=45,$BJ$5,IF(B15&lt;=50,$BJ$6,IF(B15&lt;=55,$BJ$7,IF(B15&lt;=60,$BJ$8,IF(B15&lt;=65,$BJ$9,IF(B15&lt;=70,$BJ$10,$BJ$11)))))))*'Retirement Dashboard'!$C$12,0)</f>
        <v>6279.9519999999993</v>
      </c>
      <c r="H15" s="279">
        <f t="shared" ca="1" si="16"/>
        <v>79126.853083020993</v>
      </c>
      <c r="I15" s="279">
        <f t="shared" ca="1" si="2"/>
        <v>3165.0741233208396</v>
      </c>
      <c r="J15" s="279">
        <f t="shared" ca="1" si="3"/>
        <v>6791.9272063418321</v>
      </c>
      <c r="K15" s="279">
        <f t="shared" ca="1" si="17"/>
        <v>75500</v>
      </c>
      <c r="L15" s="278"/>
      <c r="M15" s="280">
        <f t="shared" ca="1" si="12"/>
        <v>6791.9272063418321</v>
      </c>
      <c r="N15" s="279">
        <f ca="1">IF(B15&lt;$BH$31,IF(B16&lt;=35,$BI$4,IF(B16&lt;=45,$BI$5,IF(B16&lt;=50,$BI$6,IF(B16&lt;=55,$BI$7,IF(B16&lt;=60,$BI$8,IF(B16&lt;=65,$BI$9,IF(B16&lt;=70,$BI$10,$BI$11)))))))*'Retirement Dashboard'!$C$12,0)</f>
        <v>4784.9759999999997</v>
      </c>
      <c r="O15" s="279">
        <f t="shared" ca="1" si="18"/>
        <v>215034.1748057002</v>
      </c>
      <c r="P15" s="279">
        <f t="shared" ca="1" si="13"/>
        <v>2400</v>
      </c>
      <c r="Q15" s="279">
        <f t="shared" ca="1" si="4"/>
        <v>8751.7087402850102</v>
      </c>
      <c r="R15" s="279">
        <f t="shared" ca="1" si="14"/>
        <v>226185.88354598521</v>
      </c>
      <c r="T15" s="279">
        <f ca="1">IF(B15&lt;$BH$31,IF(B15&lt;=35,$BH$4,IF(B16&lt;=45,$BH$5,IF(B16&lt;=50,$BH$6,IF(B16&lt;=55,$BH$7,IF(B16&lt;=60,$BH$8,IF(B16&lt;=65,$BH$9,IF(B16&lt;=70,$BH$10,$BH$11)))))))*'Retirement Dashboard'!$C$12,0)</f>
        <v>2055.5919999999996</v>
      </c>
      <c r="U15" s="279">
        <f t="shared" ca="1" si="5"/>
        <v>0</v>
      </c>
      <c r="V15" s="279">
        <f t="shared" ca="1" si="6"/>
        <v>298</v>
      </c>
      <c r="W15" s="279">
        <f t="shared" ca="1" si="19"/>
        <v>98620.397003965671</v>
      </c>
      <c r="X15" s="279">
        <f t="shared" ca="1" si="7"/>
        <v>1200</v>
      </c>
      <c r="Y15" s="279">
        <f t="shared" ca="1" si="8"/>
        <v>1965.5099250991418</v>
      </c>
      <c r="Z15" s="279">
        <f t="shared" ca="1" si="20"/>
        <v>101785.90692906482</v>
      </c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98" t="s">
        <v>263</v>
      </c>
      <c r="AL15" s="299">
        <v>250</v>
      </c>
      <c r="AM15" s="300">
        <v>300</v>
      </c>
      <c r="AR15" s="275">
        <f t="shared" ca="1" si="21"/>
        <v>37</v>
      </c>
      <c r="AS15" s="276">
        <f t="shared" si="21"/>
        <v>2035</v>
      </c>
      <c r="AT15" s="269">
        <f t="shared" si="24"/>
        <v>150204.3609983598</v>
      </c>
      <c r="AU15" s="269">
        <f t="shared" si="25"/>
        <v>300495.82223504852</v>
      </c>
      <c r="AV15" s="269">
        <f t="shared" si="25"/>
        <v>600991.64447009703</v>
      </c>
      <c r="AW15" s="269">
        <f t="shared" si="27"/>
        <v>1130</v>
      </c>
      <c r="AX15" s="269">
        <f t="shared" si="28"/>
        <v>2140</v>
      </c>
      <c r="AY15" s="269">
        <f t="shared" si="26"/>
        <v>4606.4593750252843</v>
      </c>
      <c r="AZ15" s="281"/>
      <c r="BA15" s="267">
        <v>40</v>
      </c>
      <c r="BB15" s="269">
        <f t="shared" si="22"/>
        <v>308.40558825867362</v>
      </c>
      <c r="BC15" s="269">
        <f t="shared" si="22"/>
        <v>251.11285051892003</v>
      </c>
      <c r="BD15" s="269">
        <f t="shared" si="23"/>
        <v>806.97430603652947</v>
      </c>
      <c r="BE15" s="270"/>
      <c r="BF15" s="303"/>
      <c r="BG15" s="270"/>
      <c r="BI15" s="270"/>
      <c r="BJ15" s="270"/>
      <c r="BK15" s="270"/>
    </row>
    <row r="16" spans="1:65" ht="53" customHeight="1" x14ac:dyDescent="0.35">
      <c r="A16" s="266"/>
      <c r="B16" s="275">
        <f t="shared" ca="1" si="15"/>
        <v>63</v>
      </c>
      <c r="C16" s="279">
        <f t="shared" ca="1" si="11"/>
        <v>437.53558228455159</v>
      </c>
      <c r="D16" s="279">
        <f t="shared" ca="1" si="0"/>
        <v>1020</v>
      </c>
      <c r="E16" s="279">
        <f t="shared" ca="1" si="1"/>
        <v>600</v>
      </c>
      <c r="F16" s="279">
        <f ca="1">IF(AND('Retirement Dashboard'!$C$42="Yes", B16&lt;= 'Retirement Dashboard'!$E$42), 600, 0)</f>
        <v>600</v>
      </c>
      <c r="G16" s="279">
        <f ca="1">IF(B16&lt;'Retirement Dashboard'!$E$6,IF(B16&lt;=35,$BJ$4,IF(B16&lt;=45,$BJ$5,IF(B16&lt;=50,$BJ$6,IF(B16&lt;=55,$BJ$7,IF(B16&lt;=60,$BJ$8,IF(B16&lt;=65,$BJ$9,IF(B16&lt;=70,$BJ$10,$BJ$11)))))))*'Retirement Dashboard'!$C$12,0)</f>
        <v>6279.9519999999993</v>
      </c>
      <c r="H16" s="279">
        <f t="shared" ca="1" si="16"/>
        <v>79122.41641771546</v>
      </c>
      <c r="I16" s="279">
        <f t="shared" ca="1" si="2"/>
        <v>3164.8966567086186</v>
      </c>
      <c r="J16" s="279">
        <f t="shared" ca="1" si="3"/>
        <v>6787.3130744240771</v>
      </c>
      <c r="K16" s="279">
        <f t="shared" ca="1" si="17"/>
        <v>75500</v>
      </c>
      <c r="L16" s="278"/>
      <c r="M16" s="280">
        <f t="shared" ca="1" si="12"/>
        <v>6787.3130744240771</v>
      </c>
      <c r="N16" s="279">
        <f ca="1">IF(B16&lt;$BH$31,IF(B17&lt;=35,$BI$4,IF(B17&lt;=45,$BI$5,IF(B17&lt;=50,$BI$6,IF(B17&lt;=55,$BI$7,IF(B17&lt;=60,$BI$8,IF(B17&lt;=65,$BI$9,IF(B17&lt;=70,$BI$10,$BI$11)))))))*'Retirement Dashboard'!$C$12,0)</f>
        <v>4784.9759999999997</v>
      </c>
      <c r="O16" s="279">
        <f t="shared" ca="1" si="18"/>
        <v>237758.17262040928</v>
      </c>
      <c r="P16" s="279">
        <f t="shared" ca="1" si="13"/>
        <v>2400</v>
      </c>
      <c r="Q16" s="279">
        <f t="shared" ca="1" si="4"/>
        <v>9887.9086310204657</v>
      </c>
      <c r="R16" s="279">
        <f t="shared" ca="1" si="14"/>
        <v>250046.08125142974</v>
      </c>
      <c r="S16" s="266"/>
      <c r="T16" s="279">
        <f ca="1">IF(B16&lt;$BH$31,IF(B16&lt;=35,$BH$4,IF(B17&lt;=45,$BH$5,IF(B17&lt;=50,$BH$6,IF(B17&lt;=55,$BH$7,IF(B17&lt;=60,$BH$8,IF(B17&lt;=65,$BH$9,IF(B17&lt;=70,$BH$10,$BH$11)))))))*'Retirement Dashboard'!$C$12,0)</f>
        <v>2055.5919999999996</v>
      </c>
      <c r="U16" s="279">
        <f t="shared" ca="1" si="5"/>
        <v>0</v>
      </c>
      <c r="V16" s="279">
        <f t="shared" ca="1" si="6"/>
        <v>298</v>
      </c>
      <c r="W16" s="279">
        <f t="shared" ca="1" si="19"/>
        <v>103543.49892906482</v>
      </c>
      <c r="X16" s="279">
        <f t="shared" ca="1" si="7"/>
        <v>1200</v>
      </c>
      <c r="Y16" s="279">
        <f t="shared" ca="1" si="8"/>
        <v>2088.5874732266207</v>
      </c>
      <c r="Z16" s="279">
        <f t="shared" ca="1" si="20"/>
        <v>106832.08640229145</v>
      </c>
      <c r="AA16" s="270"/>
      <c r="AB16" s="270"/>
      <c r="AC16" s="270"/>
      <c r="AD16" s="270"/>
      <c r="AE16" s="270"/>
      <c r="AF16" s="270"/>
      <c r="AG16" s="270"/>
      <c r="AH16" s="270"/>
      <c r="AI16" s="270"/>
      <c r="AJ16" s="270"/>
      <c r="AK16" s="298" t="s">
        <v>264</v>
      </c>
      <c r="AL16" s="299">
        <v>390</v>
      </c>
      <c r="AM16" s="300">
        <v>300</v>
      </c>
      <c r="AR16" s="275">
        <f t="shared" ca="1" si="21"/>
        <v>38</v>
      </c>
      <c r="AS16" s="276">
        <f t="shared" si="21"/>
        <v>2036</v>
      </c>
      <c r="AT16" s="269">
        <f t="shared" si="24"/>
        <v>155461.51363330238</v>
      </c>
      <c r="AU16" s="269">
        <f t="shared" si="25"/>
        <v>311013.17601327517</v>
      </c>
      <c r="AV16" s="269">
        <f t="shared" si="25"/>
        <v>622026.35202655033</v>
      </c>
      <c r="AW16" s="269">
        <f t="shared" si="27"/>
        <v>1160</v>
      </c>
      <c r="AX16" s="269">
        <f t="shared" si="28"/>
        <v>2200</v>
      </c>
      <c r="AY16" s="269">
        <f t="shared" si="26"/>
        <v>4758.9331803386222</v>
      </c>
      <c r="AZ16" s="281"/>
      <c r="BA16" s="267">
        <v>41</v>
      </c>
      <c r="BB16" s="269">
        <f t="shared" si="22"/>
        <v>314.5737000238471</v>
      </c>
      <c r="BC16" s="269">
        <f t="shared" si="22"/>
        <v>256.13510752929841</v>
      </c>
      <c r="BD16" s="269">
        <f t="shared" si="23"/>
        <v>823.11379215726004</v>
      </c>
      <c r="BE16" s="270"/>
      <c r="BF16" s="270"/>
      <c r="BG16" s="270"/>
      <c r="BI16" s="270"/>
      <c r="BJ16" s="270"/>
      <c r="BK16" s="270"/>
    </row>
    <row r="17" spans="1:63" ht="53" customHeight="1" x14ac:dyDescent="0.35">
      <c r="B17" s="275">
        <f t="shared" ca="1" si="15"/>
        <v>64</v>
      </c>
      <c r="C17" s="279">
        <f t="shared" ca="1" si="11"/>
        <v>442.01769678947454</v>
      </c>
      <c r="D17" s="279">
        <f t="shared" ca="1" si="0"/>
        <v>1020</v>
      </c>
      <c r="E17" s="279">
        <f t="shared" ca="1" si="1"/>
        <v>600</v>
      </c>
      <c r="F17" s="279">
        <f ca="1">IF(AND('Retirement Dashboard'!$C$42="Yes", B17&lt;= 'Retirement Dashboard'!$E$42), 600, 0)</f>
        <v>600</v>
      </c>
      <c r="G17" s="279">
        <f ca="1">IF(B17&lt;'Retirement Dashboard'!$E$6,IF(B17&lt;=35,$BJ$4,IF(B17&lt;=45,$BJ$5,IF(B17&lt;=50,$BJ$6,IF(B17&lt;=55,$BJ$7,IF(B17&lt;=60,$BJ$8,IF(B17&lt;=65,$BJ$9,IF(B17&lt;=70,$BJ$10,$BJ$11)))))))*'Retirement Dashboard'!$C$12,0)</f>
        <v>6279.9519999999993</v>
      </c>
      <c r="H17" s="279">
        <f t="shared" ca="1" si="16"/>
        <v>79117.934303210524</v>
      </c>
      <c r="I17" s="279">
        <f t="shared" ca="1" si="2"/>
        <v>3164.7173721284212</v>
      </c>
      <c r="J17" s="279">
        <f t="shared" ca="1" si="3"/>
        <v>6782.6516753389442</v>
      </c>
      <c r="K17" s="279">
        <f t="shared" ca="1" si="17"/>
        <v>75500</v>
      </c>
      <c r="L17" s="278"/>
      <c r="M17" s="280">
        <f t="shared" ca="1" si="12"/>
        <v>6782.6516753389442</v>
      </c>
      <c r="N17" s="279">
        <f ca="1">IF(B17&lt;$BH$31,IF(B18&lt;=35,$BI$4,IF(B18&lt;=45,$BI$5,IF(B18&lt;=50,$BI$6,IF(B18&lt;=55,$BI$7,IF(B18&lt;=60,$BI$8,IF(B18&lt;=65,$BI$9,IF(B18&lt;=70,$BI$10,$BI$11)))))))*'Retirement Dashboard'!$C$12,0)</f>
        <v>4784.9759999999997</v>
      </c>
      <c r="O17" s="279">
        <f t="shared" ca="1" si="18"/>
        <v>261613.70892676868</v>
      </c>
      <c r="P17" s="279">
        <f t="shared" ca="1" si="13"/>
        <v>2400</v>
      </c>
      <c r="Q17" s="279">
        <f t="shared" ca="1" si="4"/>
        <v>11080.685446338435</v>
      </c>
      <c r="R17" s="279">
        <f t="shared" ca="1" si="14"/>
        <v>275094.39437310712</v>
      </c>
      <c r="T17" s="279">
        <f ca="1">IF(B17&lt;$BH$31,IF(B17&lt;=35,$BH$4,IF(B18&lt;=45,$BH$5,IF(B18&lt;=50,$BH$6,IF(B18&lt;=55,$BH$7,IF(B18&lt;=60,$BH$8,IF(B18&lt;=65,$BH$9,IF(B18&lt;=70,$BH$10,$BH$11)))))))*'Retirement Dashboard'!$C$12,0)</f>
        <v>2055.5919999999996</v>
      </c>
      <c r="U17" s="279">
        <f t="shared" ca="1" si="5"/>
        <v>0</v>
      </c>
      <c r="V17" s="279">
        <f t="shared" ca="1" si="6"/>
        <v>298</v>
      </c>
      <c r="W17" s="279">
        <f t="shared" ca="1" si="19"/>
        <v>108589.67840229145</v>
      </c>
      <c r="X17" s="279">
        <f t="shared" ca="1" si="7"/>
        <v>1200</v>
      </c>
      <c r="Y17" s="279">
        <f t="shared" ca="1" si="8"/>
        <v>2214.7419600572862</v>
      </c>
      <c r="Z17" s="279">
        <f t="shared" ca="1" si="20"/>
        <v>112004.42036234874</v>
      </c>
      <c r="AA17" s="270"/>
      <c r="AB17" s="270"/>
      <c r="AC17" s="270"/>
      <c r="AD17" s="270"/>
      <c r="AE17" s="270"/>
      <c r="AF17" s="270"/>
      <c r="AG17" s="270"/>
      <c r="AH17" s="270"/>
      <c r="AI17" s="270"/>
      <c r="AJ17" s="270"/>
      <c r="AK17" s="298" t="s">
        <v>265</v>
      </c>
      <c r="AL17" s="299">
        <v>525</v>
      </c>
      <c r="AM17" s="300">
        <v>600</v>
      </c>
      <c r="AR17" s="275">
        <f t="shared" ca="1" si="21"/>
        <v>39</v>
      </c>
      <c r="AS17" s="276">
        <f t="shared" si="21"/>
        <v>2037</v>
      </c>
      <c r="AT17" s="269">
        <f t="shared" si="24"/>
        <v>160902.66661046795</v>
      </c>
      <c r="AU17" s="269">
        <f t="shared" si="25"/>
        <v>321898.63717373979</v>
      </c>
      <c r="AV17" s="269">
        <f t="shared" si="25"/>
        <v>643797.27434747957</v>
      </c>
      <c r="AW17" s="269">
        <f t="shared" si="27"/>
        <v>1190</v>
      </c>
      <c r="AX17" s="269">
        <f t="shared" si="28"/>
        <v>2260</v>
      </c>
      <c r="AY17" s="269">
        <f t="shared" si="26"/>
        <v>4916.4538686078313</v>
      </c>
      <c r="AZ17" s="281"/>
      <c r="BA17" s="267">
        <v>42</v>
      </c>
      <c r="BB17" s="269">
        <f t="shared" si="22"/>
        <v>320.86517402432406</v>
      </c>
      <c r="BC17" s="269">
        <f t="shared" si="22"/>
        <v>261.25780967988436</v>
      </c>
      <c r="BD17" s="269">
        <f t="shared" si="23"/>
        <v>839.57606800040526</v>
      </c>
      <c r="BE17" s="270"/>
      <c r="BF17" s="270"/>
      <c r="BG17" s="270"/>
      <c r="BI17" s="270"/>
      <c r="BJ17" s="270"/>
      <c r="BK17" s="270"/>
    </row>
    <row r="18" spans="1:63" ht="53" customHeight="1" x14ac:dyDescent="0.35">
      <c r="B18" s="275">
        <f t="shared" ca="1" si="15"/>
        <v>65</v>
      </c>
      <c r="C18" s="279">
        <f t="shared" ca="1" si="11"/>
        <v>446.54572607538591</v>
      </c>
      <c r="D18" s="279">
        <f t="shared" ca="1" si="0"/>
        <v>1020</v>
      </c>
      <c r="E18" s="279">
        <f t="shared" ca="1" si="1"/>
        <v>600</v>
      </c>
      <c r="F18" s="279">
        <f ca="1">IF(AND('Retirement Dashboard'!$C$42="Yes", B18&lt;= 'Retirement Dashboard'!$E$42), 600, 0)</f>
        <v>600</v>
      </c>
      <c r="G18" s="279">
        <f ca="1">IF(B18&lt;'Retirement Dashboard'!$E$6,IF(B18&lt;=35,$BJ$4,IF(B18&lt;=45,$BJ$5,IF(B18&lt;=50,$BJ$6,IF(B18&lt;=55,$BJ$7,IF(B18&lt;=60,$BJ$8,IF(B18&lt;=65,$BJ$9,IF(B18&lt;=70,$BJ$10,$BJ$11)))))))*'Retirement Dashboard'!$C$12,0)</f>
        <v>0</v>
      </c>
      <c r="H18" s="279">
        <f t="shared" ca="1" si="16"/>
        <v>72833.45427392461</v>
      </c>
      <c r="I18" s="279">
        <f t="shared" ca="1" si="2"/>
        <v>2913.3381709569844</v>
      </c>
      <c r="J18" s="279">
        <f t="shared" ca="1" si="3"/>
        <v>246.7924448815902</v>
      </c>
      <c r="K18" s="279">
        <f t="shared" ca="1" si="17"/>
        <v>75500</v>
      </c>
      <c r="L18" s="278"/>
      <c r="M18" s="280">
        <f t="shared" ca="1" si="12"/>
        <v>246.7924448815902</v>
      </c>
      <c r="N18" s="279">
        <f ca="1">IF(B18&lt;$BH$31,IF(B19&lt;=35,$BI$4,IF(B19&lt;=45,$BI$5,IF(B19&lt;=50,$BI$6,IF(B19&lt;=55,$BI$7,IF(B19&lt;=60,$BI$8,IF(B19&lt;=65,$BI$9,IF(B19&lt;=70,$BI$10,$BI$11)))))))*'Retirement Dashboard'!$C$12,0)</f>
        <v>0</v>
      </c>
      <c r="O18" s="279">
        <f t="shared" ca="1" si="18"/>
        <v>275341.1868179887</v>
      </c>
      <c r="P18" s="279">
        <f t="shared" ca="1" si="13"/>
        <v>2400</v>
      </c>
      <c r="Q18" s="279">
        <f t="shared" ca="1" si="4"/>
        <v>11767.059340899435</v>
      </c>
      <c r="R18" s="279">
        <f t="shared" ca="1" si="14"/>
        <v>289508.24615888816</v>
      </c>
      <c r="T18" s="279">
        <f ca="1">IF(B18&lt;$BH$31,IF(B18&lt;=35,$BH$4,IF(B19&lt;=45,$BH$5,IF(B19&lt;=50,$BH$6,IF(B19&lt;=55,$BH$7,IF(B19&lt;=60,$BH$8,IF(B19&lt;=65,$BH$9,IF(B19&lt;=70,$BH$10,$BH$11)))))))*'Retirement Dashboard'!$C$12,0)</f>
        <v>0</v>
      </c>
      <c r="U18" s="279">
        <f t="shared" ca="1" si="5"/>
        <v>0</v>
      </c>
      <c r="V18" s="279">
        <f t="shared" ca="1" si="6"/>
        <v>298</v>
      </c>
      <c r="W18" s="279">
        <f t="shared" ca="1" si="19"/>
        <v>111706.42036234874</v>
      </c>
      <c r="X18" s="279">
        <f t="shared" ca="1" si="7"/>
        <v>1200</v>
      </c>
      <c r="Y18" s="279">
        <f t="shared" ca="1" si="8"/>
        <v>2292.6605090587186</v>
      </c>
      <c r="Z18" s="279">
        <f t="shared" ca="1" si="20"/>
        <v>115199.08087140747</v>
      </c>
      <c r="AA18" s="270"/>
      <c r="AB18" s="270"/>
      <c r="AC18" s="270"/>
      <c r="AD18" s="270"/>
      <c r="AE18" s="270"/>
      <c r="AF18" s="270"/>
      <c r="AG18" s="270"/>
      <c r="AH18" s="270"/>
      <c r="AI18" s="270"/>
      <c r="AJ18" s="270"/>
      <c r="AK18" s="298" t="s">
        <v>266</v>
      </c>
      <c r="AL18" s="299">
        <v>800</v>
      </c>
      <c r="AM18" s="300">
        <v>600</v>
      </c>
      <c r="AR18" s="275">
        <f t="shared" ca="1" si="21"/>
        <v>40</v>
      </c>
      <c r="AS18" s="276">
        <f t="shared" si="21"/>
        <v>2038</v>
      </c>
      <c r="AT18" s="269">
        <f t="shared" si="24"/>
        <v>166534.25994183432</v>
      </c>
      <c r="AU18" s="269">
        <f t="shared" si="25"/>
        <v>333165.08947482065</v>
      </c>
      <c r="AV18" s="269">
        <f t="shared" si="25"/>
        <v>666330.1789496413</v>
      </c>
      <c r="AW18" s="269">
        <f t="shared" si="27"/>
        <v>1220</v>
      </c>
      <c r="AX18" s="269">
        <f t="shared" si="28"/>
        <v>2320</v>
      </c>
      <c r="AY18" s="269">
        <f t="shared" si="26"/>
        <v>5079.1884916587514</v>
      </c>
      <c r="AZ18" s="281"/>
      <c r="BA18" s="267">
        <v>43</v>
      </c>
      <c r="BB18" s="269">
        <f t="shared" si="22"/>
        <v>327.28247750481057</v>
      </c>
      <c r="BC18" s="269">
        <f t="shared" si="22"/>
        <v>266.48296587348204</v>
      </c>
      <c r="BD18" s="269">
        <f t="shared" si="23"/>
        <v>856.36758936041338</v>
      </c>
      <c r="BE18" s="270"/>
      <c r="BF18" s="270"/>
      <c r="BG18" s="270"/>
      <c r="BI18" s="270"/>
      <c r="BJ18" s="270"/>
      <c r="BK18" s="270"/>
    </row>
    <row r="19" spans="1:63" ht="53" customHeight="1" x14ac:dyDescent="0.35">
      <c r="B19" s="275">
        <f t="shared" ca="1" si="15"/>
        <v>66</v>
      </c>
      <c r="C19" s="279">
        <f t="shared" ca="1" si="11"/>
        <v>451.12014049330219</v>
      </c>
      <c r="D19" s="279">
        <f t="shared" ca="1" si="0"/>
        <v>1100</v>
      </c>
      <c r="E19" s="279">
        <f t="shared" ca="1" si="1"/>
        <v>600</v>
      </c>
      <c r="F19" s="279">
        <f ca="1">IF(AND('Retirement Dashboard'!$C$42="Yes", B19&lt;= 'Retirement Dashboard'!$E$42), 600, 0)</f>
        <v>600</v>
      </c>
      <c r="G19" s="279">
        <f ca="1">IF(B19&lt;'Retirement Dashboard'!$E$6,IF(B19&lt;=35,$BJ$4,IF(B19&lt;=45,$BJ$5,IF(B19&lt;=50,$BJ$6,IF(B19&lt;=55,$BJ$7,IF(B19&lt;=60,$BJ$8,IF(B19&lt;=65,$BJ$9,IF(B19&lt;=70,$BJ$10,$BJ$11)))))))*'Retirement Dashboard'!$C$12,0)</f>
        <v>0</v>
      </c>
      <c r="H19" s="279">
        <f t="shared" ca="1" si="16"/>
        <v>72748.879859506691</v>
      </c>
      <c r="I19" s="279">
        <f t="shared" ca="1" si="2"/>
        <v>2909.9551943802676</v>
      </c>
      <c r="J19" s="279">
        <f t="shared" ca="1" si="3"/>
        <v>158.8350538869563</v>
      </c>
      <c r="K19" s="279">
        <f t="shared" ca="1" si="17"/>
        <v>75500</v>
      </c>
      <c r="L19" s="278"/>
      <c r="M19" s="280">
        <f t="shared" ca="1" si="12"/>
        <v>158.8350538869563</v>
      </c>
      <c r="N19" s="279">
        <f ca="1">IF(B19&lt;$BH$31,IF(B20&lt;=35,$BI$4,IF(B20&lt;=45,$BI$5,IF(B20&lt;=50,$BI$6,IF(B20&lt;=55,$BI$7,IF(B20&lt;=60,$BI$8,IF(B20&lt;=65,$BI$9,IF(B20&lt;=70,$BI$10,$BI$11)))))))*'Retirement Dashboard'!$C$12,0)</f>
        <v>0</v>
      </c>
      <c r="O19" s="279">
        <f t="shared" ca="1" si="18"/>
        <v>289667.08121277508</v>
      </c>
      <c r="P19" s="279">
        <f t="shared" ca="1" si="13"/>
        <v>2400</v>
      </c>
      <c r="Q19" s="279">
        <f t="shared" ca="1" si="4"/>
        <v>12483.354060638754</v>
      </c>
      <c r="R19" s="279">
        <f t="shared" ca="1" si="14"/>
        <v>304550.43527341384</v>
      </c>
      <c r="T19" s="279">
        <f ca="1">IF(B19&lt;$BH$31,IF(B19&lt;=35,$BH$4,IF(B20&lt;=45,$BH$5,IF(B20&lt;=50,$BH$6,IF(B20&lt;=55,$BH$7,IF(B20&lt;=60,$BH$8,IF(B20&lt;=65,$BH$9,IF(B20&lt;=70,$BH$10,$BH$11)))))))*'Retirement Dashboard'!$C$12,0)</f>
        <v>0</v>
      </c>
      <c r="U19" s="279">
        <f t="shared" ca="1" si="5"/>
        <v>0</v>
      </c>
      <c r="V19" s="279">
        <f t="shared" ca="1" si="6"/>
        <v>298</v>
      </c>
      <c r="W19" s="279">
        <f t="shared" ca="1" si="19"/>
        <v>114901.08087140747</v>
      </c>
      <c r="X19" s="279">
        <f t="shared" ca="1" si="7"/>
        <v>1200</v>
      </c>
      <c r="Y19" s="279">
        <f t="shared" ca="1" si="8"/>
        <v>2372.5270217851867</v>
      </c>
      <c r="Z19" s="279">
        <f t="shared" ca="1" si="20"/>
        <v>118473.60789319265</v>
      </c>
      <c r="AA19" s="270"/>
      <c r="AB19" s="270"/>
      <c r="AC19" s="270"/>
      <c r="AD19" s="270"/>
      <c r="AE19" s="270"/>
      <c r="AF19" s="270"/>
      <c r="AG19" s="270"/>
      <c r="AH19" s="270"/>
      <c r="AI19" s="270"/>
      <c r="AJ19" s="270"/>
      <c r="AK19" s="298" t="s">
        <v>267</v>
      </c>
      <c r="AL19" s="299">
        <v>1020</v>
      </c>
      <c r="AM19" s="300">
        <v>600</v>
      </c>
      <c r="AR19" s="275">
        <f t="shared" ca="1" si="21"/>
        <v>41</v>
      </c>
      <c r="AS19" s="276">
        <f t="shared" si="21"/>
        <v>2039</v>
      </c>
      <c r="AT19" s="269">
        <f t="shared" si="24"/>
        <v>172362.9590397985</v>
      </c>
      <c r="AU19" s="269">
        <f t="shared" si="25"/>
        <v>344825.86760643934</v>
      </c>
      <c r="AV19" s="269">
        <f t="shared" si="25"/>
        <v>689651.73521287867</v>
      </c>
      <c r="AW19" s="269">
        <f>AW18+30</f>
        <v>1250</v>
      </c>
      <c r="AX19" s="269">
        <f>AX18+60</f>
        <v>2380</v>
      </c>
      <c r="AY19" s="269">
        <f t="shared" si="26"/>
        <v>5247.3096307326568</v>
      </c>
      <c r="AZ19" s="281"/>
      <c r="BA19" s="267">
        <v>44</v>
      </c>
      <c r="BB19" s="269">
        <f t="shared" si="22"/>
        <v>333.82812705490682</v>
      </c>
      <c r="BC19" s="269">
        <f t="shared" si="22"/>
        <v>271.81262519095168</v>
      </c>
      <c r="BD19" s="269">
        <f t="shared" si="23"/>
        <v>873.4949411476216</v>
      </c>
      <c r="BE19" s="270"/>
      <c r="BF19" s="270"/>
      <c r="BG19" s="270"/>
      <c r="BI19" s="270"/>
      <c r="BJ19" s="270"/>
      <c r="BK19" s="270"/>
    </row>
    <row r="20" spans="1:63" ht="53" customHeight="1" x14ac:dyDescent="0.35">
      <c r="B20" s="275">
        <f t="shared" ca="1" si="15"/>
        <v>67</v>
      </c>
      <c r="C20" s="279">
        <f t="shared" ca="1" si="11"/>
        <v>0</v>
      </c>
      <c r="D20" s="279">
        <f t="shared" ca="1" si="0"/>
        <v>1100</v>
      </c>
      <c r="E20" s="279">
        <f t="shared" ca="1" si="1"/>
        <v>600</v>
      </c>
      <c r="F20" s="279">
        <f ca="1">IF(AND('Retirement Dashboard'!$C$42="Yes", B20&lt;= 'Retirement Dashboard'!$E$42), 600, 0)</f>
        <v>600</v>
      </c>
      <c r="G20" s="279">
        <f ca="1">IF(B20&lt;'Retirement Dashboard'!$E$6,IF(B20&lt;=35,$BJ$4,IF(B20&lt;=45,$BJ$5,IF(B20&lt;=50,$BJ$6,IF(B20&lt;=55,$BJ$7,IF(B20&lt;=60,$BJ$8,IF(B20&lt;=65,$BJ$9,IF(B20&lt;=70,$BJ$10,$BJ$11)))))))*'Retirement Dashboard'!$C$12,0)</f>
        <v>0</v>
      </c>
      <c r="H20" s="279">
        <f t="shared" ca="1" si="16"/>
        <v>73200</v>
      </c>
      <c r="I20" s="279">
        <f t="shared" ca="1" si="2"/>
        <v>2928</v>
      </c>
      <c r="J20" s="279">
        <f t="shared" ca="1" si="3"/>
        <v>628</v>
      </c>
      <c r="K20" s="279">
        <f t="shared" ca="1" si="17"/>
        <v>75500</v>
      </c>
      <c r="L20" s="278"/>
      <c r="M20" s="280">
        <f t="shared" ca="1" si="12"/>
        <v>628</v>
      </c>
      <c r="N20" s="279">
        <f ca="1">IF(B20&lt;$BH$31,IF(B21&lt;=35,$BI$4,IF(B21&lt;=45,$BI$5,IF(B21&lt;=50,$BI$6,IF(B21&lt;=55,$BI$7,IF(B21&lt;=60,$BI$8,IF(B21&lt;=65,$BI$9,IF(B21&lt;=70,$BI$10,$BI$11)))))))*'Retirement Dashboard'!$C$12,0)</f>
        <v>0</v>
      </c>
      <c r="O20" s="279">
        <f t="shared" ca="1" si="18"/>
        <v>305178.43527341384</v>
      </c>
      <c r="P20" s="279">
        <f t="shared" ca="1" si="13"/>
        <v>2400</v>
      </c>
      <c r="Q20" s="279">
        <f t="shared" ca="1" si="4"/>
        <v>13258.921763670693</v>
      </c>
      <c r="R20" s="279">
        <f t="shared" ca="1" si="14"/>
        <v>320837.35703708453</v>
      </c>
      <c r="T20" s="279">
        <f ca="1">IF(B20&lt;$BH$31,IF(B20&lt;=35,$BH$4,IF(B21&lt;=45,$BH$5,IF(B21&lt;=50,$BH$6,IF(B21&lt;=55,$BH$7,IF(B21&lt;=60,$BH$8,IF(B21&lt;=65,$BH$9,IF(B21&lt;=70,$BH$10,$BH$11)))))))*'Retirement Dashboard'!$C$12,0)</f>
        <v>0</v>
      </c>
      <c r="U20" s="279">
        <f t="shared" ca="1" si="5"/>
        <v>0</v>
      </c>
      <c r="V20" s="279">
        <f t="shared" ca="1" si="6"/>
        <v>298</v>
      </c>
      <c r="W20" s="279">
        <f t="shared" ca="1" si="19"/>
        <v>118175.60789319265</v>
      </c>
      <c r="X20" s="279">
        <f t="shared" ca="1" si="7"/>
        <v>1200</v>
      </c>
      <c r="Y20" s="279">
        <f t="shared" ca="1" si="8"/>
        <v>2454.3901973298161</v>
      </c>
      <c r="Z20" s="279">
        <f t="shared" ca="1" si="20"/>
        <v>121829.99809052247</v>
      </c>
      <c r="AA20" s="270"/>
      <c r="AB20" s="270"/>
      <c r="AC20" s="270"/>
      <c r="AD20" s="270"/>
      <c r="AE20" s="270"/>
      <c r="AF20" s="270"/>
      <c r="AG20" s="270"/>
      <c r="AH20" s="270"/>
      <c r="AI20" s="270"/>
      <c r="AJ20" s="270"/>
      <c r="AK20" s="298" t="s">
        <v>268</v>
      </c>
      <c r="AL20" s="299">
        <v>1100</v>
      </c>
      <c r="AM20" s="300">
        <v>600</v>
      </c>
      <c r="AP20" s="256"/>
      <c r="AQ20" s="256"/>
      <c r="AR20" s="275">
        <f t="shared" ca="1" si="21"/>
        <v>42</v>
      </c>
      <c r="AS20" s="276">
        <f t="shared" si="21"/>
        <v>2040</v>
      </c>
      <c r="AT20" s="269">
        <f t="shared" si="24"/>
        <v>178395.66260619144</v>
      </c>
      <c r="AU20" s="269">
        <f t="shared" si="25"/>
        <v>356894.77297266468</v>
      </c>
      <c r="AV20" s="269">
        <f t="shared" si="25"/>
        <v>713789.54594532936</v>
      </c>
      <c r="AW20" s="269">
        <f>AW19+30</f>
        <v>1280</v>
      </c>
      <c r="AX20" s="269">
        <f>AX19+60</f>
        <v>2440</v>
      </c>
      <c r="AY20" s="269">
        <f t="shared" si="26"/>
        <v>5420.9955795099086</v>
      </c>
      <c r="AZ20" s="281"/>
      <c r="BA20" s="267">
        <v>45</v>
      </c>
      <c r="BB20" s="269">
        <f t="shared" si="22"/>
        <v>340.50468959600494</v>
      </c>
      <c r="BC20" s="269">
        <f t="shared" si="22"/>
        <v>277.24887769477073</v>
      </c>
      <c r="BD20" s="269">
        <f t="shared" si="23"/>
        <v>890.96483997057408</v>
      </c>
      <c r="BE20" s="270"/>
      <c r="BF20" s="270"/>
      <c r="BG20" s="270"/>
    </row>
    <row r="21" spans="1:63" ht="53" customHeight="1" x14ac:dyDescent="0.35">
      <c r="B21" s="275">
        <f t="shared" ca="1" si="15"/>
        <v>68</v>
      </c>
      <c r="C21" s="279">
        <f t="shared" ca="1" si="11"/>
        <v>0</v>
      </c>
      <c r="D21" s="279">
        <f t="shared" ca="1" si="0"/>
        <v>1100</v>
      </c>
      <c r="E21" s="279">
        <f t="shared" ca="1" si="1"/>
        <v>600</v>
      </c>
      <c r="F21" s="279">
        <f ca="1">IF(AND('Retirement Dashboard'!$C$42="Yes", B21&lt;= 'Retirement Dashboard'!$E$42), 600, 0)</f>
        <v>0</v>
      </c>
      <c r="G21" s="279">
        <f ca="1">IF(B21&lt;'Retirement Dashboard'!$E$6,IF(B21&lt;=35,$BJ$4,IF(B21&lt;=45,$BJ$5,IF(B21&lt;=50,$BJ$6,IF(B21&lt;=55,$BJ$7,IF(B21&lt;=60,$BJ$8,IF(B21&lt;=65,$BJ$9,IF(B21&lt;=70,$BJ$10,$BJ$11)))))))*'Retirement Dashboard'!$C$12,0)</f>
        <v>0</v>
      </c>
      <c r="H21" s="279">
        <f t="shared" ca="1" si="16"/>
        <v>73800</v>
      </c>
      <c r="I21" s="279">
        <f t="shared" ca="1" si="2"/>
        <v>2952</v>
      </c>
      <c r="J21" s="279">
        <f t="shared" ca="1" si="3"/>
        <v>1252</v>
      </c>
      <c r="K21" s="279">
        <f t="shared" ca="1" si="17"/>
        <v>75500</v>
      </c>
      <c r="L21" s="278"/>
      <c r="M21" s="280">
        <f t="shared" ca="1" si="12"/>
        <v>1252</v>
      </c>
      <c r="N21" s="279">
        <f ca="1">IF(B21&lt;$BH$31,IF(B22&lt;=35,$BI$4,IF(B22&lt;=45,$BI$5,IF(B22&lt;=50,$BI$6,IF(B22&lt;=55,$BI$7,IF(B22&lt;=60,$BI$8,IF(B22&lt;=65,$BI$9,IF(B22&lt;=70,$BI$10,$BI$11)))))))*'Retirement Dashboard'!$C$12,0)</f>
        <v>0</v>
      </c>
      <c r="O21" s="279">
        <f ca="1">R20+N21+M21</f>
        <v>322089.35703708453</v>
      </c>
      <c r="P21" s="279">
        <f t="shared" ca="1" si="13"/>
        <v>2400</v>
      </c>
      <c r="Q21" s="279">
        <f t="shared" ca="1" si="4"/>
        <v>14104.467851854228</v>
      </c>
      <c r="R21" s="279">
        <f t="shared" ca="1" si="14"/>
        <v>338593.82488893875</v>
      </c>
      <c r="S21" s="304"/>
      <c r="T21" s="279">
        <f ca="1">IF(B21&lt;$BH$31,IF(B21&lt;=35,$BH$4,IF(B22&lt;=45,$BH$5,IF(B22&lt;=50,$BH$6,IF(B22&lt;=55,$BH$7,IF(B22&lt;=60,$BH$8,IF(B22&lt;=65,$BH$9,IF(B22&lt;=70,$BH$10,$BH$11)))))))*'Retirement Dashboard'!$C$12,0)</f>
        <v>0</v>
      </c>
      <c r="U21" s="279">
        <f t="shared" ca="1" si="5"/>
        <v>0</v>
      </c>
      <c r="V21" s="279">
        <f t="shared" ca="1" si="6"/>
        <v>298</v>
      </c>
      <c r="W21" s="279">
        <f t="shared" ca="1" si="19"/>
        <v>121531.99809052247</v>
      </c>
      <c r="X21" s="279">
        <f t="shared" ca="1" si="7"/>
        <v>1200</v>
      </c>
      <c r="Y21" s="279">
        <f t="shared" ca="1" si="8"/>
        <v>2538.2999522630616</v>
      </c>
      <c r="Z21" s="279">
        <f t="shared" ca="1" si="20"/>
        <v>125270.29804278552</v>
      </c>
      <c r="AA21" s="270"/>
      <c r="AB21" s="270"/>
      <c r="AC21" s="270"/>
      <c r="AD21" s="270"/>
      <c r="AE21" s="270"/>
      <c r="AF21" s="270"/>
      <c r="AG21" s="270"/>
      <c r="AH21" s="270"/>
      <c r="AI21" s="270"/>
      <c r="AJ21" s="270"/>
      <c r="AK21" s="298" t="s">
        <v>269</v>
      </c>
      <c r="AL21" s="299">
        <v>1195</v>
      </c>
      <c r="AM21" s="300">
        <v>900</v>
      </c>
      <c r="AP21" s="305"/>
      <c r="AQ21" s="305"/>
      <c r="AR21" s="275">
        <f t="shared" ca="1" si="21"/>
        <v>43</v>
      </c>
      <c r="AS21" s="276">
        <f t="shared" si="21"/>
        <v>2041</v>
      </c>
      <c r="AT21" s="269">
        <f t="shared" si="24"/>
        <v>184639.51079740812</v>
      </c>
      <c r="AU21" s="269">
        <f t="shared" si="25"/>
        <v>369386.09002670791</v>
      </c>
      <c r="AV21" s="269">
        <f t="shared" si="25"/>
        <v>738772.18005341582</v>
      </c>
      <c r="AW21" s="269">
        <f t="shared" si="27"/>
        <v>1310</v>
      </c>
      <c r="AX21" s="269">
        <f t="shared" si="28"/>
        <v>2500</v>
      </c>
      <c r="AY21" s="269">
        <f t="shared" si="26"/>
        <v>5600.4305331916876</v>
      </c>
      <c r="AZ21" s="281"/>
      <c r="BA21" s="267">
        <v>46</v>
      </c>
      <c r="BB21" s="269">
        <f t="shared" si="22"/>
        <v>347.31478338792505</v>
      </c>
      <c r="BC21" s="269">
        <f t="shared" si="22"/>
        <v>282.79385524866615</v>
      </c>
      <c r="BD21" s="269">
        <f t="shared" si="23"/>
        <v>908.78413676998559</v>
      </c>
      <c r="BE21" s="270"/>
      <c r="BF21" s="270"/>
      <c r="BG21" s="270"/>
    </row>
    <row r="22" spans="1:63" ht="53" customHeight="1" x14ac:dyDescent="0.35">
      <c r="B22" s="275">
        <f t="shared" ca="1" si="15"/>
        <v>69</v>
      </c>
      <c r="C22" s="279">
        <f t="shared" ca="1" si="11"/>
        <v>0</v>
      </c>
      <c r="D22" s="279">
        <f t="shared" ca="1" si="0"/>
        <v>1100</v>
      </c>
      <c r="E22" s="279">
        <f t="shared" ca="1" si="1"/>
        <v>600</v>
      </c>
      <c r="F22" s="279">
        <f ca="1">IF(AND('Retirement Dashboard'!$C$42="Yes", B22&lt;= 'Retirement Dashboard'!$E$42), 600, 0)</f>
        <v>0</v>
      </c>
      <c r="G22" s="279">
        <f ca="1">IF(B22&lt;'Retirement Dashboard'!$E$6,IF(B22&lt;=35,$BJ$4,IF(B22&lt;=45,$BJ$5,IF(B22&lt;=50,$BJ$6,IF(B22&lt;=55,$BJ$7,IF(B22&lt;=60,$BJ$8,IF(B22&lt;=65,$BJ$9,IF(B22&lt;=70,$BJ$10,$BJ$11)))))))*'Retirement Dashboard'!$C$12,0)</f>
        <v>0</v>
      </c>
      <c r="H22" s="279">
        <f t="shared" ca="1" si="16"/>
        <v>73800</v>
      </c>
      <c r="I22" s="279">
        <f t="shared" ca="1" si="2"/>
        <v>2952</v>
      </c>
      <c r="J22" s="279">
        <f t="shared" ca="1" si="3"/>
        <v>1252</v>
      </c>
      <c r="K22" s="279">
        <f t="shared" ca="1" si="17"/>
        <v>75500</v>
      </c>
      <c r="L22" s="278"/>
      <c r="M22" s="280">
        <f ca="1">IF(J22&gt;=0,J22,0)</f>
        <v>1252</v>
      </c>
      <c r="N22" s="279">
        <f ca="1">IF(B22&lt;$BH$31,IF(B23&lt;=35,$BI$4,IF(B23&lt;=45,$BI$5,IF(B23&lt;=50,$BI$6,IF(B23&lt;=55,$BI$7,IF(B23&lt;=60,$BI$8,IF(B23&lt;=65,$BI$9,IF(B23&lt;=70,$BI$10,$BI$11)))))))*'Retirement Dashboard'!$C$12,0)</f>
        <v>0</v>
      </c>
      <c r="O22" s="279">
        <f t="shared" ca="1" si="18"/>
        <v>339845.82488893875</v>
      </c>
      <c r="P22" s="279">
        <f t="shared" ca="1" si="13"/>
        <v>2400</v>
      </c>
      <c r="Q22" s="279">
        <f t="shared" ca="1" si="4"/>
        <v>14992.291244446938</v>
      </c>
      <c r="R22" s="279">
        <f ca="1">O22+P22+Q22</f>
        <v>357238.11613338569</v>
      </c>
      <c r="T22" s="279">
        <f ca="1">IF(B22&lt;$BH$31,IF(B22&lt;=35,$BH$4,IF(B23&lt;=45,$BH$5,IF(B23&lt;=50,$BH$6,IF(B23&lt;=55,$BH$7,IF(B23&lt;=60,$BH$8,IF(B23&lt;=65,$BH$9,IF(B23&lt;=70,$BH$10,$BH$11)))))))*'Retirement Dashboard'!$C$12,0)</f>
        <v>0</v>
      </c>
      <c r="U22" s="279">
        <f t="shared" ca="1" si="5"/>
        <v>0</v>
      </c>
      <c r="V22" s="279">
        <f t="shared" ca="1" si="6"/>
        <v>298</v>
      </c>
      <c r="W22" s="279">
        <f t="shared" ca="1" si="19"/>
        <v>124972.29804278552</v>
      </c>
      <c r="X22" s="279">
        <f t="shared" ca="1" si="7"/>
        <v>1200</v>
      </c>
      <c r="Y22" s="279">
        <f t="shared" ca="1" si="8"/>
        <v>2624.3074510696383</v>
      </c>
      <c r="Z22" s="279">
        <f t="shared" ca="1" si="20"/>
        <v>128796.60549385515</v>
      </c>
      <c r="AA22" s="270"/>
      <c r="AB22" s="270"/>
      <c r="AC22" s="270"/>
      <c r="AD22" s="270"/>
      <c r="AE22" s="270"/>
      <c r="AF22" s="270"/>
      <c r="AG22" s="270"/>
      <c r="AH22" s="270"/>
      <c r="AI22" s="270"/>
      <c r="AJ22" s="270"/>
      <c r="AK22" s="298" t="s">
        <v>270</v>
      </c>
      <c r="AL22" s="299">
        <v>1320</v>
      </c>
      <c r="AM22" s="300">
        <v>900</v>
      </c>
      <c r="AP22" s="305"/>
      <c r="AQ22" s="305"/>
      <c r="AR22" s="275">
        <f t="shared" ca="1" si="21"/>
        <v>44</v>
      </c>
      <c r="AS22" s="276">
        <f t="shared" si="21"/>
        <v>2042</v>
      </c>
      <c r="AT22" s="269">
        <f t="shared" si="24"/>
        <v>191101.89367531738</v>
      </c>
      <c r="AU22" s="269">
        <f t="shared" si="25"/>
        <v>382314.60317764268</v>
      </c>
      <c r="AV22" s="269">
        <f t="shared" si="25"/>
        <v>764629.20635528537</v>
      </c>
      <c r="AW22" s="269">
        <f t="shared" si="27"/>
        <v>1340</v>
      </c>
      <c r="AX22" s="269">
        <f t="shared" si="28"/>
        <v>2560</v>
      </c>
      <c r="AY22" s="269">
        <f t="shared" si="26"/>
        <v>5785.8047838403336</v>
      </c>
      <c r="AZ22" s="281"/>
      <c r="BA22" s="267">
        <v>47</v>
      </c>
      <c r="BB22" s="269">
        <f t="shared" si="22"/>
        <v>354.26107905568358</v>
      </c>
      <c r="BC22" s="269">
        <f t="shared" si="22"/>
        <v>288.44973235363949</v>
      </c>
      <c r="BD22" s="269">
        <f t="shared" si="23"/>
        <v>926.95981950538533</v>
      </c>
      <c r="BE22" s="270"/>
      <c r="BF22" s="270"/>
      <c r="BG22" s="270"/>
    </row>
    <row r="23" spans="1:63" ht="53" customHeight="1" x14ac:dyDescent="0.35">
      <c r="A23" s="306"/>
      <c r="B23" s="275">
        <f t="shared" ca="1" si="15"/>
        <v>70</v>
      </c>
      <c r="C23" s="279">
        <f t="shared" ca="1" si="11"/>
        <v>0</v>
      </c>
      <c r="D23" s="279">
        <f t="shared" ca="1" si="0"/>
        <v>1100</v>
      </c>
      <c r="E23" s="279">
        <f t="shared" ca="1" si="1"/>
        <v>600</v>
      </c>
      <c r="F23" s="279">
        <f ca="1">IF(AND('Retirement Dashboard'!$C$42="Yes", B23&lt;= 'Retirement Dashboard'!$E$42), 600, 0)</f>
        <v>0</v>
      </c>
      <c r="G23" s="279">
        <f ca="1">IF(B23&lt;'Retirement Dashboard'!$E$6,IF(B23&lt;=35,$BJ$4,IF(B23&lt;=45,$BJ$5,IF(B23&lt;=50,$BJ$6,IF(B23&lt;=55,$BJ$7,IF(B23&lt;=60,$BJ$8,IF(B23&lt;=65,$BJ$9,IF(B23&lt;=70,$BJ$10,$BJ$11)))))))*'Retirement Dashboard'!$C$12,0)</f>
        <v>0</v>
      </c>
      <c r="H23" s="279">
        <f t="shared" ca="1" si="16"/>
        <v>73800</v>
      </c>
      <c r="I23" s="279">
        <f t="shared" ca="1" si="2"/>
        <v>2952</v>
      </c>
      <c r="J23" s="279">
        <f t="shared" ca="1" si="3"/>
        <v>1252</v>
      </c>
      <c r="K23" s="279">
        <f t="shared" ca="1" si="17"/>
        <v>75500</v>
      </c>
      <c r="L23" s="307"/>
      <c r="M23" s="280">
        <f t="shared" ca="1" si="12"/>
        <v>1252</v>
      </c>
      <c r="N23" s="279">
        <f ca="1">IF(B23&lt;$BH$31,IF(B24&lt;=35,$BI$4,IF(B24&lt;=45,$BI$5,IF(B24&lt;=50,$BI$6,IF(B24&lt;=55,$BI$7,IF(B24&lt;=60,$BI$8,IF(B24&lt;=65,$BI$9,IF(B24&lt;=70,$BI$10,$BI$11)))))))*'Retirement Dashboard'!$C$12,0)</f>
        <v>0</v>
      </c>
      <c r="O23" s="279">
        <f t="shared" ca="1" si="18"/>
        <v>358490.11613338569</v>
      </c>
      <c r="P23" s="279">
        <f t="shared" ca="1" si="13"/>
        <v>2400</v>
      </c>
      <c r="Q23" s="279">
        <f t="shared" ca="1" si="4"/>
        <v>15924.505806669285</v>
      </c>
      <c r="R23" s="279">
        <f t="shared" ca="1" si="14"/>
        <v>376814.62194005499</v>
      </c>
      <c r="S23" s="306"/>
      <c r="T23" s="279">
        <f ca="1">IF(B23&lt;$BH$31,IF(B23&lt;=35,$BH$4,IF(B24&lt;=45,$BH$5,IF(B24&lt;=50,$BH$6,IF(B24&lt;=55,$BH$7,IF(B24&lt;=60,$BH$8,IF(B24&lt;=65,$BH$9,IF(B24&lt;=70,$BH$10,$BH$11)))))))*'Retirement Dashboard'!$C$12,0)</f>
        <v>0</v>
      </c>
      <c r="U23" s="279">
        <f t="shared" ca="1" si="5"/>
        <v>0</v>
      </c>
      <c r="V23" s="279">
        <f t="shared" ca="1" si="6"/>
        <v>0</v>
      </c>
      <c r="W23" s="279">
        <f t="shared" ca="1" si="19"/>
        <v>128796.60549385515</v>
      </c>
      <c r="X23" s="279">
        <f t="shared" ca="1" si="7"/>
        <v>1200</v>
      </c>
      <c r="Y23" s="279">
        <f t="shared" ca="1" si="8"/>
        <v>2719.9151373463792</v>
      </c>
      <c r="Z23" s="279">
        <f t="shared" ca="1" si="20"/>
        <v>132716.52063120154</v>
      </c>
      <c r="AA23" s="270"/>
      <c r="AB23" s="270"/>
      <c r="AC23" s="270"/>
      <c r="AD23" s="270"/>
      <c r="AE23" s="270"/>
      <c r="AF23" s="270"/>
      <c r="AG23" s="270"/>
      <c r="AH23" s="270"/>
      <c r="AI23" s="270"/>
      <c r="AJ23" s="270"/>
      <c r="AK23" s="298" t="s">
        <v>271</v>
      </c>
      <c r="AL23" s="299">
        <v>1530</v>
      </c>
      <c r="AM23" s="300">
        <v>900</v>
      </c>
      <c r="AP23" s="305"/>
      <c r="AQ23" s="305"/>
      <c r="AR23" s="275">
        <f t="shared" ref="AR23:AS38" ca="1" si="29">AR22+1</f>
        <v>45</v>
      </c>
      <c r="AS23" s="276">
        <f t="shared" si="29"/>
        <v>2043</v>
      </c>
      <c r="AT23" s="269">
        <f t="shared" si="24"/>
        <v>197790.45995395348</v>
      </c>
      <c r="AU23" s="269">
        <f t="shared" si="25"/>
        <v>395695.61428886012</v>
      </c>
      <c r="AV23" s="269">
        <f t="shared" si="25"/>
        <v>791391.22857772023</v>
      </c>
      <c r="AW23" s="269">
        <f t="shared" si="27"/>
        <v>1370</v>
      </c>
      <c r="AX23" s="269">
        <f t="shared" si="28"/>
        <v>2620</v>
      </c>
      <c r="AY23" s="269">
        <f t="shared" si="26"/>
        <v>5977.3149221854492</v>
      </c>
      <c r="AZ23" s="281"/>
      <c r="BA23" s="267">
        <v>48</v>
      </c>
      <c r="BB23" s="269">
        <f t="shared" ref="BB23:BC38" si="30">(100%+$BB$3)*BB22</f>
        <v>361.34630063679725</v>
      </c>
      <c r="BC23" s="269">
        <f t="shared" si="30"/>
        <v>294.21872700071231</v>
      </c>
      <c r="BD23" s="269">
        <f t="shared" si="23"/>
        <v>945.49901589549302</v>
      </c>
      <c r="BE23" s="270"/>
      <c r="BF23" s="270"/>
      <c r="BG23" s="270"/>
    </row>
    <row r="24" spans="1:63" ht="53" customHeight="1" x14ac:dyDescent="0.35">
      <c r="B24" s="275">
        <f t="shared" ca="1" si="15"/>
        <v>71</v>
      </c>
      <c r="C24" s="279">
        <f t="shared" ca="1" si="11"/>
        <v>0</v>
      </c>
      <c r="D24" s="279">
        <f t="shared" ca="1" si="0"/>
        <v>1195</v>
      </c>
      <c r="E24" s="279">
        <f t="shared" ca="1" si="1"/>
        <v>900</v>
      </c>
      <c r="F24" s="279">
        <f ca="1">IF(AND('Retirement Dashboard'!$C$42="Yes", B24&lt;= 'Retirement Dashboard'!$E$42), 600, 0)</f>
        <v>0</v>
      </c>
      <c r="G24" s="279">
        <f ca="1">IF(B24&lt;'Retirement Dashboard'!$E$6,IF(B24&lt;=35,$BJ$4,IF(B24&lt;=45,$BJ$5,IF(B24&lt;=50,$BJ$6,IF(B24&lt;=55,$BJ$7,IF(B24&lt;=60,$BJ$8,IF(B24&lt;=65,$BJ$9,IF(B24&lt;=70,$BJ$10,$BJ$11)))))))*'Retirement Dashboard'!$C$12,0)</f>
        <v>0</v>
      </c>
      <c r="H24" s="279">
        <f t="shared" ca="1" si="16"/>
        <v>73405</v>
      </c>
      <c r="I24" s="279">
        <f t="shared" ca="1" si="2"/>
        <v>2936.2000000000003</v>
      </c>
      <c r="J24" s="279">
        <f t="shared" ca="1" si="3"/>
        <v>841.19999999999709</v>
      </c>
      <c r="K24" s="279">
        <f t="shared" ca="1" si="17"/>
        <v>75500</v>
      </c>
      <c r="L24" s="278"/>
      <c r="M24" s="280">
        <f t="shared" ca="1" si="12"/>
        <v>841.19999999999709</v>
      </c>
      <c r="N24" s="279">
        <f ca="1">IF(B24&lt;$BH$31,IF(B25&lt;=35,$BI$4,IF(B25&lt;=45,$BI$5,IF(B25&lt;=50,$BI$6,IF(B25&lt;=55,$BI$7,IF(B25&lt;=60,$BI$8,IF(B25&lt;=65,$BI$9,IF(B25&lt;=70,$BI$10,$BI$11)))))))*'Retirement Dashboard'!$C$12,0)</f>
        <v>0</v>
      </c>
      <c r="O24" s="279">
        <f t="shared" ca="1" si="18"/>
        <v>377655.821940055</v>
      </c>
      <c r="P24" s="279">
        <f t="shared" ca="1" si="13"/>
        <v>2400</v>
      </c>
      <c r="Q24" s="279">
        <f t="shared" ca="1" si="4"/>
        <v>16882.791097002751</v>
      </c>
      <c r="R24" s="279">
        <f t="shared" ca="1" si="14"/>
        <v>396938.61303705774</v>
      </c>
      <c r="T24" s="279">
        <f ca="1">IF(B24&lt;$BH$31,IF(B24&lt;=35,$BH$4,IF(B25&lt;=45,$BH$5,IF(B25&lt;=50,$BH$6,IF(B25&lt;=55,$BH$7,IF(B25&lt;=60,$BH$8,IF(B25&lt;=65,$BH$9,IF(B25&lt;=70,$BH$10,$BH$11)))))))*'Retirement Dashboard'!$C$12,0)</f>
        <v>0</v>
      </c>
      <c r="U24" s="279">
        <f t="shared" ca="1" si="5"/>
        <v>0</v>
      </c>
      <c r="V24" s="279">
        <f t="shared" ca="1" si="6"/>
        <v>0</v>
      </c>
      <c r="W24" s="279">
        <f t="shared" ca="1" si="19"/>
        <v>132716.52063120154</v>
      </c>
      <c r="X24" s="279">
        <f t="shared" ca="1" si="7"/>
        <v>1200</v>
      </c>
      <c r="Y24" s="279">
        <f t="shared" ca="1" si="8"/>
        <v>2817.9130157800387</v>
      </c>
      <c r="Z24" s="279">
        <f t="shared" ca="1" si="20"/>
        <v>136734.43364698158</v>
      </c>
      <c r="AA24" s="270"/>
      <c r="AB24" s="270"/>
      <c r="AC24" s="270"/>
      <c r="AD24" s="270"/>
      <c r="AE24" s="270"/>
      <c r="AF24" s="270"/>
      <c r="AG24" s="270"/>
      <c r="AH24" s="270"/>
      <c r="AI24" s="270"/>
      <c r="AJ24" s="270"/>
      <c r="AK24" s="298" t="s">
        <v>272</v>
      </c>
      <c r="AL24" s="299">
        <v>1590</v>
      </c>
      <c r="AM24" s="300">
        <v>900</v>
      </c>
      <c r="AP24" s="305"/>
      <c r="AQ24" s="305"/>
      <c r="AR24" s="275">
        <f t="shared" ca="1" si="29"/>
        <v>46</v>
      </c>
      <c r="AS24" s="276">
        <f t="shared" si="29"/>
        <v>2044</v>
      </c>
      <c r="AT24" s="269">
        <f t="shared" si="24"/>
        <v>204713.12605234183</v>
      </c>
      <c r="AU24" s="269">
        <f t="shared" si="25"/>
        <v>409544.96078897017</v>
      </c>
      <c r="AV24" s="269">
        <f t="shared" si="25"/>
        <v>819089.92157794035</v>
      </c>
      <c r="AW24" s="269">
        <f t="shared" si="27"/>
        <v>1400</v>
      </c>
      <c r="AX24" s="269">
        <f t="shared" si="28"/>
        <v>2680</v>
      </c>
      <c r="AY24" s="269">
        <f t="shared" si="26"/>
        <v>6175.1640461097886</v>
      </c>
      <c r="AZ24" s="281"/>
      <c r="BA24" s="267">
        <v>49</v>
      </c>
      <c r="BB24" s="269">
        <f t="shared" si="30"/>
        <v>368.57322664953318</v>
      </c>
      <c r="BC24" s="269">
        <f t="shared" si="30"/>
        <v>300.10310154072658</v>
      </c>
      <c r="BD24" s="269">
        <f t="shared" si="23"/>
        <v>964.40899621340293</v>
      </c>
      <c r="BE24" s="270"/>
      <c r="BF24" s="270"/>
      <c r="BG24" s="270"/>
    </row>
    <row r="25" spans="1:63" ht="53" customHeight="1" x14ac:dyDescent="0.35">
      <c r="B25" s="275">
        <f t="shared" ca="1" si="15"/>
        <v>72</v>
      </c>
      <c r="C25" s="279">
        <f t="shared" ca="1" si="11"/>
        <v>0</v>
      </c>
      <c r="D25" s="279">
        <f t="shared" ca="1" si="0"/>
        <v>1195</v>
      </c>
      <c r="E25" s="279">
        <f t="shared" ca="1" si="1"/>
        <v>900</v>
      </c>
      <c r="F25" s="279">
        <f ca="1">IF(AND('Retirement Dashboard'!$C$42="Yes", B25&lt;= 'Retirement Dashboard'!$E$42), 600, 0)</f>
        <v>0</v>
      </c>
      <c r="G25" s="279">
        <f ca="1">IF(B25&lt;'Retirement Dashboard'!$E$6,IF(B25&lt;=35,$BJ$4,IF(B25&lt;=45,$BJ$5,IF(B25&lt;=50,$BJ$6,IF(B25&lt;=55,$BJ$7,IF(B25&lt;=60,$BJ$8,IF(B25&lt;=65,$BJ$9,IF(B25&lt;=70,$BJ$10,$BJ$11)))))))*'Retirement Dashboard'!$C$12,0)</f>
        <v>0</v>
      </c>
      <c r="H25" s="279">
        <f t="shared" ca="1" si="16"/>
        <v>73405</v>
      </c>
      <c r="I25" s="279">
        <f t="shared" ca="1" si="2"/>
        <v>2936.2000000000003</v>
      </c>
      <c r="J25" s="279">
        <f t="shared" ca="1" si="3"/>
        <v>841.19999999999709</v>
      </c>
      <c r="K25" s="279">
        <f t="shared" ca="1" si="17"/>
        <v>75500</v>
      </c>
      <c r="L25" s="278"/>
      <c r="M25" s="280">
        <f t="shared" ca="1" si="12"/>
        <v>841.19999999999709</v>
      </c>
      <c r="N25" s="279">
        <f ca="1">IF(B25&lt;$BH$31,IF(B26&lt;=35,$BI$4,IF(B26&lt;=45,$BI$5,IF(B26&lt;=50,$BI$6,IF(B26&lt;=55,$BI$7,IF(B26&lt;=60,$BI$8,IF(B26&lt;=65,$BI$9,IF(B26&lt;=70,$BI$10,$BI$11)))))))*'Retirement Dashboard'!$C$12,0)</f>
        <v>0</v>
      </c>
      <c r="O25" s="279">
        <f t="shared" ca="1" si="18"/>
        <v>397779.81303705776</v>
      </c>
      <c r="P25" s="279">
        <f t="shared" ca="1" si="13"/>
        <v>2400</v>
      </c>
      <c r="Q25" s="279">
        <f t="shared" ca="1" si="4"/>
        <v>17888.990651852888</v>
      </c>
      <c r="R25" s="279">
        <f t="shared" ca="1" si="14"/>
        <v>418068.80368891067</v>
      </c>
      <c r="T25" s="279">
        <f ca="1">IF(B25&lt;$BH$31,IF(B25&lt;=35,$BH$4,IF(B26&lt;=45,$BH$5,IF(B26&lt;=50,$BH$6,IF(B26&lt;=55,$BH$7,IF(B26&lt;=60,$BH$8,IF(B26&lt;=65,$BH$9,IF(B26&lt;=70,$BH$10,$BH$11)))))))*'Retirement Dashboard'!$C$12,0)</f>
        <v>0</v>
      </c>
      <c r="U25" s="279">
        <f t="shared" ca="1" si="5"/>
        <v>0</v>
      </c>
      <c r="V25" s="279">
        <f t="shared" ca="1" si="6"/>
        <v>0</v>
      </c>
      <c r="W25" s="279">
        <f t="shared" ca="1" si="19"/>
        <v>136734.43364698158</v>
      </c>
      <c r="X25" s="279">
        <f t="shared" ca="1" si="7"/>
        <v>1200</v>
      </c>
      <c r="Y25" s="279">
        <f t="shared" ca="1" si="8"/>
        <v>2918.3608411745395</v>
      </c>
      <c r="Z25" s="279">
        <f t="shared" ca="1" si="20"/>
        <v>140852.79448815613</v>
      </c>
      <c r="AA25" s="270"/>
      <c r="AB25" s="270"/>
      <c r="AC25" s="270"/>
      <c r="AD25" s="270"/>
      <c r="AE25" s="270"/>
      <c r="AF25" s="270"/>
      <c r="AG25" s="270"/>
      <c r="AH25" s="270"/>
      <c r="AI25" s="270"/>
      <c r="AJ25" s="270"/>
      <c r="AK25" s="298" t="s">
        <v>273</v>
      </c>
      <c r="AL25" s="299">
        <v>1675</v>
      </c>
      <c r="AM25" s="300">
        <v>900</v>
      </c>
      <c r="AR25" s="275">
        <f t="shared" ca="1" si="29"/>
        <v>47</v>
      </c>
      <c r="AS25" s="276">
        <f t="shared" si="29"/>
        <v>2045</v>
      </c>
      <c r="AT25" s="269">
        <f t="shared" si="24"/>
        <v>211878.08546417378</v>
      </c>
      <c r="AU25" s="269">
        <f t="shared" ref="AU25:AV40" si="31">AU24*103.5%</f>
        <v>423879.03441658412</v>
      </c>
      <c r="AV25" s="269">
        <f t="shared" si="31"/>
        <v>847758.06883316825</v>
      </c>
      <c r="AW25" s="269">
        <f>AW24+30</f>
        <v>1430</v>
      </c>
      <c r="AX25" s="269">
        <f>AX24+60</f>
        <v>2740</v>
      </c>
      <c r="AY25" s="269">
        <f t="shared" si="26"/>
        <v>6379.5619760360232</v>
      </c>
      <c r="AZ25" s="281"/>
      <c r="BA25" s="267">
        <v>50</v>
      </c>
      <c r="BB25" s="269">
        <f t="shared" si="30"/>
        <v>375.94469118252385</v>
      </c>
      <c r="BC25" s="269">
        <f t="shared" si="30"/>
        <v>306.10516357154114</v>
      </c>
      <c r="BD25" s="269">
        <f t="shared" si="23"/>
        <v>983.69717613767102</v>
      </c>
      <c r="BE25" s="270"/>
      <c r="BF25" s="270"/>
      <c r="BG25" s="270"/>
    </row>
    <row r="26" spans="1:63" ht="53" customHeight="1" x14ac:dyDescent="0.35">
      <c r="B26" s="275">
        <f t="shared" ca="1" si="15"/>
        <v>73</v>
      </c>
      <c r="C26" s="279">
        <f t="shared" ca="1" si="11"/>
        <v>0</v>
      </c>
      <c r="D26" s="279">
        <f t="shared" ca="1" si="0"/>
        <v>1195</v>
      </c>
      <c r="E26" s="279">
        <f t="shared" ca="1" si="1"/>
        <v>900</v>
      </c>
      <c r="F26" s="279">
        <f ca="1">IF(AND('Retirement Dashboard'!$C$42="Yes", B26&lt;= 'Retirement Dashboard'!$E$42), 600, 0)</f>
        <v>0</v>
      </c>
      <c r="G26" s="279">
        <f ca="1">IF(B26&lt;'Retirement Dashboard'!$E$6,IF(B26&lt;=35,$BJ$4,IF(B26&lt;=45,$BJ$5,IF(B26&lt;=50,$BJ$6,IF(B26&lt;=55,$BJ$7,IF(B26&lt;=60,$BJ$8,IF(B26&lt;=65,$BJ$9,IF(B26&lt;=70,$BJ$10,$BJ$11)))))))*'Retirement Dashboard'!$C$12,0)</f>
        <v>0</v>
      </c>
      <c r="H26" s="279">
        <f t="shared" ca="1" si="16"/>
        <v>73405</v>
      </c>
      <c r="I26" s="279">
        <f t="shared" ca="1" si="2"/>
        <v>2936.2000000000003</v>
      </c>
      <c r="J26" s="279">
        <f t="shared" ca="1" si="3"/>
        <v>841.19999999999709</v>
      </c>
      <c r="K26" s="279">
        <f t="shared" ca="1" si="17"/>
        <v>75500</v>
      </c>
      <c r="L26" s="278"/>
      <c r="M26" s="280">
        <f t="shared" ca="1" si="12"/>
        <v>841.19999999999709</v>
      </c>
      <c r="N26" s="279">
        <f ca="1">IF(B26&lt;$BH$31,IF(B27&lt;=35,$BI$4,IF(B27&lt;=45,$BI$5,IF(B27&lt;=50,$BI$6,IF(B27&lt;=55,$BI$7,IF(B27&lt;=60,$BI$8,IF(B27&lt;=65,$BI$9,IF(B27&lt;=70,$BI$10,$BI$11)))))))*'Retirement Dashboard'!$C$12,0)</f>
        <v>0</v>
      </c>
      <c r="O26" s="279">
        <f t="shared" ca="1" si="18"/>
        <v>418910.00368891069</v>
      </c>
      <c r="P26" s="279">
        <f t="shared" ca="1" si="13"/>
        <v>2400</v>
      </c>
      <c r="Q26" s="279">
        <f t="shared" ca="1" si="4"/>
        <v>18945.500184445536</v>
      </c>
      <c r="R26" s="279">
        <f t="shared" ca="1" si="14"/>
        <v>440255.50387335621</v>
      </c>
      <c r="T26" s="279">
        <f ca="1">IF(B26&lt;$BH$31,IF(B26&lt;=35,$BH$4,IF(B27&lt;=45,$BH$5,IF(B27&lt;=50,$BH$6,IF(B27&lt;=55,$BH$7,IF(B27&lt;=60,$BH$8,IF(B27&lt;=65,$BH$9,IF(B27&lt;=70,$BH$10,$BH$11)))))))*'Retirement Dashboard'!$C$12,0)</f>
        <v>0</v>
      </c>
      <c r="U26" s="279">
        <f t="shared" ca="1" si="5"/>
        <v>0</v>
      </c>
      <c r="V26" s="279">
        <f t="shared" ca="1" si="6"/>
        <v>0</v>
      </c>
      <c r="W26" s="279">
        <f t="shared" ca="1" si="19"/>
        <v>140852.79448815613</v>
      </c>
      <c r="X26" s="279">
        <f t="shared" ca="1" si="7"/>
        <v>1200</v>
      </c>
      <c r="Y26" s="279">
        <f t="shared" ca="1" si="8"/>
        <v>3021.3198622039035</v>
      </c>
      <c r="Z26" s="279">
        <f t="shared" ca="1" si="20"/>
        <v>145074.11435036003</v>
      </c>
      <c r="AA26" s="270"/>
      <c r="AB26" s="270"/>
      <c r="AC26" s="270"/>
      <c r="AD26" s="270"/>
      <c r="AE26" s="270"/>
      <c r="AF26" s="270"/>
      <c r="AG26" s="270"/>
      <c r="AH26" s="270"/>
      <c r="AI26" s="270"/>
      <c r="AJ26" s="270"/>
      <c r="AK26" s="298" t="s">
        <v>274</v>
      </c>
      <c r="AL26" s="299">
        <v>1935</v>
      </c>
      <c r="AM26" s="300">
        <v>900</v>
      </c>
      <c r="AP26" s="305"/>
      <c r="AQ26" s="305"/>
      <c r="AR26" s="275">
        <f t="shared" ca="1" si="29"/>
        <v>48</v>
      </c>
      <c r="AS26" s="276">
        <f t="shared" si="29"/>
        <v>2046</v>
      </c>
      <c r="AT26" s="269">
        <f t="shared" si="24"/>
        <v>219293.81845541985</v>
      </c>
      <c r="AU26" s="269">
        <f t="shared" si="31"/>
        <v>438714.80062116456</v>
      </c>
      <c r="AV26" s="269">
        <f t="shared" si="31"/>
        <v>877429.60124232911</v>
      </c>
      <c r="AW26" s="269">
        <f t="shared" ref="AW26:AW40" si="32">AW25+30</f>
        <v>1460</v>
      </c>
      <c r="AX26" s="269">
        <f t="shared" ref="AX26:AX40" si="33">AX25+60</f>
        <v>2800</v>
      </c>
      <c r="AY26" s="269">
        <f t="shared" si="26"/>
        <v>6590.7254774428166</v>
      </c>
      <c r="AZ26" s="281"/>
      <c r="BA26" s="267">
        <v>51</v>
      </c>
      <c r="BB26" s="269">
        <f t="shared" si="30"/>
        <v>383.46358500617436</v>
      </c>
      <c r="BC26" s="269">
        <f t="shared" si="30"/>
        <v>312.22726684297197</v>
      </c>
      <c r="BD26" s="269">
        <f t="shared" si="23"/>
        <v>1003.3711196604245</v>
      </c>
      <c r="BE26" s="270"/>
      <c r="BF26" s="270"/>
      <c r="BG26" s="270"/>
    </row>
    <row r="27" spans="1:63" ht="53" customHeight="1" x14ac:dyDescent="0.35">
      <c r="B27" s="275">
        <f t="shared" ca="1" si="15"/>
        <v>74</v>
      </c>
      <c r="C27" s="279">
        <f t="shared" ca="1" si="11"/>
        <v>0</v>
      </c>
      <c r="D27" s="279">
        <f t="shared" ca="1" si="0"/>
        <v>1320</v>
      </c>
      <c r="E27" s="279">
        <f t="shared" ca="1" si="1"/>
        <v>900</v>
      </c>
      <c r="F27" s="279">
        <f ca="1">IF(AND('Retirement Dashboard'!$C$42="Yes", B27&lt;= 'Retirement Dashboard'!$E$42), 600, 0)</f>
        <v>0</v>
      </c>
      <c r="G27" s="279">
        <f ca="1">IF(B27&lt;'Retirement Dashboard'!$E$6,IF(B27&lt;=35,$BJ$4,IF(B27&lt;=45,$BJ$5,IF(B27&lt;=50,$BJ$6,IF(B27&lt;=55,$BJ$7,IF(B27&lt;=60,$BJ$8,IF(B27&lt;=65,$BJ$9,IF(B27&lt;=70,$BJ$10,$BJ$11)))))))*'Retirement Dashboard'!$C$12,0)</f>
        <v>0</v>
      </c>
      <c r="H27" s="279">
        <f t="shared" ca="1" si="16"/>
        <v>73280</v>
      </c>
      <c r="I27" s="279">
        <f t="shared" ca="1" si="2"/>
        <v>2931.2000000000003</v>
      </c>
      <c r="J27" s="279">
        <f t="shared" ca="1" si="3"/>
        <v>711.19999999999709</v>
      </c>
      <c r="K27" s="279">
        <f t="shared" ca="1" si="17"/>
        <v>75500</v>
      </c>
      <c r="L27" s="278"/>
      <c r="M27" s="280">
        <f t="shared" ca="1" si="12"/>
        <v>711.19999999999709</v>
      </c>
      <c r="N27" s="279">
        <f ca="1">IF(B27&lt;$BH$31,IF(B28&lt;=35,$BI$4,IF(B28&lt;=45,$BI$5,IF(B28&lt;=50,$BI$6,IF(B28&lt;=55,$BI$7,IF(B28&lt;=60,$BI$8,IF(B28&lt;=65,$BI$9,IF(B28&lt;=70,$BI$10,$BI$11)))))))*'Retirement Dashboard'!$C$12,0)</f>
        <v>0</v>
      </c>
      <c r="O27" s="279">
        <f t="shared" ca="1" si="18"/>
        <v>440966.70387335622</v>
      </c>
      <c r="P27" s="279">
        <f t="shared" ca="1" si="13"/>
        <v>2400</v>
      </c>
      <c r="Q27" s="279">
        <f t="shared" ca="1" si="4"/>
        <v>20048.335193667812</v>
      </c>
      <c r="R27" s="279">
        <f t="shared" ca="1" si="14"/>
        <v>463415.03906702402</v>
      </c>
      <c r="T27" s="279">
        <f ca="1">IF(B27&lt;$BH$31,IF(B27&lt;=35,$BH$4,IF(B28&lt;=45,$BH$5,IF(B28&lt;=50,$BH$6,IF(B28&lt;=55,$BH$7,IF(B28&lt;=60,$BH$8,IF(B28&lt;=65,$BH$9,IF(B28&lt;=70,$BH$10,$BH$11)))))))*'Retirement Dashboard'!$C$12,0)</f>
        <v>0</v>
      </c>
      <c r="U27" s="279">
        <f t="shared" ca="1" si="5"/>
        <v>0</v>
      </c>
      <c r="V27" s="279">
        <f t="shared" ca="1" si="6"/>
        <v>0</v>
      </c>
      <c r="W27" s="279">
        <f t="shared" ca="1" si="19"/>
        <v>145074.11435036003</v>
      </c>
      <c r="X27" s="279">
        <f t="shared" ca="1" si="7"/>
        <v>1200</v>
      </c>
      <c r="Y27" s="279">
        <f t="shared" ca="1" si="8"/>
        <v>3126.8528587590008</v>
      </c>
      <c r="Z27" s="279">
        <f t="shared" ca="1" si="20"/>
        <v>149400.96720911903</v>
      </c>
      <c r="AA27" s="270"/>
      <c r="AB27" s="270"/>
      <c r="AC27" s="270"/>
      <c r="AD27" s="270"/>
      <c r="AE27" s="270"/>
      <c r="AF27" s="270"/>
      <c r="AG27" s="270"/>
      <c r="AH27" s="270"/>
      <c r="AI27" s="270"/>
      <c r="AJ27" s="270"/>
      <c r="AK27" s="298" t="s">
        <v>275</v>
      </c>
      <c r="AL27" s="299">
        <v>2025</v>
      </c>
      <c r="AM27" s="300">
        <v>900</v>
      </c>
      <c r="AR27" s="275">
        <f t="shared" ca="1" si="29"/>
        <v>49</v>
      </c>
      <c r="AS27" s="276">
        <f t="shared" si="29"/>
        <v>2047</v>
      </c>
      <c r="AT27" s="269">
        <f t="shared" si="24"/>
        <v>226969.10210135952</v>
      </c>
      <c r="AU27" s="269">
        <f t="shared" si="31"/>
        <v>454069.81864290527</v>
      </c>
      <c r="AV27" s="269">
        <f t="shared" si="31"/>
        <v>908139.63728581055</v>
      </c>
      <c r="AW27" s="269">
        <f t="shared" si="32"/>
        <v>1490</v>
      </c>
      <c r="AX27" s="269">
        <f t="shared" si="33"/>
        <v>2860</v>
      </c>
      <c r="AY27" s="269">
        <f t="shared" si="26"/>
        <v>6808.878490746175</v>
      </c>
      <c r="AZ27" s="281"/>
      <c r="BA27" s="267">
        <v>52</v>
      </c>
      <c r="BB27" s="269">
        <f t="shared" si="30"/>
        <v>391.13285670629784</v>
      </c>
      <c r="BC27" s="269">
        <f t="shared" si="30"/>
        <v>318.47181217983143</v>
      </c>
      <c r="BD27" s="269">
        <f t="shared" si="23"/>
        <v>1023.438542053633</v>
      </c>
      <c r="BE27" s="270"/>
      <c r="BF27" s="270"/>
      <c r="BG27" s="247" t="s">
        <v>276</v>
      </c>
      <c r="BH27" s="308">
        <v>2025</v>
      </c>
      <c r="BI27" s="248"/>
      <c r="BJ27" s="248"/>
    </row>
    <row r="28" spans="1:63" ht="53" customHeight="1" x14ac:dyDescent="0.35">
      <c r="B28" s="275">
        <f t="shared" ca="1" si="15"/>
        <v>75</v>
      </c>
      <c r="C28" s="279">
        <f t="shared" ca="1" si="11"/>
        <v>0</v>
      </c>
      <c r="D28" s="279">
        <f t="shared" ca="1" si="0"/>
        <v>1320</v>
      </c>
      <c r="E28" s="279">
        <f t="shared" ca="1" si="1"/>
        <v>900</v>
      </c>
      <c r="F28" s="279">
        <f ca="1">IF(AND('Retirement Dashboard'!$C$42="Yes", B28&lt;= 'Retirement Dashboard'!$E$42), 600, 0)</f>
        <v>0</v>
      </c>
      <c r="G28" s="279">
        <f ca="1">IF(B28&lt;'Retirement Dashboard'!$E$6,IF(B28&lt;=35,$BJ$4,IF(B28&lt;=45,$BJ$5,IF(B28&lt;=50,$BJ$6,IF(B28&lt;=55,$BJ$7,IF(B28&lt;=60,$BJ$8,IF(B28&lt;=65,$BJ$9,IF(B28&lt;=70,$BJ$10,$BJ$11)))))))*'Retirement Dashboard'!$C$12,0)</f>
        <v>0</v>
      </c>
      <c r="H28" s="279">
        <f t="shared" ca="1" si="16"/>
        <v>73280</v>
      </c>
      <c r="I28" s="279">
        <f t="shared" ca="1" si="2"/>
        <v>2931.2000000000003</v>
      </c>
      <c r="J28" s="279">
        <f t="shared" ca="1" si="3"/>
        <v>711.19999999999709</v>
      </c>
      <c r="K28" s="279">
        <f t="shared" ca="1" si="17"/>
        <v>75500</v>
      </c>
      <c r="L28" s="278"/>
      <c r="M28" s="280">
        <f t="shared" ca="1" si="12"/>
        <v>711.19999999999709</v>
      </c>
      <c r="N28" s="279">
        <f ca="1">IF(B28&lt;$BH$31,IF(B29&lt;=35,$BI$4,IF(B29&lt;=45,$BI$5,IF(B29&lt;=50,$BI$6,IF(B29&lt;=55,$BI$7,IF(B29&lt;=60,$BI$8,IF(B29&lt;=65,$BI$9,IF(B29&lt;=70,$BI$10,$BI$11)))))))*'Retirement Dashboard'!$C$12,0)</f>
        <v>0</v>
      </c>
      <c r="O28" s="279">
        <f t="shared" ca="1" si="18"/>
        <v>464126.23906702403</v>
      </c>
      <c r="P28" s="279">
        <f t="shared" ca="1" si="13"/>
        <v>2400</v>
      </c>
      <c r="Q28" s="279">
        <f t="shared" ca="1" si="4"/>
        <v>21206.311953351204</v>
      </c>
      <c r="R28" s="279">
        <f t="shared" ca="1" si="14"/>
        <v>487732.55102037522</v>
      </c>
      <c r="T28" s="279">
        <f ca="1">IF(B28&lt;$BH$31,IF(B28&lt;=35,$BH$4,IF(B29&lt;=45,$BH$5,IF(B29&lt;=50,$BH$6,IF(B29&lt;=55,$BH$7,IF(B29&lt;=60,$BH$8,IF(B29&lt;=65,$BH$9,IF(B29&lt;=70,$BH$10,$BH$11)))))))*'Retirement Dashboard'!$C$12,0)</f>
        <v>0</v>
      </c>
      <c r="U28" s="279">
        <f t="shared" ca="1" si="5"/>
        <v>0</v>
      </c>
      <c r="V28" s="279">
        <f t="shared" ca="1" si="6"/>
        <v>0</v>
      </c>
      <c r="W28" s="279">
        <f t="shared" ca="1" si="19"/>
        <v>149400.96720911903</v>
      </c>
      <c r="X28" s="279">
        <f t="shared" ca="1" si="7"/>
        <v>1200</v>
      </c>
      <c r="Y28" s="279">
        <f t="shared" ca="1" si="8"/>
        <v>3235.0241802279761</v>
      </c>
      <c r="Z28" s="279">
        <f t="shared" ca="1" si="20"/>
        <v>153835.99138934701</v>
      </c>
      <c r="AA28" s="270"/>
      <c r="AB28" s="270"/>
      <c r="AC28" s="270"/>
      <c r="AD28" s="270"/>
      <c r="AE28" s="270"/>
      <c r="AF28" s="270"/>
      <c r="AG28" s="270"/>
      <c r="AH28" s="270"/>
      <c r="AI28" s="270"/>
      <c r="AJ28" s="270"/>
      <c r="AK28" s="298" t="s">
        <v>277</v>
      </c>
      <c r="AL28" s="299">
        <v>2055</v>
      </c>
      <c r="AM28" s="300">
        <v>900</v>
      </c>
      <c r="AR28" s="275">
        <f t="shared" ca="1" si="29"/>
        <v>50</v>
      </c>
      <c r="AS28" s="276">
        <f t="shared" si="29"/>
        <v>2048</v>
      </c>
      <c r="AT28" s="269">
        <f t="shared" si="24"/>
        <v>234913.02067490708</v>
      </c>
      <c r="AU28" s="269">
        <f t="shared" si="31"/>
        <v>469962.26229540689</v>
      </c>
      <c r="AV28" s="269">
        <f t="shared" si="31"/>
        <v>939924.52459081379</v>
      </c>
      <c r="AW28" s="269">
        <f t="shared" si="32"/>
        <v>1520</v>
      </c>
      <c r="AX28" s="269">
        <f t="shared" si="33"/>
        <v>2920</v>
      </c>
      <c r="AY28" s="269">
        <f t="shared" si="26"/>
        <v>7034.2523687898738</v>
      </c>
      <c r="AZ28" s="281"/>
      <c r="BA28" s="267">
        <v>53</v>
      </c>
      <c r="BB28" s="269">
        <f t="shared" si="30"/>
        <v>398.95551384042381</v>
      </c>
      <c r="BC28" s="269">
        <f t="shared" si="30"/>
        <v>324.84124842342806</v>
      </c>
      <c r="BD28" s="269">
        <f t="shared" si="23"/>
        <v>1043.9073128947057</v>
      </c>
      <c r="BG28" s="309" t="s">
        <v>278</v>
      </c>
      <c r="BH28" s="310" t="s">
        <v>84</v>
      </c>
      <c r="BI28" s="248"/>
      <c r="BJ28" s="248"/>
    </row>
    <row r="29" spans="1:63" ht="53" customHeight="1" x14ac:dyDescent="0.35">
      <c r="B29" s="275">
        <f t="shared" ca="1" si="15"/>
        <v>76</v>
      </c>
      <c r="C29" s="279">
        <f t="shared" ca="1" si="11"/>
        <v>0</v>
      </c>
      <c r="D29" s="279">
        <f t="shared" ca="1" si="0"/>
        <v>1530</v>
      </c>
      <c r="E29" s="279">
        <f t="shared" ca="1" si="1"/>
        <v>900</v>
      </c>
      <c r="F29" s="279">
        <f ca="1">IF(AND('Retirement Dashboard'!$C$42="Yes", B29&lt;= 'Retirement Dashboard'!$E$42), 600, 0)</f>
        <v>0</v>
      </c>
      <c r="G29" s="279">
        <f ca="1">IF(B29&lt;'Retirement Dashboard'!$E$6,IF(B29&lt;=35,$BJ$4,IF(B29&lt;=45,$BJ$5,IF(B29&lt;=50,$BJ$6,IF(B29&lt;=55,$BJ$7,IF(B29&lt;=60,$BJ$8,IF(B29&lt;=65,$BJ$9,IF(B29&lt;=70,$BJ$10,$BJ$11)))))))*'Retirement Dashboard'!$C$12,0)</f>
        <v>0</v>
      </c>
      <c r="H29" s="279">
        <f t="shared" ca="1" si="16"/>
        <v>73070</v>
      </c>
      <c r="I29" s="279">
        <f t="shared" ca="1" si="2"/>
        <v>2922.8</v>
      </c>
      <c r="J29" s="279">
        <f t="shared" ca="1" si="3"/>
        <v>492.80000000000291</v>
      </c>
      <c r="K29" s="279">
        <f t="shared" ca="1" si="17"/>
        <v>75500</v>
      </c>
      <c r="L29" s="278"/>
      <c r="M29" s="280">
        <f t="shared" ca="1" si="12"/>
        <v>492.80000000000291</v>
      </c>
      <c r="N29" s="279">
        <f ca="1">IF(B29&lt;$BH$31,IF(B30&lt;=35,$BI$4,IF(B30&lt;=45,$BI$5,IF(B30&lt;=50,$BI$6,IF(B30&lt;=55,$BI$7,IF(B30&lt;=60,$BI$8,IF(B30&lt;=65,$BI$9,IF(B30&lt;=70,$BI$10,$BI$11)))))))*'Retirement Dashboard'!$C$12,0)</f>
        <v>0</v>
      </c>
      <c r="O29" s="279">
        <f t="shared" ca="1" si="18"/>
        <v>488225.35102037521</v>
      </c>
      <c r="P29" s="279">
        <f t="shared" ca="1" si="13"/>
        <v>2400</v>
      </c>
      <c r="Q29" s="279">
        <f t="shared" ca="1" si="4"/>
        <v>22411.267551018762</v>
      </c>
      <c r="R29" s="279">
        <f t="shared" ca="1" si="14"/>
        <v>513036.61857139395</v>
      </c>
      <c r="T29" s="279">
        <f ca="1">IF(B29&lt;$BH$31,IF(B29&lt;=35,$BH$4,IF(B30&lt;=45,$BH$5,IF(B30&lt;=50,$BH$6,IF(B30&lt;=55,$BH$7,IF(B30&lt;=60,$BH$8,IF(B30&lt;=65,$BH$9,IF(B30&lt;=70,$BH$10,$BH$11)))))))*'Retirement Dashboard'!$C$12,0)</f>
        <v>0</v>
      </c>
      <c r="U29" s="279">
        <f t="shared" ca="1" si="5"/>
        <v>0</v>
      </c>
      <c r="V29" s="279">
        <f t="shared" ca="1" si="6"/>
        <v>0</v>
      </c>
      <c r="W29" s="279">
        <f t="shared" ca="1" si="19"/>
        <v>153835.99138934701</v>
      </c>
      <c r="X29" s="279">
        <f t="shared" ca="1" si="7"/>
        <v>1200</v>
      </c>
      <c r="Y29" s="279">
        <f t="shared" ca="1" si="8"/>
        <v>3345.8997847336755</v>
      </c>
      <c r="Z29" s="279">
        <f t="shared" ca="1" si="20"/>
        <v>158381.89117408069</v>
      </c>
      <c r="AA29" s="270"/>
      <c r="AB29" s="270"/>
      <c r="AC29" s="270"/>
      <c r="AD29" s="270"/>
      <c r="AE29" s="270"/>
      <c r="AF29" s="270"/>
      <c r="AG29" s="270"/>
      <c r="AH29" s="270"/>
      <c r="AI29" s="270"/>
      <c r="AJ29" s="270"/>
      <c r="AM29" s="311"/>
      <c r="AR29" s="275">
        <f t="shared" ca="1" si="29"/>
        <v>51</v>
      </c>
      <c r="AS29" s="276">
        <f t="shared" si="29"/>
        <v>2049</v>
      </c>
      <c r="AT29" s="269">
        <f t="shared" si="24"/>
        <v>243134.97639852882</v>
      </c>
      <c r="AU29" s="269">
        <f t="shared" si="31"/>
        <v>486410.94147574611</v>
      </c>
      <c r="AV29" s="269">
        <f t="shared" si="31"/>
        <v>972821.88295149221</v>
      </c>
      <c r="AW29" s="269">
        <f t="shared" si="32"/>
        <v>1550</v>
      </c>
      <c r="AX29" s="269">
        <f t="shared" si="33"/>
        <v>2980</v>
      </c>
      <c r="AY29" s="269">
        <f t="shared" si="26"/>
        <v>7267.0861221968198</v>
      </c>
      <c r="AZ29" s="281"/>
      <c r="BA29" s="267">
        <v>54</v>
      </c>
      <c r="BB29" s="269">
        <f t="shared" si="30"/>
        <v>406.93462411723226</v>
      </c>
      <c r="BC29" s="269">
        <f t="shared" si="30"/>
        <v>331.33807339189661</v>
      </c>
      <c r="BD29" s="269">
        <f t="shared" si="23"/>
        <v>1064.7854591525997</v>
      </c>
      <c r="BG29" s="247" t="s">
        <v>279</v>
      </c>
      <c r="BH29" s="312">
        <f>[11]Siti!D3</f>
        <v>27716</v>
      </c>
      <c r="BI29" s="248"/>
      <c r="BJ29" s="248"/>
    </row>
    <row r="30" spans="1:63" ht="53" customHeight="1" x14ac:dyDescent="0.35">
      <c r="B30" s="275">
        <f t="shared" ca="1" si="15"/>
        <v>77</v>
      </c>
      <c r="C30" s="279">
        <f t="shared" ca="1" si="11"/>
        <v>0</v>
      </c>
      <c r="D30" s="279">
        <f t="shared" ca="1" si="0"/>
        <v>1530</v>
      </c>
      <c r="E30" s="279">
        <f t="shared" ca="1" si="1"/>
        <v>900</v>
      </c>
      <c r="F30" s="279">
        <f ca="1">IF(AND('Retirement Dashboard'!$C$42="Yes", B30&lt;= 'Retirement Dashboard'!$E$42), 600, 0)</f>
        <v>0</v>
      </c>
      <c r="G30" s="279">
        <f ca="1">IF(B30&lt;'Retirement Dashboard'!$E$6,IF(B30&lt;=35,$BJ$4,IF(B30&lt;=45,$BJ$5,IF(B30&lt;=50,$BJ$6,IF(B30&lt;=55,$BJ$7,IF(B30&lt;=60,$BJ$8,IF(B30&lt;=65,$BJ$9,IF(B30&lt;=70,$BJ$10,$BJ$11)))))))*'Retirement Dashboard'!$C$12,0)</f>
        <v>0</v>
      </c>
      <c r="H30" s="279">
        <f t="shared" ca="1" si="16"/>
        <v>73070</v>
      </c>
      <c r="I30" s="279">
        <f t="shared" ca="1" si="2"/>
        <v>2922.8</v>
      </c>
      <c r="J30" s="279">
        <f t="shared" ca="1" si="3"/>
        <v>492.80000000000291</v>
      </c>
      <c r="K30" s="279">
        <f t="shared" ca="1" si="17"/>
        <v>75500</v>
      </c>
      <c r="L30" s="278"/>
      <c r="M30" s="280">
        <f t="shared" ca="1" si="12"/>
        <v>492.80000000000291</v>
      </c>
      <c r="N30" s="279">
        <f ca="1">IF(B30&lt;$BH$31,IF(B31&lt;=35,$BI$4,IF(B31&lt;=45,$BI$5,IF(B31&lt;=50,$BI$6,IF(B31&lt;=55,$BI$7,IF(B31&lt;=60,$BI$8,IF(B31&lt;=65,$BI$9,IF(B31&lt;=70,$BI$10,$BI$11)))))))*'Retirement Dashboard'!$C$12,0)</f>
        <v>0</v>
      </c>
      <c r="O30" s="279">
        <f t="shared" ca="1" si="18"/>
        <v>513529.41857139394</v>
      </c>
      <c r="P30" s="279">
        <f t="shared" ca="1" si="13"/>
        <v>2400</v>
      </c>
      <c r="Q30" s="279">
        <f t="shared" ca="1" si="4"/>
        <v>23676.470928569699</v>
      </c>
      <c r="R30" s="279">
        <f t="shared" ca="1" si="14"/>
        <v>539605.88949996361</v>
      </c>
      <c r="T30" s="279">
        <f ca="1">IF(B30&lt;$BH$31,IF(B30&lt;=35,$BH$4,IF(B31&lt;=45,$BH$5,IF(B31&lt;=50,$BH$6,IF(B31&lt;=55,$BH$7,IF(B31&lt;=60,$BH$8,IF(B31&lt;=65,$BH$9,IF(B31&lt;=70,$BH$10,$BH$11)))))))*'Retirement Dashboard'!$C$12,0)</f>
        <v>0</v>
      </c>
      <c r="U30" s="279">
        <f t="shared" ca="1" si="5"/>
        <v>0</v>
      </c>
      <c r="V30" s="279">
        <f t="shared" ca="1" si="6"/>
        <v>0</v>
      </c>
      <c r="W30" s="279">
        <f t="shared" ca="1" si="19"/>
        <v>158381.89117408069</v>
      </c>
      <c r="X30" s="279">
        <f t="shared" ca="1" si="7"/>
        <v>1200</v>
      </c>
      <c r="Y30" s="279">
        <f t="shared" ca="1" si="8"/>
        <v>3459.5472793520175</v>
      </c>
      <c r="Z30" s="279">
        <f t="shared" ca="1" si="20"/>
        <v>163041.43845343273</v>
      </c>
      <c r="AA30" s="270"/>
      <c r="AB30" s="270"/>
      <c r="AC30" s="270"/>
      <c r="AD30" s="270"/>
      <c r="AE30" s="270"/>
      <c r="AF30" s="270"/>
      <c r="AG30" s="270"/>
      <c r="AH30" s="270"/>
      <c r="AI30" s="270"/>
      <c r="AJ30" s="270"/>
      <c r="AK30" s="313" t="s">
        <v>280</v>
      </c>
      <c r="AL30" s="314"/>
      <c r="AM30" s="315" t="s">
        <v>281</v>
      </c>
      <c r="AN30" s="253" t="s">
        <v>282</v>
      </c>
      <c r="AR30" s="275">
        <f t="shared" ca="1" si="29"/>
        <v>52</v>
      </c>
      <c r="AS30" s="276">
        <f t="shared" si="29"/>
        <v>2050</v>
      </c>
      <c r="AT30" s="269">
        <f t="shared" si="24"/>
        <v>251644.7005724773</v>
      </c>
      <c r="AU30" s="269">
        <f t="shared" si="31"/>
        <v>503435.32442739716</v>
      </c>
      <c r="AV30" s="269">
        <f t="shared" si="31"/>
        <v>1006870.6488547943</v>
      </c>
      <c r="AW30" s="269">
        <f t="shared" si="32"/>
        <v>1580</v>
      </c>
      <c r="AX30" s="269">
        <f t="shared" si="33"/>
        <v>3040</v>
      </c>
      <c r="AY30" s="269">
        <f t="shared" si="26"/>
        <v>7507.6266728415358</v>
      </c>
      <c r="AZ30" s="281"/>
      <c r="BA30" s="267">
        <v>55</v>
      </c>
      <c r="BB30" s="269">
        <f t="shared" si="30"/>
        <v>415.07331659957691</v>
      </c>
      <c r="BC30" s="269">
        <f t="shared" si="30"/>
        <v>337.96483485973454</v>
      </c>
      <c r="BD30" s="269">
        <f t="shared" si="23"/>
        <v>1086.0811683356517</v>
      </c>
      <c r="BE30" s="270"/>
      <c r="BF30" s="270"/>
      <c r="BG30" s="247" t="s">
        <v>283</v>
      </c>
      <c r="BH30" s="308">
        <f ca="1">ROUND(1+(TODAY()-BH29)/365,0)</f>
        <v>52</v>
      </c>
      <c r="BI30" s="248"/>
      <c r="BJ30" s="248"/>
    </row>
    <row r="31" spans="1:63" ht="53" customHeight="1" x14ac:dyDescent="0.35">
      <c r="B31" s="275">
        <f t="shared" ca="1" si="15"/>
        <v>78</v>
      </c>
      <c r="C31" s="279">
        <f t="shared" ca="1" si="11"/>
        <v>0</v>
      </c>
      <c r="D31" s="279">
        <f t="shared" ca="1" si="0"/>
        <v>1530</v>
      </c>
      <c r="E31" s="279">
        <f t="shared" ca="1" si="1"/>
        <v>900</v>
      </c>
      <c r="F31" s="279">
        <f ca="1">IF(AND('Retirement Dashboard'!$C$42="Yes", B31&lt;= 'Retirement Dashboard'!$E$42), 600, 0)</f>
        <v>0</v>
      </c>
      <c r="G31" s="279">
        <f ca="1">IF(B31&lt;'Retirement Dashboard'!$E$6,IF(B31&lt;=35,$BJ$4,IF(B31&lt;=45,$BJ$5,IF(B31&lt;=50,$BJ$6,IF(B31&lt;=55,$BJ$7,IF(B31&lt;=60,$BJ$8,IF(B31&lt;=65,$BJ$9,IF(B31&lt;=70,$BJ$10,$BJ$11)))))))*'Retirement Dashboard'!$C$12,0)</f>
        <v>0</v>
      </c>
      <c r="H31" s="279">
        <f t="shared" ca="1" si="16"/>
        <v>73070</v>
      </c>
      <c r="I31" s="279">
        <f t="shared" ca="1" si="2"/>
        <v>2922.8</v>
      </c>
      <c r="J31" s="279">
        <f t="shared" ca="1" si="3"/>
        <v>492.80000000000291</v>
      </c>
      <c r="K31" s="279">
        <f t="shared" ca="1" si="17"/>
        <v>75500</v>
      </c>
      <c r="L31" s="278"/>
      <c r="M31" s="280">
        <f t="shared" ca="1" si="12"/>
        <v>492.80000000000291</v>
      </c>
      <c r="N31" s="279">
        <f ca="1">IF(B31&lt;$BH$31,IF(B32&lt;=35,$BI$4,IF(B32&lt;=45,$BI$5,IF(B32&lt;=50,$BI$6,IF(B32&lt;=55,$BI$7,IF(B32&lt;=60,$BI$8,IF(B32&lt;=65,$BI$9,IF(B32&lt;=70,$BI$10,$BI$11)))))))*'Retirement Dashboard'!$C$12,0)</f>
        <v>0</v>
      </c>
      <c r="O31" s="279">
        <f t="shared" ca="1" si="18"/>
        <v>540098.68949996366</v>
      </c>
      <c r="P31" s="279">
        <f t="shared" ca="1" si="13"/>
        <v>2400</v>
      </c>
      <c r="Q31" s="279">
        <f t="shared" ca="1" si="4"/>
        <v>25004.934474998183</v>
      </c>
      <c r="R31" s="279">
        <f t="shared" ca="1" si="14"/>
        <v>567503.62397496181</v>
      </c>
      <c r="T31" s="279">
        <f ca="1">IF(B31&lt;$BH$31,IF(B31&lt;=35,$BH$4,IF(B32&lt;=45,$BH$5,IF(B32&lt;=50,$BH$6,IF(B32&lt;=55,$BH$7,IF(B32&lt;=60,$BH$8,IF(B32&lt;=65,$BH$9,IF(B32&lt;=70,$BH$10,$BH$11)))))))*'Retirement Dashboard'!$C$12,0)</f>
        <v>0</v>
      </c>
      <c r="U31" s="279">
        <f t="shared" ca="1" si="5"/>
        <v>0</v>
      </c>
      <c r="V31" s="279">
        <f t="shared" ca="1" si="6"/>
        <v>0</v>
      </c>
      <c r="W31" s="279">
        <f t="shared" ca="1" si="19"/>
        <v>163041.43845343273</v>
      </c>
      <c r="X31" s="279">
        <f t="shared" ca="1" si="7"/>
        <v>1200</v>
      </c>
      <c r="Y31" s="279">
        <f t="shared" ca="1" si="8"/>
        <v>3576.0359613358182</v>
      </c>
      <c r="Z31" s="279">
        <f t="shared" ca="1" si="20"/>
        <v>167817.47441476854</v>
      </c>
      <c r="AA31" s="270"/>
      <c r="AB31" s="270"/>
      <c r="AC31" s="270"/>
      <c r="AD31" s="270"/>
      <c r="AE31" s="270"/>
      <c r="AF31" s="270"/>
      <c r="AG31" s="270"/>
      <c r="AH31" s="270"/>
      <c r="AI31" s="270"/>
      <c r="AJ31" s="270"/>
      <c r="AK31" s="261" t="s">
        <v>284</v>
      </c>
      <c r="AL31" s="277">
        <v>8000</v>
      </c>
      <c r="AM31" s="261" t="s">
        <v>285</v>
      </c>
      <c r="AN31" s="277">
        <v>18</v>
      </c>
      <c r="AR31" s="275">
        <f t="shared" ca="1" si="29"/>
        <v>53</v>
      </c>
      <c r="AS31" s="276">
        <f t="shared" si="29"/>
        <v>2051</v>
      </c>
      <c r="AT31" s="269">
        <f t="shared" si="24"/>
        <v>260452.26509251399</v>
      </c>
      <c r="AU31" s="269">
        <f t="shared" si="31"/>
        <v>521055.56078235601</v>
      </c>
      <c r="AV31" s="269">
        <f t="shared" si="31"/>
        <v>1042111.121564712</v>
      </c>
      <c r="AW31" s="269">
        <f t="shared" si="32"/>
        <v>1610</v>
      </c>
      <c r="AX31" s="269">
        <f t="shared" si="33"/>
        <v>3100</v>
      </c>
      <c r="AY31" s="269">
        <f t="shared" si="26"/>
        <v>7756.1291157125916</v>
      </c>
      <c r="AZ31" s="281"/>
      <c r="BA31" s="267">
        <v>56</v>
      </c>
      <c r="BB31" s="269">
        <f t="shared" si="30"/>
        <v>423.37478293156846</v>
      </c>
      <c r="BC31" s="269">
        <f t="shared" si="30"/>
        <v>344.72413155692925</v>
      </c>
      <c r="BD31" s="269">
        <f t="shared" si="23"/>
        <v>1107.8027917023646</v>
      </c>
      <c r="BE31" s="270"/>
      <c r="BF31" s="270"/>
      <c r="BG31" s="247" t="s">
        <v>286</v>
      </c>
      <c r="BH31" s="308">
        <f>'[10]Retirement Dashboard'!D38</f>
        <v>65</v>
      </c>
      <c r="BI31" s="248"/>
      <c r="BJ31" s="248"/>
    </row>
    <row r="32" spans="1:63" ht="53" customHeight="1" x14ac:dyDescent="0.35">
      <c r="B32" s="275">
        <f t="shared" ca="1" si="15"/>
        <v>79</v>
      </c>
      <c r="C32" s="279">
        <f t="shared" ca="1" si="11"/>
        <v>0</v>
      </c>
      <c r="D32" s="279">
        <f t="shared" ca="1" si="0"/>
        <v>1590</v>
      </c>
      <c r="E32" s="279">
        <f t="shared" ca="1" si="1"/>
        <v>900</v>
      </c>
      <c r="F32" s="279">
        <f ca="1">IF(AND('Retirement Dashboard'!$C$42="Yes", B32&lt;= 'Retirement Dashboard'!$E$42), 600, 0)</f>
        <v>0</v>
      </c>
      <c r="G32" s="279">
        <f ca="1">IF(B32&lt;'Retirement Dashboard'!$E$6,IF(B32&lt;=35,$BJ$4,IF(B32&lt;=45,$BJ$5,IF(B32&lt;=50,$BJ$6,IF(B32&lt;=55,$BJ$7,IF(B32&lt;=60,$BJ$8,IF(B32&lt;=65,$BJ$9,IF(B32&lt;=70,$BJ$10,$BJ$11)))))))*'Retirement Dashboard'!$C$12,0)</f>
        <v>0</v>
      </c>
      <c r="H32" s="279">
        <f t="shared" ca="1" si="16"/>
        <v>73010</v>
      </c>
      <c r="I32" s="279">
        <f t="shared" ca="1" si="2"/>
        <v>2920.4</v>
      </c>
      <c r="J32" s="279">
        <f t="shared" ca="1" si="3"/>
        <v>430.39999999999418</v>
      </c>
      <c r="K32" s="279">
        <f t="shared" ca="1" si="17"/>
        <v>75500</v>
      </c>
      <c r="L32" s="278"/>
      <c r="M32" s="280">
        <f t="shared" ca="1" si="12"/>
        <v>430.39999999999418</v>
      </c>
      <c r="N32" s="279">
        <f ca="1">IF(B32&lt;$BH$31,IF(B33&lt;=35,$BI$4,IF(B33&lt;=45,$BI$5,IF(B33&lt;=50,$BI$6,IF(B33&lt;=55,$BI$7,IF(B33&lt;=60,$BI$8,IF(B33&lt;=65,$BI$9,IF(B33&lt;=70,$BI$10,$BI$11)))))))*'Retirement Dashboard'!$C$12,0)</f>
        <v>0</v>
      </c>
      <c r="O32" s="279">
        <f t="shared" ca="1" si="18"/>
        <v>567934.02397496183</v>
      </c>
      <c r="P32" s="279">
        <f t="shared" ca="1" si="13"/>
        <v>2400</v>
      </c>
      <c r="Q32" s="279">
        <f t="shared" ca="1" si="4"/>
        <v>26396.701198748095</v>
      </c>
      <c r="R32" s="279">
        <f t="shared" ca="1" si="14"/>
        <v>596730.72517370991</v>
      </c>
      <c r="T32" s="279">
        <f ca="1">IF(B32&lt;$BH$31,IF(B32&lt;=35,$BH$4,IF(B33&lt;=45,$BH$5,IF(B33&lt;=50,$BH$6,IF(B33&lt;=55,$BH$7,IF(B33&lt;=60,$BH$8,IF(B33&lt;=65,$BH$9,IF(B33&lt;=70,$BH$10,$BH$11)))))))*'Retirement Dashboard'!$C$12,0)</f>
        <v>0</v>
      </c>
      <c r="U32" s="279">
        <f t="shared" ca="1" si="5"/>
        <v>0</v>
      </c>
      <c r="V32" s="279">
        <f t="shared" ca="1" si="6"/>
        <v>0</v>
      </c>
      <c r="W32" s="279">
        <f t="shared" ca="1" si="19"/>
        <v>167817.47441476854</v>
      </c>
      <c r="X32" s="279">
        <f t="shared" ca="1" si="7"/>
        <v>1200</v>
      </c>
      <c r="Y32" s="279">
        <f t="shared" ca="1" si="8"/>
        <v>3695.4368603692137</v>
      </c>
      <c r="Z32" s="279">
        <f t="shared" ca="1" si="20"/>
        <v>172712.91127513777</v>
      </c>
      <c r="AA32" s="270"/>
      <c r="AB32" s="270"/>
      <c r="AC32" s="270"/>
      <c r="AD32" s="270"/>
      <c r="AE32" s="270"/>
      <c r="AF32" s="270"/>
      <c r="AG32" s="270"/>
      <c r="AH32" s="270"/>
      <c r="AI32" s="270"/>
      <c r="AJ32" s="270"/>
      <c r="AK32" s="261" t="s">
        <v>287</v>
      </c>
      <c r="AL32" s="277">
        <f>102000</f>
        <v>102000</v>
      </c>
      <c r="AM32" s="261" t="s">
        <v>288</v>
      </c>
      <c r="AN32" s="277">
        <v>30</v>
      </c>
      <c r="AR32" s="275">
        <f t="shared" ca="1" si="29"/>
        <v>54</v>
      </c>
      <c r="AS32" s="276">
        <f t="shared" si="29"/>
        <v>2052</v>
      </c>
      <c r="AT32" s="269">
        <f t="shared" si="24"/>
        <v>269568.09437075193</v>
      </c>
      <c r="AU32" s="269">
        <f t="shared" si="31"/>
        <v>539292.5054097384</v>
      </c>
      <c r="AV32" s="269">
        <f t="shared" si="31"/>
        <v>1078585.0108194768</v>
      </c>
      <c r="AW32" s="269">
        <f t="shared" si="32"/>
        <v>1640</v>
      </c>
      <c r="AX32" s="269">
        <f t="shared" si="33"/>
        <v>3160</v>
      </c>
      <c r="AY32" s="269">
        <f t="shared" si="26"/>
        <v>8012.8569894426792</v>
      </c>
      <c r="AZ32" s="281"/>
      <c r="BA32" s="267">
        <v>57</v>
      </c>
      <c r="BB32" s="269">
        <f t="shared" si="30"/>
        <v>431.84227859019984</v>
      </c>
      <c r="BC32" s="269">
        <f t="shared" si="30"/>
        <v>351.61861418806785</v>
      </c>
      <c r="BD32" s="269">
        <f t="shared" si="23"/>
        <v>1129.9588475364119</v>
      </c>
      <c r="BE32" s="270"/>
      <c r="BF32" s="270"/>
      <c r="BG32" s="247" t="s">
        <v>289</v>
      </c>
      <c r="BH32" s="316">
        <v>25</v>
      </c>
      <c r="BI32" s="248"/>
      <c r="BJ32" s="248"/>
    </row>
    <row r="33" spans="2:62" ht="53" customHeight="1" x14ac:dyDescent="0.35">
      <c r="B33" s="275">
        <f t="shared" ca="1" si="15"/>
        <v>80</v>
      </c>
      <c r="C33" s="279">
        <f t="shared" ca="1" si="11"/>
        <v>0</v>
      </c>
      <c r="D33" s="279">
        <f t="shared" ca="1" si="0"/>
        <v>1590</v>
      </c>
      <c r="E33" s="279">
        <f t="shared" ca="1" si="1"/>
        <v>900</v>
      </c>
      <c r="F33" s="279">
        <f ca="1">IF(AND('Retirement Dashboard'!$C$42="Yes", B33&lt;= 'Retirement Dashboard'!$E$42), 600, 0)</f>
        <v>0</v>
      </c>
      <c r="G33" s="279">
        <f ca="1">IF(B33&lt;'Retirement Dashboard'!$E$6,IF(B33&lt;=35,$BJ$4,IF(B33&lt;=45,$BJ$5,IF(B33&lt;=50,$BJ$6,IF(B33&lt;=55,$BJ$7,IF(B33&lt;=60,$BJ$8,IF(B33&lt;=65,$BJ$9,IF(B33&lt;=70,$BJ$10,$BJ$11)))))))*'Retirement Dashboard'!$C$12,0)</f>
        <v>0</v>
      </c>
      <c r="H33" s="279">
        <f t="shared" ca="1" si="16"/>
        <v>73010</v>
      </c>
      <c r="I33" s="279">
        <f t="shared" ca="1" si="2"/>
        <v>2920.4</v>
      </c>
      <c r="J33" s="279">
        <f t="shared" ca="1" si="3"/>
        <v>430.39999999999418</v>
      </c>
      <c r="K33" s="279">
        <f t="shared" ca="1" si="17"/>
        <v>75500</v>
      </c>
      <c r="L33" s="278"/>
      <c r="M33" s="280">
        <f t="shared" ca="1" si="12"/>
        <v>430.39999999999418</v>
      </c>
      <c r="N33" s="279">
        <f ca="1">IF(B33&lt;$BH$31,IF(B34&lt;=35,$BI$4,IF(B34&lt;=45,$BI$5,IF(B34&lt;=50,$BI$6,IF(B34&lt;=55,$BI$7,IF(B34&lt;=60,$BI$8,IF(B34&lt;=65,$BI$9,IF(B34&lt;=70,$BI$10,$BI$11)))))))*'Retirement Dashboard'!$C$12,0)</f>
        <v>0</v>
      </c>
      <c r="O33" s="279">
        <f t="shared" ca="1" si="18"/>
        <v>597161.12517370994</v>
      </c>
      <c r="P33" s="279">
        <f t="shared" ca="1" si="13"/>
        <v>2400</v>
      </c>
      <c r="Q33" s="279">
        <f t="shared" ca="1" si="4"/>
        <v>27858.056258685498</v>
      </c>
      <c r="R33" s="279">
        <f t="shared" ca="1" si="14"/>
        <v>627419.18143239547</v>
      </c>
      <c r="T33" s="279">
        <f ca="1">IF(B33&lt;$BH$31,IF(B33&lt;=35,$BH$4,IF(B34&lt;=45,$BH$5,IF(B34&lt;=50,$BH$6,IF(B34&lt;=55,$BH$7,IF(B34&lt;=60,$BH$8,IF(B34&lt;=65,$BH$9,IF(B34&lt;=70,$BH$10,$BH$11)))))))*'Retirement Dashboard'!$C$12,0)</f>
        <v>0</v>
      </c>
      <c r="U33" s="279">
        <f t="shared" ca="1" si="5"/>
        <v>0</v>
      </c>
      <c r="V33" s="279">
        <f t="shared" ca="1" si="6"/>
        <v>0</v>
      </c>
      <c r="W33" s="279">
        <f t="shared" ca="1" si="19"/>
        <v>172712.91127513777</v>
      </c>
      <c r="X33" s="279">
        <f t="shared" ca="1" si="7"/>
        <v>1200</v>
      </c>
      <c r="Y33" s="279">
        <f t="shared" ca="1" si="8"/>
        <v>3817.8227818784444</v>
      </c>
      <c r="Z33" s="279">
        <f t="shared" ca="1" si="20"/>
        <v>177730.73405701621</v>
      </c>
      <c r="AA33" s="270"/>
      <c r="AB33" s="270"/>
      <c r="AC33" s="270"/>
      <c r="AD33" s="270"/>
      <c r="AE33" s="270"/>
      <c r="AF33" s="270"/>
      <c r="AG33" s="270"/>
      <c r="AH33" s="270"/>
      <c r="AI33" s="270"/>
      <c r="AJ33" s="270"/>
      <c r="AK33" s="261" t="s">
        <v>290</v>
      </c>
      <c r="AL33" s="277">
        <f>(AL31*12)+AL32</f>
        <v>198000</v>
      </c>
      <c r="AM33" s="261" t="s">
        <v>291</v>
      </c>
      <c r="AN33" s="277">
        <v>50</v>
      </c>
      <c r="AR33" s="275">
        <f t="shared" ca="1" si="29"/>
        <v>55</v>
      </c>
      <c r="AS33" s="276">
        <f t="shared" si="29"/>
        <v>2053</v>
      </c>
      <c r="AT33" s="269">
        <f t="shared" si="24"/>
        <v>279002.97767372825</v>
      </c>
      <c r="AU33" s="269">
        <f t="shared" si="31"/>
        <v>558167.74309907923</v>
      </c>
      <c r="AV33" s="269">
        <f t="shared" si="31"/>
        <v>1116335.4861981585</v>
      </c>
      <c r="AW33" s="269">
        <f t="shared" si="32"/>
        <v>1670</v>
      </c>
      <c r="AX33" s="269">
        <f t="shared" si="33"/>
        <v>3220</v>
      </c>
      <c r="AY33" s="269">
        <f t="shared" si="26"/>
        <v>8278.082555793233</v>
      </c>
      <c r="AZ33" s="281"/>
      <c r="BA33" s="267">
        <v>58</v>
      </c>
      <c r="BB33" s="269">
        <f t="shared" si="30"/>
        <v>440.47912416200387</v>
      </c>
      <c r="BC33" s="269">
        <f t="shared" si="30"/>
        <v>358.65098647182924</v>
      </c>
      <c r="BD33" s="269">
        <f t="shared" si="23"/>
        <v>1152.5580244871401</v>
      </c>
      <c r="BE33" s="270"/>
      <c r="BF33" s="270"/>
      <c r="BG33" s="247" t="s">
        <v>292</v>
      </c>
      <c r="BH33" s="316">
        <f>BH31+BH32</f>
        <v>90</v>
      </c>
      <c r="BI33" s="248"/>
      <c r="BJ33" s="248"/>
    </row>
    <row r="34" spans="2:62" ht="53" customHeight="1" x14ac:dyDescent="0.35">
      <c r="B34" s="275">
        <f t="shared" ca="1" si="15"/>
        <v>81</v>
      </c>
      <c r="C34" s="279">
        <f t="shared" ca="1" si="11"/>
        <v>0</v>
      </c>
      <c r="D34" s="279">
        <f t="shared" ca="1" si="0"/>
        <v>1675</v>
      </c>
      <c r="E34" s="279">
        <f t="shared" ca="1" si="1"/>
        <v>900</v>
      </c>
      <c r="F34" s="279">
        <f ca="1">IF(AND('Retirement Dashboard'!$C$42="Yes", B34&lt;= 'Retirement Dashboard'!$E$42), 600, 0)</f>
        <v>0</v>
      </c>
      <c r="G34" s="279">
        <f ca="1">IF(B34&lt;'Retirement Dashboard'!$E$6,IF(B34&lt;=35,$BJ$4,IF(B34&lt;=45,$BJ$5,IF(B34&lt;=50,$BJ$6,IF(B34&lt;=55,$BJ$7,IF(B34&lt;=60,$BJ$8,IF(B34&lt;=65,$BJ$9,IF(B34&lt;=70,$BJ$10,$BJ$11)))))))*'Retirement Dashboard'!$C$12,0)</f>
        <v>0</v>
      </c>
      <c r="H34" s="279">
        <f t="shared" ca="1" si="16"/>
        <v>72925</v>
      </c>
      <c r="I34" s="279">
        <f t="shared" ca="1" si="2"/>
        <v>2917</v>
      </c>
      <c r="J34" s="279">
        <f t="shared" ca="1" si="3"/>
        <v>342</v>
      </c>
      <c r="K34" s="279">
        <f t="shared" ca="1" si="17"/>
        <v>75500</v>
      </c>
      <c r="L34" s="278"/>
      <c r="M34" s="280">
        <f t="shared" ca="1" si="12"/>
        <v>342</v>
      </c>
      <c r="N34" s="279">
        <f ca="1">IF(B34&lt;$BH$31,IF(B35&lt;=35,$BI$4,IF(B35&lt;=45,$BI$5,IF(B35&lt;=50,$BI$6,IF(B35&lt;=55,$BI$7,IF(B35&lt;=60,$BI$8,IF(B35&lt;=65,$BI$9,IF(B35&lt;=70,$BI$10,$BI$11)))))))*'Retirement Dashboard'!$C$12,0)</f>
        <v>0</v>
      </c>
      <c r="O34" s="279">
        <f t="shared" ca="1" si="18"/>
        <v>627761.18143239547</v>
      </c>
      <c r="P34" s="279">
        <f t="shared" ca="1" si="13"/>
        <v>2400</v>
      </c>
      <c r="Q34" s="279">
        <f t="shared" ca="1" si="4"/>
        <v>29388.059071619777</v>
      </c>
      <c r="R34" s="279">
        <f t="shared" ca="1" si="14"/>
        <v>659549.24050401524</v>
      </c>
      <c r="T34" s="279">
        <f ca="1">IF(B34&lt;$BH$31,IF(B34&lt;=35,$BH$4,IF(B35&lt;=45,$BH$5,IF(B35&lt;=50,$BH$6,IF(B35&lt;=55,$BH$7,IF(B35&lt;=60,$BH$8,IF(B35&lt;=65,$BH$9,IF(B35&lt;=70,$BH$10,$BH$11)))))))*'Retirement Dashboard'!$C$12,0)</f>
        <v>0</v>
      </c>
      <c r="U34" s="279">
        <f t="shared" ca="1" si="5"/>
        <v>0</v>
      </c>
      <c r="V34" s="279">
        <f t="shared" ca="1" si="6"/>
        <v>0</v>
      </c>
      <c r="W34" s="279">
        <f t="shared" ca="1" si="19"/>
        <v>177730.73405701621</v>
      </c>
      <c r="X34" s="279">
        <f t="shared" ca="1" si="7"/>
        <v>1200</v>
      </c>
      <c r="Y34" s="279">
        <f t="shared" ca="1" si="8"/>
        <v>3943.2683514254054</v>
      </c>
      <c r="Z34" s="279">
        <f t="shared" ca="1" si="20"/>
        <v>182874.00240844162</v>
      </c>
      <c r="AA34" s="270"/>
      <c r="AB34" s="270"/>
      <c r="AC34" s="270"/>
      <c r="AD34" s="270"/>
      <c r="AE34" s="270"/>
      <c r="AF34" s="270"/>
      <c r="AG34" s="270"/>
      <c r="AH34" s="270"/>
      <c r="AI34" s="270"/>
      <c r="AJ34" s="270"/>
      <c r="AK34" s="261" t="s">
        <v>293</v>
      </c>
      <c r="AL34" s="277">
        <v>37740</v>
      </c>
      <c r="AM34" s="261" t="s">
        <v>294</v>
      </c>
      <c r="AN34" s="277">
        <v>93</v>
      </c>
      <c r="AR34" s="275">
        <f t="shared" ca="1" si="29"/>
        <v>56</v>
      </c>
      <c r="AS34" s="276">
        <f t="shared" si="29"/>
        <v>2054</v>
      </c>
      <c r="AT34" s="269">
        <f t="shared" si="24"/>
        <v>288768.08189230872</v>
      </c>
      <c r="AU34" s="269">
        <f t="shared" si="31"/>
        <v>577703.61410754698</v>
      </c>
      <c r="AV34" s="269">
        <f t="shared" si="31"/>
        <v>1155407.228215094</v>
      </c>
      <c r="AW34" s="269">
        <f t="shared" si="32"/>
        <v>1700</v>
      </c>
      <c r="AX34" s="269">
        <f t="shared" si="33"/>
        <v>3280</v>
      </c>
      <c r="AY34" s="269">
        <f t="shared" si="26"/>
        <v>8552.0870883899897</v>
      </c>
      <c r="AZ34" s="281"/>
      <c r="BA34" s="267">
        <v>59</v>
      </c>
      <c r="BB34" s="269">
        <f t="shared" si="30"/>
        <v>449.28870664524396</v>
      </c>
      <c r="BC34" s="269">
        <f t="shared" si="30"/>
        <v>365.82400620126583</v>
      </c>
      <c r="BD34" s="269">
        <f t="shared" si="23"/>
        <v>1175.6091849768829</v>
      </c>
      <c r="BE34" s="270"/>
      <c r="BF34" s="270"/>
      <c r="BG34" s="247" t="s">
        <v>295</v>
      </c>
      <c r="BH34" s="308">
        <v>4000</v>
      </c>
      <c r="BI34" s="248"/>
      <c r="BJ34" s="248"/>
    </row>
    <row r="35" spans="2:62" ht="53" customHeight="1" x14ac:dyDescent="0.35">
      <c r="B35" s="275">
        <f t="shared" ca="1" si="15"/>
        <v>82</v>
      </c>
      <c r="C35" s="279">
        <f t="shared" ca="1" si="11"/>
        <v>0</v>
      </c>
      <c r="D35" s="279">
        <f t="shared" ca="1" si="0"/>
        <v>1675</v>
      </c>
      <c r="E35" s="279">
        <f t="shared" ca="1" si="1"/>
        <v>900</v>
      </c>
      <c r="F35" s="279">
        <f ca="1">IF(AND('Retirement Dashboard'!$C$42="Yes", B35&lt;= 'Retirement Dashboard'!$E$42), 600, 0)</f>
        <v>0</v>
      </c>
      <c r="G35" s="279">
        <f ca="1">IF(B35&lt;'Retirement Dashboard'!$E$6,IF(B35&lt;=35,$BJ$4,IF(B35&lt;=45,$BJ$5,IF(B35&lt;=50,$BJ$6,IF(B35&lt;=55,$BJ$7,IF(B35&lt;=60,$BJ$8,IF(B35&lt;=65,$BJ$9,IF(B35&lt;=70,$BJ$10,$BJ$11)))))))*'Retirement Dashboard'!$C$12,0)</f>
        <v>0</v>
      </c>
      <c r="H35" s="279">
        <f t="shared" ca="1" si="16"/>
        <v>72925</v>
      </c>
      <c r="I35" s="279">
        <f t="shared" ca="1" si="2"/>
        <v>2917</v>
      </c>
      <c r="J35" s="279">
        <f t="shared" ca="1" si="3"/>
        <v>342</v>
      </c>
      <c r="K35" s="279">
        <f t="shared" ca="1" si="17"/>
        <v>75500</v>
      </c>
      <c r="L35" s="278"/>
      <c r="M35" s="280">
        <f t="shared" ca="1" si="12"/>
        <v>342</v>
      </c>
      <c r="N35" s="279">
        <f ca="1">IF(B35&lt;$BH$31,IF(B36&lt;=35,$BI$4,IF(B36&lt;=45,$BI$5,IF(B36&lt;=50,$BI$6,IF(B36&lt;=55,$BI$7,IF(B36&lt;=60,$BI$8,IF(B36&lt;=65,$BI$9,IF(B36&lt;=70,$BI$10,$BI$11)))))))*'Retirement Dashboard'!$C$12,0)</f>
        <v>0</v>
      </c>
      <c r="O35" s="279">
        <f t="shared" ca="1" si="18"/>
        <v>659891.24050401524</v>
      </c>
      <c r="P35" s="279">
        <f t="shared" ca="1" si="13"/>
        <v>2400</v>
      </c>
      <c r="Q35" s="279">
        <f t="shared" ca="1" si="4"/>
        <v>30994.562025200765</v>
      </c>
      <c r="R35" s="279">
        <f t="shared" ca="1" si="14"/>
        <v>693285.80252921605</v>
      </c>
      <c r="T35" s="279">
        <f ca="1">IF(B35&lt;$BH$31,IF(B35&lt;=35,$BH$4,IF(B36&lt;=45,$BH$5,IF(B36&lt;=50,$BH$6,IF(B36&lt;=55,$BH$7,IF(B36&lt;=60,$BH$8,IF(B36&lt;=65,$BH$9,IF(B36&lt;=70,$BH$10,$BH$11)))))))*'Retirement Dashboard'!$C$12,0)</f>
        <v>0</v>
      </c>
      <c r="U35" s="279">
        <f t="shared" ca="1" si="5"/>
        <v>0</v>
      </c>
      <c r="V35" s="279">
        <f t="shared" ca="1" si="6"/>
        <v>0</v>
      </c>
      <c r="W35" s="279">
        <f t="shared" ca="1" si="19"/>
        <v>182874.00240844162</v>
      </c>
      <c r="X35" s="279">
        <f t="shared" ca="1" si="7"/>
        <v>1200</v>
      </c>
      <c r="Y35" s="279">
        <f t="shared" ca="1" si="8"/>
        <v>4071.8500602110407</v>
      </c>
      <c r="Z35" s="279">
        <f t="shared" ca="1" si="20"/>
        <v>188145.85246865265</v>
      </c>
      <c r="AA35" s="270"/>
      <c r="AB35" s="270"/>
      <c r="AC35" s="270"/>
      <c r="AD35" s="270"/>
      <c r="AE35" s="270"/>
      <c r="AF35" s="270"/>
      <c r="AG35" s="270"/>
      <c r="AH35" s="270"/>
      <c r="AI35" s="270"/>
      <c r="AJ35" s="270"/>
      <c r="AK35" s="261" t="s">
        <v>296</v>
      </c>
      <c r="AL35" s="277">
        <v>75500</v>
      </c>
      <c r="AM35" s="261" t="s">
        <v>297</v>
      </c>
      <c r="AN35" s="277">
        <v>188</v>
      </c>
      <c r="AR35" s="275">
        <f t="shared" ca="1" si="29"/>
        <v>57</v>
      </c>
      <c r="AS35" s="276">
        <f t="shared" si="29"/>
        <v>2055</v>
      </c>
      <c r="AT35" s="269">
        <f t="shared" si="24"/>
        <v>298874.96475853951</v>
      </c>
      <c r="AU35" s="269">
        <f t="shared" si="31"/>
        <v>597923.24060131109</v>
      </c>
      <c r="AV35" s="269">
        <f t="shared" si="31"/>
        <v>1195846.4812026222</v>
      </c>
      <c r="AW35" s="269">
        <f t="shared" si="32"/>
        <v>1730</v>
      </c>
      <c r="AX35" s="269">
        <f t="shared" si="33"/>
        <v>3340</v>
      </c>
      <c r="AY35" s="269">
        <f t="shared" si="26"/>
        <v>8835.1611710156994</v>
      </c>
      <c r="AZ35" s="281"/>
      <c r="BA35" s="267">
        <v>60</v>
      </c>
      <c r="BB35" s="269">
        <f t="shared" si="30"/>
        <v>458.27448077814887</v>
      </c>
      <c r="BC35" s="269">
        <f t="shared" si="30"/>
        <v>373.14048632529114</v>
      </c>
      <c r="BD35" s="269">
        <f t="shared" si="23"/>
        <v>1199.1213686764206</v>
      </c>
      <c r="BE35" s="270"/>
      <c r="BF35" s="270"/>
      <c r="BG35" s="247" t="s">
        <v>298</v>
      </c>
      <c r="BH35" s="316">
        <f>'[10]Retirement Dashboard'!D9</f>
        <v>4300</v>
      </c>
      <c r="BI35" s="248"/>
      <c r="BJ35" s="248"/>
    </row>
    <row r="36" spans="2:62" ht="53" customHeight="1" x14ac:dyDescent="0.35">
      <c r="B36" s="275">
        <f t="shared" ca="1" si="15"/>
        <v>83</v>
      </c>
      <c r="C36" s="279">
        <f t="shared" ca="1" si="11"/>
        <v>0</v>
      </c>
      <c r="D36" s="279">
        <f t="shared" ca="1" si="0"/>
        <v>1675</v>
      </c>
      <c r="E36" s="279">
        <f t="shared" ca="1" si="1"/>
        <v>900</v>
      </c>
      <c r="F36" s="279">
        <f ca="1">IF(AND('Retirement Dashboard'!$C$42="Yes", B36&lt;= 'Retirement Dashboard'!$E$42), 600, 0)</f>
        <v>0</v>
      </c>
      <c r="G36" s="279">
        <f ca="1">IF(B36&lt;'Retirement Dashboard'!$E$6,IF(B36&lt;=35,$BJ$4,IF(B36&lt;=45,$BJ$5,IF(B36&lt;=50,$BJ$6,IF(B36&lt;=55,$BJ$7,IF(B36&lt;=60,$BJ$8,IF(B36&lt;=65,$BJ$9,IF(B36&lt;=70,$BJ$10,$BJ$11)))))))*'Retirement Dashboard'!$C$12,0)</f>
        <v>0</v>
      </c>
      <c r="H36" s="279">
        <f t="shared" ca="1" si="16"/>
        <v>72925</v>
      </c>
      <c r="I36" s="279">
        <f t="shared" ca="1" si="2"/>
        <v>2917</v>
      </c>
      <c r="J36" s="279">
        <f t="shared" ca="1" si="3"/>
        <v>342</v>
      </c>
      <c r="K36" s="279">
        <f t="shared" ca="1" si="17"/>
        <v>75500</v>
      </c>
      <c r="L36" s="278"/>
      <c r="M36" s="280">
        <f t="shared" ca="1" si="12"/>
        <v>342</v>
      </c>
      <c r="N36" s="279">
        <f ca="1">IF(B36&lt;$BH$31,IF(B37&lt;=35,$BI$4,IF(B37&lt;=45,$BI$5,IF(B37&lt;=50,$BI$6,IF(B37&lt;=55,$BI$7,IF(B37&lt;=60,$BI$8,IF(B37&lt;=65,$BI$9,IF(B37&lt;=70,$BI$10,$BI$11)))))))*'Retirement Dashboard'!$C$12,0)</f>
        <v>0</v>
      </c>
      <c r="O36" s="279">
        <f t="shared" ca="1" si="18"/>
        <v>693627.80252921605</v>
      </c>
      <c r="P36" s="279">
        <f t="shared" ca="1" si="13"/>
        <v>2400</v>
      </c>
      <c r="Q36" s="279">
        <f t="shared" ca="1" si="4"/>
        <v>32681.390126460803</v>
      </c>
      <c r="R36" s="279">
        <f t="shared" ca="1" si="14"/>
        <v>728709.19265567686</v>
      </c>
      <c r="T36" s="279">
        <f ca="1">IF(B36&lt;$BH$31,IF(B36&lt;=35,$BH$4,IF(B37&lt;=45,$BH$5,IF(B37&lt;=50,$BH$6,IF(B37&lt;=55,$BH$7,IF(B37&lt;=60,$BH$8,IF(B37&lt;=65,$BH$9,IF(B37&lt;=70,$BH$10,$BH$11)))))))*'Retirement Dashboard'!$C$12,0)</f>
        <v>0</v>
      </c>
      <c r="U36" s="279">
        <f t="shared" ca="1" si="5"/>
        <v>0</v>
      </c>
      <c r="V36" s="279">
        <f t="shared" ca="1" si="6"/>
        <v>0</v>
      </c>
      <c r="W36" s="279">
        <f t="shared" ca="1" si="19"/>
        <v>188145.85246865265</v>
      </c>
      <c r="X36" s="279">
        <f t="shared" ca="1" si="7"/>
        <v>1200</v>
      </c>
      <c r="Y36" s="279">
        <f t="shared" ca="1" si="8"/>
        <v>4203.6463117163166</v>
      </c>
      <c r="Z36" s="279">
        <f t="shared" ca="1" si="20"/>
        <v>193549.49878036897</v>
      </c>
      <c r="AA36" s="270"/>
      <c r="AB36" s="270"/>
      <c r="AC36" s="270"/>
      <c r="AD36" s="270"/>
      <c r="AE36" s="270"/>
      <c r="AF36" s="270"/>
      <c r="AG36" s="270"/>
      <c r="AH36" s="270"/>
      <c r="AI36" s="270"/>
      <c r="AJ36" s="270"/>
      <c r="AM36" s="261" t="s">
        <v>299</v>
      </c>
      <c r="AN36" s="277">
        <v>298</v>
      </c>
      <c r="AR36" s="275">
        <f t="shared" ca="1" si="29"/>
        <v>58</v>
      </c>
      <c r="AS36" s="276">
        <f t="shared" si="29"/>
        <v>2056</v>
      </c>
      <c r="AT36" s="269">
        <f t="shared" si="24"/>
        <v>309335.58852508839</v>
      </c>
      <c r="AU36" s="269">
        <f t="shared" si="31"/>
        <v>618850.55402235698</v>
      </c>
      <c r="AV36" s="269">
        <f t="shared" si="31"/>
        <v>1237701.108044714</v>
      </c>
      <c r="AW36" s="269">
        <f t="shared" si="32"/>
        <v>1760</v>
      </c>
      <c r="AX36" s="269">
        <f t="shared" si="33"/>
        <v>3400</v>
      </c>
      <c r="AY36" s="269">
        <f t="shared" si="26"/>
        <v>9127.6050057763205</v>
      </c>
      <c r="AZ36" s="281"/>
      <c r="BA36" s="267">
        <v>61</v>
      </c>
      <c r="BB36" s="269">
        <f t="shared" si="30"/>
        <v>467.43997039371186</v>
      </c>
      <c r="BC36" s="269">
        <f t="shared" si="30"/>
        <v>380.60329605179697</v>
      </c>
      <c r="BD36" s="269">
        <f t="shared" si="23"/>
        <v>1223.1037960499491</v>
      </c>
      <c r="BE36" s="270"/>
      <c r="BF36" s="270"/>
      <c r="BG36" s="247" t="s">
        <v>97</v>
      </c>
      <c r="BH36" s="316">
        <f>'[10]Retirement Dashboard'!D10</f>
        <v>14</v>
      </c>
      <c r="BI36" s="248"/>
      <c r="BJ36" s="248"/>
    </row>
    <row r="37" spans="2:62" ht="53" customHeight="1" x14ac:dyDescent="0.35">
      <c r="B37" s="275">
        <f t="shared" ca="1" si="15"/>
        <v>84</v>
      </c>
      <c r="C37" s="279">
        <f t="shared" ca="1" si="11"/>
        <v>0</v>
      </c>
      <c r="D37" s="279">
        <f t="shared" ca="1" si="0"/>
        <v>1935</v>
      </c>
      <c r="E37" s="279">
        <f t="shared" ca="1" si="1"/>
        <v>900</v>
      </c>
      <c r="F37" s="279">
        <f ca="1">IF(AND('Retirement Dashboard'!$C$42="Yes", B37&lt;= 'Retirement Dashboard'!$E$42), 600, 0)</f>
        <v>0</v>
      </c>
      <c r="G37" s="279">
        <f ca="1">IF(B37&lt;'Retirement Dashboard'!$E$6,IF(B37&lt;=35,$BJ$4,IF(B37&lt;=45,$BJ$5,IF(B37&lt;=50,$BJ$6,IF(B37&lt;=55,$BJ$7,IF(B37&lt;=60,$BJ$8,IF(B37&lt;=65,$BJ$9,IF(B37&lt;=70,$BJ$10,$BJ$11)))))))*'Retirement Dashboard'!$C$12,0)</f>
        <v>0</v>
      </c>
      <c r="H37" s="279">
        <f t="shared" ca="1" si="16"/>
        <v>72665</v>
      </c>
      <c r="I37" s="279">
        <f t="shared" ca="1" si="2"/>
        <v>2906.6</v>
      </c>
      <c r="J37" s="279">
        <f t="shared" ca="1" si="3"/>
        <v>71.600000000005821</v>
      </c>
      <c r="K37" s="279">
        <f t="shared" ca="1" si="17"/>
        <v>75500</v>
      </c>
      <c r="L37" s="278"/>
      <c r="M37" s="280">
        <f t="shared" ca="1" si="12"/>
        <v>71.600000000005821</v>
      </c>
      <c r="N37" s="279">
        <f ca="1">IF(B37&lt;$BH$31,IF(B38&lt;=35,$BI$4,IF(B38&lt;=45,$BI$5,IF(B38&lt;=50,$BI$6,IF(B38&lt;=55,$BI$7,IF(B38&lt;=60,$BI$8,IF(B38&lt;=65,$BI$9,IF(B38&lt;=70,$BI$10,$BI$11)))))))*'Retirement Dashboard'!$C$12,0)</f>
        <v>0</v>
      </c>
      <c r="O37" s="279">
        <f t="shared" ca="1" si="18"/>
        <v>728780.79265567684</v>
      </c>
      <c r="P37" s="279">
        <f t="shared" ca="1" si="13"/>
        <v>2400</v>
      </c>
      <c r="Q37" s="279">
        <f t="shared" ca="1" si="4"/>
        <v>34439.039632783846</v>
      </c>
      <c r="R37" s="279">
        <f t="shared" ca="1" si="14"/>
        <v>765619.83228846069</v>
      </c>
      <c r="T37" s="279">
        <f ca="1">IF(B37&lt;$BH$31,IF(B37&lt;=35,$BH$4,IF(B38&lt;=45,$BH$5,IF(B38&lt;=50,$BH$6,IF(B38&lt;=55,$BH$7,IF(B38&lt;=60,$BH$8,IF(B38&lt;=65,$BH$9,IF(B38&lt;=70,$BH$10,$BH$11)))))))*'Retirement Dashboard'!$C$12,0)</f>
        <v>0</v>
      </c>
      <c r="U37" s="279">
        <f t="shared" ca="1" si="5"/>
        <v>0</v>
      </c>
      <c r="V37" s="279">
        <f t="shared" ca="1" si="6"/>
        <v>0</v>
      </c>
      <c r="W37" s="279">
        <f t="shared" ca="1" si="19"/>
        <v>193549.49878036897</v>
      </c>
      <c r="X37" s="279">
        <f t="shared" ca="1" si="7"/>
        <v>1200</v>
      </c>
      <c r="Y37" s="279">
        <f t="shared" ca="1" si="8"/>
        <v>4338.7374695092249</v>
      </c>
      <c r="Z37" s="279">
        <f t="shared" ca="1" si="20"/>
        <v>199088.23624987819</v>
      </c>
      <c r="AA37" s="270"/>
      <c r="AB37" s="270"/>
      <c r="AC37" s="270"/>
      <c r="AD37" s="270"/>
      <c r="AE37" s="270"/>
      <c r="AF37" s="270"/>
      <c r="AG37" s="270"/>
      <c r="AH37" s="270"/>
      <c r="AI37" s="270"/>
      <c r="AJ37" s="270"/>
      <c r="AM37" s="261" t="s">
        <v>300</v>
      </c>
      <c r="AN37" s="277">
        <v>298</v>
      </c>
      <c r="AR37" s="275">
        <f t="shared" ca="1" si="29"/>
        <v>59</v>
      </c>
      <c r="AS37" s="276">
        <f t="shared" si="29"/>
        <v>2057</v>
      </c>
      <c r="AT37" s="269">
        <f t="shared" si="24"/>
        <v>320162.33412346645</v>
      </c>
      <c r="AU37" s="269">
        <f t="shared" si="31"/>
        <v>640510.32341313944</v>
      </c>
      <c r="AV37" s="269">
        <f t="shared" si="31"/>
        <v>1281020.6468262789</v>
      </c>
      <c r="AW37" s="269">
        <f t="shared" si="32"/>
        <v>1790</v>
      </c>
      <c r="AX37" s="269">
        <f t="shared" si="33"/>
        <v>3460</v>
      </c>
      <c r="AY37" s="269">
        <f t="shared" si="26"/>
        <v>9429.7287314675177</v>
      </c>
      <c r="AZ37" s="281"/>
      <c r="BA37" s="267">
        <v>62</v>
      </c>
      <c r="BB37" s="269">
        <f t="shared" si="30"/>
        <v>476.78876980158611</v>
      </c>
      <c r="BC37" s="269">
        <f t="shared" si="30"/>
        <v>388.21536197283291</v>
      </c>
      <c r="BD37" s="269">
        <f t="shared" si="23"/>
        <v>1247.5658719709481</v>
      </c>
      <c r="BE37" s="270"/>
      <c r="BF37" s="270"/>
      <c r="BG37" s="247" t="s">
        <v>301</v>
      </c>
      <c r="BH37" s="308">
        <f>BH35*BH36</f>
        <v>60200</v>
      </c>
      <c r="BI37" s="248"/>
      <c r="BJ37" s="248"/>
    </row>
    <row r="38" spans="2:62" ht="53" customHeight="1" x14ac:dyDescent="0.35">
      <c r="B38" s="275">
        <f t="shared" ca="1" si="15"/>
        <v>85</v>
      </c>
      <c r="C38" s="279">
        <f t="shared" ca="1" si="11"/>
        <v>0</v>
      </c>
      <c r="D38" s="279">
        <f t="shared" ca="1" si="0"/>
        <v>1935</v>
      </c>
      <c r="E38" s="279">
        <f t="shared" ca="1" si="1"/>
        <v>900</v>
      </c>
      <c r="F38" s="279">
        <f ca="1">IF(AND('Retirement Dashboard'!$C$42="Yes", B38&lt;= 'Retirement Dashboard'!$E$42), 600, 0)</f>
        <v>0</v>
      </c>
      <c r="G38" s="279">
        <f ca="1">IF(B38&lt;'Retirement Dashboard'!$E$6,IF(B38&lt;=35,$BJ$4,IF(B38&lt;=45,$BJ$5,IF(B38&lt;=50,$BJ$6,IF(B38&lt;=55,$BJ$7,IF(B38&lt;=60,$BJ$8,IF(B38&lt;=65,$BJ$9,IF(B38&lt;=70,$BJ$10,$BJ$11)))))))*'Retirement Dashboard'!$C$12,0)</f>
        <v>0</v>
      </c>
      <c r="H38" s="279">
        <f t="shared" ca="1" si="16"/>
        <v>72665</v>
      </c>
      <c r="I38" s="279">
        <f t="shared" ca="1" si="2"/>
        <v>2906.6</v>
      </c>
      <c r="J38" s="279">
        <f t="shared" ca="1" si="3"/>
        <v>71.600000000005821</v>
      </c>
      <c r="K38" s="279">
        <f t="shared" ca="1" si="17"/>
        <v>75500</v>
      </c>
      <c r="L38" s="278"/>
      <c r="M38" s="280">
        <f t="shared" ca="1" si="12"/>
        <v>71.600000000005821</v>
      </c>
      <c r="N38" s="279">
        <f ca="1">IF(B38&lt;$BH$31,IF(B39&lt;=35,$BI$4,IF(B39&lt;=45,$BI$5,IF(B39&lt;=50,$BI$6,IF(B39&lt;=55,$BI$7,IF(B39&lt;=60,$BI$8,IF(B39&lt;=65,$BI$9,IF(B39&lt;=70,$BI$10,$BI$11)))))))*'Retirement Dashboard'!$C$12,0)</f>
        <v>0</v>
      </c>
      <c r="O38" s="279">
        <f t="shared" ca="1" si="18"/>
        <v>765691.43228846067</v>
      </c>
      <c r="P38" s="279">
        <f t="shared" ca="1" si="13"/>
        <v>2400</v>
      </c>
      <c r="Q38" s="279">
        <f t="shared" ca="1" si="4"/>
        <v>36284.571614423032</v>
      </c>
      <c r="R38" s="279">
        <f t="shared" ca="1" si="14"/>
        <v>804376.00390288373</v>
      </c>
      <c r="T38" s="279">
        <f ca="1">IF(B38&lt;$BH$31,IF(B38&lt;=35,$BH$4,IF(B39&lt;=45,$BH$5,IF(B39&lt;=50,$BH$6,IF(B39&lt;=55,$BH$7,IF(B39&lt;=60,$BH$8,IF(B39&lt;=65,$BH$9,IF(B39&lt;=70,$BH$10,$BH$11)))))))*'Retirement Dashboard'!$C$12,0)</f>
        <v>0</v>
      </c>
      <c r="U38" s="279">
        <f t="shared" ca="1" si="5"/>
        <v>0</v>
      </c>
      <c r="V38" s="279">
        <f t="shared" ca="1" si="6"/>
        <v>0</v>
      </c>
      <c r="W38" s="279">
        <f t="shared" ca="1" si="19"/>
        <v>199088.23624987819</v>
      </c>
      <c r="X38" s="279">
        <f t="shared" ca="1" si="7"/>
        <v>1200</v>
      </c>
      <c r="Y38" s="279">
        <f t="shared" ca="1" si="8"/>
        <v>4477.2059062469552</v>
      </c>
      <c r="Z38" s="279">
        <f t="shared" ca="1" si="20"/>
        <v>204765.44215612515</v>
      </c>
      <c r="AA38" s="270"/>
      <c r="AB38" s="270"/>
      <c r="AC38" s="270"/>
      <c r="AD38" s="270"/>
      <c r="AE38" s="270"/>
      <c r="AF38" s="270"/>
      <c r="AG38" s="270"/>
      <c r="AH38" s="270"/>
      <c r="AI38" s="270"/>
      <c r="AJ38" s="270"/>
      <c r="AR38" s="275">
        <f t="shared" ca="1" si="29"/>
        <v>60</v>
      </c>
      <c r="AS38" s="276">
        <f t="shared" si="29"/>
        <v>2058</v>
      </c>
      <c r="AT38" s="269">
        <f t="shared" si="24"/>
        <v>331368.01581778773</v>
      </c>
      <c r="AU38" s="269">
        <f t="shared" si="31"/>
        <v>662928.1847325993</v>
      </c>
      <c r="AV38" s="269">
        <f t="shared" si="31"/>
        <v>1325856.3694651986</v>
      </c>
      <c r="AW38" s="269">
        <f t="shared" si="32"/>
        <v>1820</v>
      </c>
      <c r="AX38" s="269">
        <f t="shared" si="33"/>
        <v>3520</v>
      </c>
      <c r="AY38" s="269">
        <f t="shared" si="26"/>
        <v>9741.8527524790934</v>
      </c>
      <c r="AZ38" s="281"/>
      <c r="BA38" s="267">
        <v>63</v>
      </c>
      <c r="BB38" s="269">
        <f t="shared" si="30"/>
        <v>486.32454519761785</v>
      </c>
      <c r="BC38" s="269">
        <f t="shared" si="30"/>
        <v>395.97966921228959</v>
      </c>
      <c r="BD38" s="269">
        <f t="shared" si="23"/>
        <v>1272.5171894103671</v>
      </c>
      <c r="BE38" s="270"/>
      <c r="BF38" s="270"/>
      <c r="BG38" s="247" t="s">
        <v>302</v>
      </c>
      <c r="BH38" s="316">
        <f ca="1">BH31-BH30</f>
        <v>13</v>
      </c>
      <c r="BI38" s="248"/>
      <c r="BJ38" s="248"/>
    </row>
    <row r="39" spans="2:62" ht="53" customHeight="1" x14ac:dyDescent="0.35">
      <c r="B39" s="275">
        <f t="shared" ca="1" si="15"/>
        <v>86</v>
      </c>
      <c r="C39" s="279">
        <f t="shared" ca="1" si="11"/>
        <v>0</v>
      </c>
      <c r="D39" s="279">
        <f t="shared" ca="1" si="0"/>
        <v>2025</v>
      </c>
      <c r="E39" s="279">
        <f t="shared" ca="1" si="1"/>
        <v>900</v>
      </c>
      <c r="F39" s="279">
        <f ca="1">IF(AND('Retirement Dashboard'!$C$42="Yes", B39&lt;= 'Retirement Dashboard'!$E$42), 600, 0)</f>
        <v>0</v>
      </c>
      <c r="G39" s="279">
        <f ca="1">IF(B39&lt;'Retirement Dashboard'!$E$6,IF(B39&lt;=35,$BJ$4,IF(B39&lt;=45,$BJ$5,IF(B39&lt;=50,$BJ$6,IF(B39&lt;=55,$BJ$7,IF(B39&lt;=60,$BJ$8,IF(B39&lt;=65,$BJ$9,IF(B39&lt;=70,$BJ$10,$BJ$11)))))))*'Retirement Dashboard'!$C$12,0)</f>
        <v>0</v>
      </c>
      <c r="H39" s="279">
        <f t="shared" ca="1" si="16"/>
        <v>72575</v>
      </c>
      <c r="I39" s="279">
        <f t="shared" ca="1" si="2"/>
        <v>2903</v>
      </c>
      <c r="J39" s="279">
        <f t="shared" ca="1" si="3"/>
        <v>0</v>
      </c>
      <c r="K39" s="279">
        <f t="shared" ca="1" si="17"/>
        <v>75478</v>
      </c>
      <c r="L39" s="278"/>
      <c r="M39" s="280">
        <f t="shared" ca="1" si="12"/>
        <v>0</v>
      </c>
      <c r="N39" s="279">
        <f ca="1">IF(B39&lt;$BH$31,IF(B40&lt;=35,$BI$4,IF(B40&lt;=45,$BI$5,IF(B40&lt;=50,$BI$6,IF(B40&lt;=55,$BI$7,IF(B40&lt;=60,$BI$8,IF(B40&lt;=65,$BI$9,IF(B40&lt;=70,$BI$10,$BI$11)))))))*'Retirement Dashboard'!$C$12,0)</f>
        <v>0</v>
      </c>
      <c r="O39" s="279">
        <f t="shared" ca="1" si="18"/>
        <v>804376.00390288373</v>
      </c>
      <c r="P39" s="279">
        <f t="shared" ca="1" si="13"/>
        <v>2400</v>
      </c>
      <c r="Q39" s="279">
        <f t="shared" ca="1" si="4"/>
        <v>38218.800195144191</v>
      </c>
      <c r="R39" s="279">
        <f t="shared" ca="1" si="14"/>
        <v>844994.80409802787</v>
      </c>
      <c r="T39" s="279">
        <f ca="1">IF(B39&lt;$BH$31,IF(B39&lt;=35,$BH$4,IF(B40&lt;=45,$BH$5,IF(B40&lt;=50,$BH$6,IF(B40&lt;=55,$BH$7,IF(B40&lt;=60,$BH$8,IF(B40&lt;=65,$BH$9,IF(B40&lt;=70,$BH$10,$BH$11)))))))*'Retirement Dashboard'!$C$12,0)</f>
        <v>0</v>
      </c>
      <c r="U39" s="279">
        <f t="shared" ca="1" si="5"/>
        <v>0</v>
      </c>
      <c r="V39" s="279">
        <f t="shared" ca="1" si="6"/>
        <v>0</v>
      </c>
      <c r="W39" s="279">
        <f t="shared" ca="1" si="19"/>
        <v>204765.44215612515</v>
      </c>
      <c r="X39" s="279">
        <f t="shared" ca="1" si="7"/>
        <v>1200</v>
      </c>
      <c r="Y39" s="279">
        <f t="shared" ca="1" si="8"/>
        <v>4619.1360539031293</v>
      </c>
      <c r="Z39" s="279">
        <f t="shared" ca="1" si="20"/>
        <v>210584.57821002827</v>
      </c>
      <c r="AA39" s="270"/>
      <c r="AB39" s="270"/>
      <c r="AC39" s="270"/>
      <c r="AD39" s="270"/>
      <c r="AE39" s="270"/>
      <c r="AF39" s="270"/>
      <c r="AG39" s="270"/>
      <c r="AH39" s="270"/>
      <c r="AI39" s="270"/>
      <c r="AJ39" s="270"/>
      <c r="AR39" s="275">
        <f t="shared" ref="AR39:AS40" ca="1" si="34">AR38+1</f>
        <v>61</v>
      </c>
      <c r="AS39" s="276">
        <f t="shared" si="34"/>
        <v>2059</v>
      </c>
      <c r="AT39" s="269">
        <f t="shared" si="24"/>
        <v>342965.89637141029</v>
      </c>
      <c r="AU39" s="269">
        <f t="shared" si="31"/>
        <v>686130.67119824025</v>
      </c>
      <c r="AV39" s="269">
        <f t="shared" si="31"/>
        <v>1372261.3423964805</v>
      </c>
      <c r="AW39" s="269">
        <f t="shared" si="32"/>
        <v>1850</v>
      </c>
      <c r="AX39" s="269">
        <f t="shared" si="33"/>
        <v>3580</v>
      </c>
      <c r="AY39" s="269">
        <f t="shared" si="26"/>
        <v>10064.308078586153</v>
      </c>
      <c r="AZ39" s="281"/>
      <c r="BA39" s="267">
        <v>64</v>
      </c>
      <c r="BB39" s="269">
        <f t="shared" ref="BB39:BC42" si="35">(100%+$BB$3)*BB38</f>
        <v>496.05103610157022</v>
      </c>
      <c r="BC39" s="269">
        <f t="shared" si="35"/>
        <v>403.89926259653538</v>
      </c>
      <c r="BD39" s="269">
        <f t="shared" si="23"/>
        <v>1297.9675331985745</v>
      </c>
      <c r="BE39" s="270"/>
      <c r="BF39" s="270"/>
      <c r="BG39" s="247" t="s">
        <v>100</v>
      </c>
      <c r="BH39" s="317">
        <f ca="1">IF(BH30&lt;=35,BH4,IF(BH30&lt;=45,BH5,IF(BH30&lt;=50,BH6,IF(BH30&lt;=55,BH7,IF(BH30&lt;=60,BH8,IF(BH30&lt;=65,BH9,IF(BH30&lt;=70,BH10,BH11)))))))</f>
        <v>0.15003499999999997</v>
      </c>
      <c r="BI39" s="248"/>
      <c r="BJ39" s="248"/>
    </row>
    <row r="40" spans="2:62" ht="53" customHeight="1" x14ac:dyDescent="0.35">
      <c r="B40" s="275">
        <f t="shared" ca="1" si="15"/>
        <v>87</v>
      </c>
      <c r="C40" s="279">
        <f t="shared" ca="1" si="11"/>
        <v>0</v>
      </c>
      <c r="D40" s="279">
        <f t="shared" ca="1" si="0"/>
        <v>2025</v>
      </c>
      <c r="E40" s="279">
        <f t="shared" ca="1" si="1"/>
        <v>900</v>
      </c>
      <c r="F40" s="279">
        <f ca="1">IF(AND('Retirement Dashboard'!$C$42="Yes", B40&lt;= 'Retirement Dashboard'!$E$42), 600, 0)</f>
        <v>0</v>
      </c>
      <c r="G40" s="279">
        <f ca="1">IF(B40&lt;'Retirement Dashboard'!$E$6,IF(B40&lt;=35,$BJ$4,IF(B40&lt;=45,$BJ$5,IF(B40&lt;=50,$BJ$6,IF(B40&lt;=55,$BJ$7,IF(B40&lt;=60,$BJ$8,IF(B40&lt;=65,$BJ$9,IF(B40&lt;=70,$BJ$10,$BJ$11)))))))*'Retirement Dashboard'!$C$12,0)</f>
        <v>0</v>
      </c>
      <c r="H40" s="279">
        <f t="shared" ca="1" si="16"/>
        <v>72553</v>
      </c>
      <c r="I40" s="279">
        <f t="shared" ca="1" si="2"/>
        <v>2902.12</v>
      </c>
      <c r="J40" s="279">
        <f t="shared" ca="1" si="3"/>
        <v>0</v>
      </c>
      <c r="K40" s="279">
        <f t="shared" ca="1" si="17"/>
        <v>75455.12</v>
      </c>
      <c r="L40" s="278"/>
      <c r="M40" s="280">
        <f t="shared" ca="1" si="12"/>
        <v>0</v>
      </c>
      <c r="N40" s="279">
        <f ca="1">IF(B40&lt;$BH$31,IF(B41&lt;=35,$BI$4,IF(B41&lt;=45,$BI$5,IF(B41&lt;=50,$BI$6,IF(B41&lt;=55,$BI$7,IF(B41&lt;=60,$BI$8,IF(B41&lt;=65,$BI$9,IF(B41&lt;=70,$BI$10,$BI$11)))))))*'Retirement Dashboard'!$C$12,0)</f>
        <v>0</v>
      </c>
      <c r="O40" s="279">
        <f t="shared" ca="1" si="18"/>
        <v>844994.80409802787</v>
      </c>
      <c r="P40" s="279">
        <f t="shared" ca="1" si="13"/>
        <v>2400</v>
      </c>
      <c r="Q40" s="279">
        <f t="shared" ca="1" si="4"/>
        <v>40249.740204901398</v>
      </c>
      <c r="R40" s="279">
        <f t="shared" ca="1" si="14"/>
        <v>887644.54430292931</v>
      </c>
      <c r="T40" s="279">
        <f ca="1">IF(B40&lt;$BH$31,IF(B40&lt;=35,$BH$4,IF(B41&lt;=45,$BH$5,IF(B41&lt;=50,$BH$6,IF(B41&lt;=55,$BH$7,IF(B41&lt;=60,$BH$8,IF(B41&lt;=65,$BH$9,IF(B41&lt;=70,$BH$10,$BH$11)))))))*'Retirement Dashboard'!$C$12,0)</f>
        <v>0</v>
      </c>
      <c r="U40" s="279">
        <f t="shared" ca="1" si="5"/>
        <v>0</v>
      </c>
      <c r="V40" s="279">
        <f t="shared" ca="1" si="6"/>
        <v>0</v>
      </c>
      <c r="W40" s="279">
        <f t="shared" ca="1" si="19"/>
        <v>210584.57821002827</v>
      </c>
      <c r="X40" s="279">
        <f t="shared" ca="1" si="7"/>
        <v>1200</v>
      </c>
      <c r="Y40" s="279">
        <f t="shared" ca="1" si="8"/>
        <v>4764.6144552507067</v>
      </c>
      <c r="Z40" s="279">
        <f t="shared" ca="1" si="20"/>
        <v>216549.19266527897</v>
      </c>
      <c r="AA40" s="270"/>
      <c r="AB40" s="270"/>
      <c r="AC40" s="270"/>
      <c r="AD40" s="270"/>
      <c r="AE40" s="270"/>
      <c r="AF40" s="270"/>
      <c r="AG40" s="270"/>
      <c r="AH40" s="270"/>
      <c r="AI40" s="270"/>
      <c r="AJ40" s="270"/>
      <c r="AR40" s="275">
        <f t="shared" ca="1" si="34"/>
        <v>62</v>
      </c>
      <c r="AS40" s="276">
        <f t="shared" si="34"/>
        <v>2060</v>
      </c>
      <c r="AT40" s="269">
        <f t="shared" si="24"/>
        <v>354969.70274440962</v>
      </c>
      <c r="AU40" s="269">
        <f t="shared" si="31"/>
        <v>710145.24469017854</v>
      </c>
      <c r="AV40" s="269">
        <f t="shared" si="31"/>
        <v>1420290.4893803571</v>
      </c>
      <c r="AW40" s="269">
        <f t="shared" si="32"/>
        <v>1880</v>
      </c>
      <c r="AX40" s="269">
        <f t="shared" si="33"/>
        <v>3640</v>
      </c>
      <c r="AY40" s="269">
        <f t="shared" si="26"/>
        <v>10397.436675987356</v>
      </c>
      <c r="AZ40" s="281"/>
      <c r="BA40" s="267">
        <v>65</v>
      </c>
      <c r="BB40" s="269">
        <f t="shared" si="35"/>
        <v>505.97205682360163</v>
      </c>
      <c r="BC40" s="269">
        <f t="shared" si="35"/>
        <v>411.97724784846611</v>
      </c>
      <c r="BD40" s="269">
        <f t="shared" si="23"/>
        <v>1323.926883862546</v>
      </c>
      <c r="BE40" s="270"/>
      <c r="BF40" s="270"/>
      <c r="BG40" s="247" t="s">
        <v>102</v>
      </c>
      <c r="BH40" s="317">
        <f ca="1">IF($BH$30&lt;=35,BI4,IF($BH$30&lt;=45,BI5,IF($BH$30&lt;=50,BI6,IF($BH$30&lt;=55,BI7,IF($BH$30&lt;=60,BI8,IF($BH$30&lt;=65,BI9,IF($BH$30&lt;=70,BI10,BI11)))))))</f>
        <v>0.11499599999999999</v>
      </c>
      <c r="BI40" s="248"/>
      <c r="BJ40" s="248"/>
    </row>
    <row r="41" spans="2:62" ht="53" customHeight="1" x14ac:dyDescent="0.35">
      <c r="B41" s="275">
        <f t="shared" ca="1" si="15"/>
        <v>88</v>
      </c>
      <c r="C41" s="279">
        <f t="shared" ca="1" si="11"/>
        <v>0</v>
      </c>
      <c r="D41" s="279">
        <f t="shared" ca="1" si="0"/>
        <v>2025</v>
      </c>
      <c r="E41" s="279">
        <f t="shared" ca="1" si="1"/>
        <v>900</v>
      </c>
      <c r="F41" s="279">
        <f ca="1">IF(AND('Retirement Dashboard'!$C$42="Yes", B41&lt;= 'Retirement Dashboard'!$E$42), 600, 0)</f>
        <v>0</v>
      </c>
      <c r="G41" s="279">
        <f ca="1">IF(B41&lt;'Retirement Dashboard'!$E$6,IF(B41&lt;=35,$BJ$4,IF(B41&lt;=45,$BJ$5,IF(B41&lt;=50,$BJ$6,IF(B41&lt;=55,$BJ$7,IF(B41&lt;=60,$BJ$8,IF(B41&lt;=65,$BJ$9,IF(B41&lt;=70,$BJ$10,$BJ$11)))))))*'Retirement Dashboard'!$C$12,0)</f>
        <v>0</v>
      </c>
      <c r="H41" s="279">
        <f t="shared" ca="1" si="16"/>
        <v>72530.12</v>
      </c>
      <c r="I41" s="279">
        <f t="shared" ca="1" si="2"/>
        <v>2901.2048</v>
      </c>
      <c r="J41" s="279">
        <f t="shared" ca="1" si="3"/>
        <v>0</v>
      </c>
      <c r="K41" s="279">
        <f t="shared" ca="1" si="17"/>
        <v>75431.324800000002</v>
      </c>
      <c r="L41" s="278"/>
      <c r="M41" s="280">
        <f t="shared" ca="1" si="12"/>
        <v>0</v>
      </c>
      <c r="N41" s="279">
        <f ca="1">IF(B41&lt;$BH$31,IF(B42&lt;=35,$BI$4,IF(B42&lt;=45,$BI$5,IF(B42&lt;=50,$BI$6,IF(B42&lt;=55,$BI$7,IF(B42&lt;=60,$BI$8,IF(B42&lt;=65,$BI$9,IF(B42&lt;=70,$BI$10,$BI$11)))))))*'Retirement Dashboard'!$C$12,0)</f>
        <v>0</v>
      </c>
      <c r="O41" s="279">
        <f t="shared" ca="1" si="18"/>
        <v>887644.54430292931</v>
      </c>
      <c r="P41" s="279">
        <f t="shared" ca="1" si="13"/>
        <v>2400</v>
      </c>
      <c r="Q41" s="279">
        <f t="shared" ca="1" si="4"/>
        <v>42382.227215146471</v>
      </c>
      <c r="R41" s="279">
        <f t="shared" ca="1" si="14"/>
        <v>932426.77151807584</v>
      </c>
      <c r="T41" s="279">
        <f ca="1">IF(B41&lt;$BH$31,IF(B41&lt;=35,$BH$4,IF(B42&lt;=45,$BH$5,IF(B42&lt;=50,$BH$6,IF(B42&lt;=55,$BH$7,IF(B42&lt;=60,$BH$8,IF(B42&lt;=65,$BH$9,IF(B42&lt;=70,$BH$10,$BH$11)))))))*'Retirement Dashboard'!$C$12,0)</f>
        <v>0</v>
      </c>
      <c r="U41" s="279">
        <f t="shared" ca="1" si="5"/>
        <v>0</v>
      </c>
      <c r="V41" s="279">
        <f t="shared" ca="1" si="6"/>
        <v>0</v>
      </c>
      <c r="W41" s="279">
        <f t="shared" ca="1" si="19"/>
        <v>216549.19266527897</v>
      </c>
      <c r="X41" s="279">
        <f t="shared" ca="1" si="7"/>
        <v>1200</v>
      </c>
      <c r="Y41" s="279">
        <f t="shared" ca="1" si="8"/>
        <v>4913.7298166319742</v>
      </c>
      <c r="Z41" s="279">
        <f t="shared" ca="1" si="20"/>
        <v>222662.92248191094</v>
      </c>
      <c r="AA41" s="270"/>
      <c r="AB41" s="270"/>
      <c r="AC41" s="270"/>
      <c r="AD41" s="270"/>
      <c r="AE41" s="270"/>
      <c r="AF41" s="270"/>
      <c r="AG41" s="270"/>
      <c r="AH41" s="270"/>
      <c r="AI41" s="270"/>
      <c r="AJ41" s="270"/>
      <c r="AR41" s="275">
        <f ca="1">AR40+1</f>
        <v>63</v>
      </c>
      <c r="AS41" s="276">
        <f>AS40+1</f>
        <v>2061</v>
      </c>
      <c r="AT41" s="269">
        <f>(AT40+3900)</f>
        <v>358869.70274440962</v>
      </c>
      <c r="AU41" s="269">
        <f t="shared" ref="AU41:AV41" si="36">AU40*103.5%</f>
        <v>735000.32825433474</v>
      </c>
      <c r="AV41" s="269">
        <f t="shared" si="36"/>
        <v>1470000.6565086695</v>
      </c>
      <c r="AW41" s="269">
        <f>AW40+30</f>
        <v>1910</v>
      </c>
      <c r="AX41" s="269">
        <f>AX40+60</f>
        <v>3700</v>
      </c>
      <c r="AY41" s="269">
        <f t="shared" si="26"/>
        <v>10741.591829962539</v>
      </c>
      <c r="AZ41" s="281"/>
      <c r="BA41" s="267">
        <v>66</v>
      </c>
      <c r="BB41" s="269">
        <f t="shared" si="35"/>
        <v>516.09149796007364</v>
      </c>
      <c r="BC41" s="269">
        <f t="shared" si="35"/>
        <v>420.21679280543543</v>
      </c>
      <c r="BD41" s="269">
        <f t="shared" si="23"/>
        <v>1350.4054215397969</v>
      </c>
      <c r="BE41" s="270"/>
      <c r="BF41" s="270"/>
      <c r="BG41" s="247" t="s">
        <v>104</v>
      </c>
      <c r="BH41" s="317">
        <f ca="1">IF($BH$30&lt;=35,BJ4,IF($BH$30&lt;=45,BJ5,IF($BH$30&lt;=50,BJ6,IF($BH$30&lt;=55,BJ7,IF($BH$30&lt;=60,BJ8,IF($BH$30&lt;=65,BJ9,IF($BH$30&lt;=70,BJ10,BJ11)))))))</f>
        <v>0.10496900000000001</v>
      </c>
      <c r="BI41" s="248"/>
      <c r="BJ41" s="248"/>
    </row>
    <row r="42" spans="2:62" ht="53" customHeight="1" x14ac:dyDescent="0.35">
      <c r="B42" s="275">
        <f t="shared" ca="1" si="15"/>
        <v>89</v>
      </c>
      <c r="C42" s="279">
        <f t="shared" ca="1" si="11"/>
        <v>0</v>
      </c>
      <c r="D42" s="279">
        <f t="shared" ca="1" si="0"/>
        <v>2025</v>
      </c>
      <c r="E42" s="279">
        <f t="shared" ca="1" si="1"/>
        <v>900</v>
      </c>
      <c r="F42" s="279">
        <f ca="1">IF(AND('Retirement Dashboard'!$C$42="Yes", B42&lt;= 'Retirement Dashboard'!$E$42), 600, 0)</f>
        <v>0</v>
      </c>
      <c r="G42" s="279">
        <f ca="1">IF(B42&lt;'Retirement Dashboard'!$E$6,IF(B42&lt;=35,$BJ$4,IF(B42&lt;=45,$BJ$5,IF(B42&lt;=50,$BJ$6,IF(B42&lt;=55,$BJ$7,IF(B42&lt;=60,$BJ$8,IF(B42&lt;=65,$BJ$9,IF(B42&lt;=70,$BJ$10,$BJ$11)))))))*'Retirement Dashboard'!$C$12,0)</f>
        <v>0</v>
      </c>
      <c r="H42" s="279">
        <f t="shared" ca="1" si="16"/>
        <v>72506.324800000002</v>
      </c>
      <c r="I42" s="279">
        <f t="shared" ca="1" si="2"/>
        <v>2900.2529920000002</v>
      </c>
      <c r="J42" s="279">
        <f t="shared" ca="1" si="3"/>
        <v>0</v>
      </c>
      <c r="K42" s="279">
        <f t="shared" ca="1" si="17"/>
        <v>75406.577791999996</v>
      </c>
      <c r="L42" s="278"/>
      <c r="M42" s="280">
        <f t="shared" ca="1" si="12"/>
        <v>0</v>
      </c>
      <c r="N42" s="279">
        <f ca="1">IF(B42&lt;$BH$31,IF(B43&lt;=35,$BI$4,IF(B43&lt;=45,$BI$5,IF(B43&lt;=50,$BI$6,IF(B43&lt;=55,$BI$7,IF(B43&lt;=60,$BI$8,IF(B43&lt;=65,$BI$9,IF(B43&lt;=70,$BI$10,$BI$11)))))))*'Retirement Dashboard'!$C$12,0)</f>
        <v>0</v>
      </c>
      <c r="O42" s="279">
        <f t="shared" ca="1" si="18"/>
        <v>932426.77151807584</v>
      </c>
      <c r="P42" s="279">
        <f t="shared" ca="1" si="13"/>
        <v>2400</v>
      </c>
      <c r="Q42" s="279">
        <f t="shared" ca="1" si="4"/>
        <v>44621.338575903792</v>
      </c>
      <c r="R42" s="279">
        <f t="shared" ca="1" si="14"/>
        <v>979448.11009397963</v>
      </c>
      <c r="T42" s="279">
        <f ca="1">IF(B42&lt;$BH$31,IF(B42&lt;=35,$BH$4,IF(B43&lt;=45,$BH$5,IF(B43&lt;=50,$BH$6,IF(B43&lt;=55,$BH$7,IF(B43&lt;=60,$BH$8,IF(B43&lt;=65,$BH$9,IF(B43&lt;=70,$BH$10,$BH$11)))))))*'Retirement Dashboard'!$C$12,0)</f>
        <v>0</v>
      </c>
      <c r="U42" s="279">
        <f t="shared" ca="1" si="5"/>
        <v>0</v>
      </c>
      <c r="V42" s="279">
        <f t="shared" ca="1" si="6"/>
        <v>0</v>
      </c>
      <c r="W42" s="279">
        <f t="shared" ca="1" si="19"/>
        <v>222662.92248191094</v>
      </c>
      <c r="X42" s="279">
        <f t="shared" ca="1" si="7"/>
        <v>1200</v>
      </c>
      <c r="Y42" s="279">
        <f t="shared" ca="1" si="8"/>
        <v>5066.5730620477734</v>
      </c>
      <c r="Z42" s="279">
        <f t="shared" ca="1" si="20"/>
        <v>228929.49554395871</v>
      </c>
      <c r="AA42" s="270"/>
      <c r="AB42" s="270"/>
      <c r="AC42" s="270"/>
      <c r="AD42" s="270"/>
      <c r="AE42" s="270"/>
      <c r="AF42" s="270"/>
      <c r="AG42" s="270"/>
      <c r="AH42" s="270"/>
      <c r="AI42" s="270"/>
      <c r="AJ42" s="270"/>
      <c r="BA42" s="267">
        <v>67</v>
      </c>
      <c r="BB42" s="269">
        <f t="shared" si="35"/>
        <v>526.41332791927516</v>
      </c>
      <c r="BC42" s="269">
        <f t="shared" si="35"/>
        <v>428.62112866154416</v>
      </c>
      <c r="BD42" s="269">
        <f t="shared" si="23"/>
        <v>1377.4135299705929</v>
      </c>
      <c r="BE42" s="270"/>
      <c r="BF42" s="270"/>
      <c r="BG42" s="247" t="s">
        <v>303</v>
      </c>
      <c r="BH42" s="308" cm="1">
        <f t="array" ref="BH42:BJ42">'[10]Retirement Dashboard'!D17:F17</f>
        <v>70000</v>
      </c>
      <c r="BI42" s="248">
        <v>0</v>
      </c>
      <c r="BJ42" s="248">
        <v>0</v>
      </c>
    </row>
    <row r="43" spans="2:62" ht="53" customHeight="1" x14ac:dyDescent="0.35">
      <c r="B43" s="275">
        <f t="shared" ca="1" si="15"/>
        <v>90</v>
      </c>
      <c r="C43" s="279">
        <f t="shared" ca="1" si="11"/>
        <v>0</v>
      </c>
      <c r="D43" s="279">
        <f t="shared" ca="1" si="0"/>
        <v>2025</v>
      </c>
      <c r="E43" s="279">
        <f t="shared" ca="1" si="1"/>
        <v>900</v>
      </c>
      <c r="F43" s="279">
        <f ca="1">IF(AND('Retirement Dashboard'!$C$42="Yes", B43&lt;= 'Retirement Dashboard'!$E$42), 600, 0)</f>
        <v>0</v>
      </c>
      <c r="G43" s="279">
        <f ca="1">IF(B43&lt;'Retirement Dashboard'!$E$6,IF(B43&lt;=35,$BJ$4,IF(B43&lt;=45,$BJ$5,IF(B43&lt;=50,$BJ$6,IF(B43&lt;=55,$BJ$7,IF(B43&lt;=60,$BJ$8,IF(B43&lt;=65,$BJ$9,IF(B43&lt;=70,$BJ$10,$BJ$11)))))))*'Retirement Dashboard'!$C$12,0)</f>
        <v>0</v>
      </c>
      <c r="H43" s="279">
        <f t="shared" ca="1" si="16"/>
        <v>72481.577791999996</v>
      </c>
      <c r="I43" s="279">
        <f t="shared" ca="1" si="2"/>
        <v>2899.2631116799998</v>
      </c>
      <c r="J43" s="279">
        <f t="shared" ca="1" si="3"/>
        <v>0</v>
      </c>
      <c r="K43" s="279">
        <f t="shared" ca="1" si="17"/>
        <v>75380.84090368</v>
      </c>
      <c r="L43" s="278"/>
      <c r="M43" s="280">
        <f t="shared" ca="1" si="12"/>
        <v>0</v>
      </c>
      <c r="N43" s="279">
        <f ca="1">IF(B43&lt;$BH$31,IF(B44&lt;=35,$BI$4,IF(B44&lt;=45,$BI$5,IF(B44&lt;=50,$BI$6,IF(B44&lt;=55,$BI$7,IF(B44&lt;=60,$BI$8,IF(B44&lt;=65,$BI$9,IF(B44&lt;=70,$BI$10,$BI$11)))))))*'Retirement Dashboard'!$C$12,0)</f>
        <v>0</v>
      </c>
      <c r="O43" s="279">
        <f t="shared" ca="1" si="18"/>
        <v>979448.11009397963</v>
      </c>
      <c r="P43" s="279">
        <f t="shared" ca="1" si="13"/>
        <v>2400</v>
      </c>
      <c r="Q43" s="279">
        <f t="shared" ca="1" si="4"/>
        <v>46972.405504698982</v>
      </c>
      <c r="R43" s="279">
        <f t="shared" ca="1" si="14"/>
        <v>1028820.5155986786</v>
      </c>
      <c r="T43" s="279">
        <f ca="1">IF(B43&lt;$BH$31,IF(B43&lt;=35,$BH$4,IF(B44&lt;=45,$BH$5,IF(B44&lt;=50,$BH$6,IF(B44&lt;=55,$BH$7,IF(B44&lt;=60,$BH$8,IF(B44&lt;=65,$BH$9,IF(B44&lt;=70,$BH$10,$BH$11)))))))*'Retirement Dashboard'!$C$12,0)</f>
        <v>0</v>
      </c>
      <c r="U43" s="279">
        <f t="shared" ca="1" si="5"/>
        <v>0</v>
      </c>
      <c r="V43" s="279">
        <f t="shared" ca="1" si="6"/>
        <v>0</v>
      </c>
      <c r="W43" s="279">
        <f t="shared" ca="1" si="19"/>
        <v>228929.49554395871</v>
      </c>
      <c r="X43" s="279">
        <f t="shared" ca="1" si="7"/>
        <v>1200</v>
      </c>
      <c r="Y43" s="279">
        <f t="shared" ca="1" si="8"/>
        <v>5223.2373885989682</v>
      </c>
      <c r="Z43" s="279">
        <f t="shared" ca="1" si="20"/>
        <v>235352.73293255767</v>
      </c>
      <c r="AA43" s="270"/>
      <c r="AB43" s="270"/>
      <c r="AC43" s="270"/>
      <c r="AD43" s="270"/>
      <c r="AE43" s="270"/>
      <c r="AF43" s="270"/>
      <c r="AG43" s="270"/>
      <c r="AH43" s="270"/>
      <c r="AI43" s="270"/>
      <c r="AJ43" s="270"/>
      <c r="AR43" s="318" t="s">
        <v>3</v>
      </c>
      <c r="AS43" s="318" t="s">
        <v>71</v>
      </c>
      <c r="AT43" s="319" t="s">
        <v>69</v>
      </c>
      <c r="AU43" s="319" t="s">
        <v>70</v>
      </c>
      <c r="AV43" s="318" t="s">
        <v>258</v>
      </c>
      <c r="AW43" s="319" t="s">
        <v>76</v>
      </c>
      <c r="AX43" s="320" t="s">
        <v>77</v>
      </c>
      <c r="AY43" s="318" t="s">
        <v>78</v>
      </c>
      <c r="AZ43" s="318"/>
      <c r="BA43" s="318"/>
      <c r="BB43" s="270"/>
      <c r="BD43" s="270"/>
      <c r="BE43" s="270"/>
      <c r="BF43" s="270"/>
      <c r="BG43" s="247" t="s">
        <v>158</v>
      </c>
      <c r="BH43" s="308" cm="1">
        <f t="array" ref="BH43:BJ43">'[10]Retirement Dashboard'!D15:F15</f>
        <v>20000</v>
      </c>
      <c r="BI43" s="248">
        <v>0</v>
      </c>
      <c r="BJ43" s="248">
        <v>0</v>
      </c>
    </row>
    <row r="44" spans="2:62" ht="53" customHeight="1" x14ac:dyDescent="0.35">
      <c r="B44" s="275">
        <f t="shared" ca="1" si="15"/>
        <v>91</v>
      </c>
      <c r="C44" s="279">
        <f t="shared" ca="1" si="11"/>
        <v>0</v>
      </c>
      <c r="D44" s="279">
        <f t="shared" ca="1" si="0"/>
        <v>2055</v>
      </c>
      <c r="E44" s="279">
        <f t="shared" ca="1" si="1"/>
        <v>900</v>
      </c>
      <c r="F44" s="279">
        <f ca="1">IF(AND('Retirement Dashboard'!$C$42="Yes", B44&lt;= 'Retirement Dashboard'!$E$42), 600, 0)</f>
        <v>0</v>
      </c>
      <c r="G44" s="279">
        <f ca="1">IF(B44&lt;'Retirement Dashboard'!$E$6,IF(B44&lt;=35,$BJ$4,IF(B44&lt;=45,$BJ$5,IF(B44&lt;=50,$BJ$6,IF(B44&lt;=55,$BJ$7,IF(B44&lt;=60,$BJ$8,IF(B44&lt;=65,$BJ$9,IF(B44&lt;=70,$BJ$10,$BJ$11)))))))*'Retirement Dashboard'!$C$12,0)</f>
        <v>0</v>
      </c>
      <c r="H44" s="279">
        <f t="shared" ca="1" si="16"/>
        <v>72425.84090368</v>
      </c>
      <c r="I44" s="279">
        <f t="shared" ca="1" si="2"/>
        <v>2897.0336361472</v>
      </c>
      <c r="J44" s="279">
        <f t="shared" ca="1" si="3"/>
        <v>0</v>
      </c>
      <c r="K44" s="279">
        <f t="shared" ca="1" si="17"/>
        <v>75322.8745398272</v>
      </c>
      <c r="L44" s="248"/>
      <c r="M44" s="280">
        <f t="shared" ca="1" si="12"/>
        <v>0</v>
      </c>
      <c r="N44" s="279">
        <f ca="1">IF(B44&lt;$BH$31,IF(B45&lt;=35,$BI$4,IF(B45&lt;=45,$BI$5,IF(B45&lt;=50,$BI$6,IF(B45&lt;=55,$BI$7,IF(B45&lt;=60,$BI$8,IF(B45&lt;=65,$BI$9,IF(B45&lt;=70,$BI$10,$BI$11)))))))*'Retirement Dashboard'!$C$12,0)</f>
        <v>0</v>
      </c>
      <c r="O44" s="279">
        <f t="shared" ca="1" si="18"/>
        <v>1028820.5155986786</v>
      </c>
      <c r="P44" s="279">
        <f t="shared" ca="1" si="13"/>
        <v>2400</v>
      </c>
      <c r="Q44" s="279">
        <f t="shared" ca="1" si="4"/>
        <v>49441.025779933931</v>
      </c>
      <c r="R44" s="279">
        <f t="shared" ca="1" si="14"/>
        <v>1080661.5413786126</v>
      </c>
      <c r="T44" s="279">
        <f ca="1">IF(B44&lt;$BH$31,IF(B44&lt;=35,$BH$4,IF(B45&lt;=45,$BH$5,IF(B45&lt;=50,$BH$6,IF(B45&lt;=55,$BH$7,IF(B45&lt;=60,$BH$8,IF(B45&lt;=65,$BH$9,IF(B45&lt;=70,$BH$10,$BH$11)))))))*'Retirement Dashboard'!$C$12,0)</f>
        <v>0</v>
      </c>
      <c r="U44" s="279">
        <f t="shared" ca="1" si="5"/>
        <v>0</v>
      </c>
      <c r="V44" s="279">
        <f t="shared" ca="1" si="6"/>
        <v>0</v>
      </c>
      <c r="W44" s="279">
        <f t="shared" ca="1" si="19"/>
        <v>235352.73293255767</v>
      </c>
      <c r="X44" s="279">
        <f t="shared" ca="1" si="7"/>
        <v>1200</v>
      </c>
      <c r="Y44" s="279">
        <f t="shared" ca="1" si="8"/>
        <v>5383.8183233139425</v>
      </c>
      <c r="Z44" s="279">
        <f t="shared" ca="1" si="20"/>
        <v>241936.5512558716</v>
      </c>
      <c r="AA44" s="270"/>
      <c r="AB44" s="270"/>
      <c r="AC44" s="270"/>
      <c r="AD44" s="270"/>
      <c r="AE44" s="270"/>
      <c r="AF44" s="270"/>
      <c r="AG44" s="270"/>
      <c r="AH44" s="270"/>
      <c r="AI44" s="270"/>
      <c r="AJ44" s="270"/>
      <c r="AR44" s="321">
        <f>BH31</f>
        <v>65</v>
      </c>
      <c r="AS44" s="248">
        <f ca="1">VLOOKUP($AR$44,$B$3:$Z$56,10,)</f>
        <v>75500</v>
      </c>
      <c r="AT44" s="248">
        <f ca="1">VLOOKUP(AR44,$B$3:$Z$56,25,)</f>
        <v>115199.08087140747</v>
      </c>
      <c r="AU44" s="248">
        <f ca="1">VLOOKUP(AR44,$B$3:$Z$56,17,)</f>
        <v>289508.24615888816</v>
      </c>
      <c r="AV44" s="248"/>
      <c r="AW44" s="248"/>
      <c r="AX44" s="248"/>
      <c r="AY44" s="248"/>
      <c r="AZ44" s="248"/>
      <c r="BA44" s="248"/>
      <c r="BB44" s="270"/>
      <c r="BD44" s="270"/>
      <c r="BE44" s="270"/>
      <c r="BF44" s="270"/>
      <c r="BG44" s="247" t="s">
        <v>159</v>
      </c>
      <c r="BH44" s="308" cm="1">
        <f t="array" ref="BH44:BJ44">'[10]Retirement Dashboard'!D16:F16</f>
        <v>200000</v>
      </c>
      <c r="BI44" s="248">
        <v>0</v>
      </c>
      <c r="BJ44" s="248">
        <v>0</v>
      </c>
    </row>
    <row r="45" spans="2:62" ht="53" customHeight="1" x14ac:dyDescent="0.35">
      <c r="B45" s="275">
        <f t="shared" ca="1" si="15"/>
        <v>92</v>
      </c>
      <c r="C45" s="279">
        <f t="shared" ca="1" si="11"/>
        <v>0</v>
      </c>
      <c r="D45" s="279">
        <f t="shared" ca="1" si="0"/>
        <v>2055</v>
      </c>
      <c r="E45" s="279">
        <f t="shared" ca="1" si="1"/>
        <v>900</v>
      </c>
      <c r="F45" s="279">
        <f ca="1">IF(AND('Retirement Dashboard'!$C$42="Yes", B45&lt;= 'Retirement Dashboard'!$E$42), 600, 0)</f>
        <v>0</v>
      </c>
      <c r="G45" s="279">
        <f ca="1">IF(B45&lt;'Retirement Dashboard'!$E$6,IF(B45&lt;=35,$BJ$4,IF(B45&lt;=45,$BJ$5,IF(B45&lt;=50,$BJ$6,IF(B45&lt;=55,$BJ$7,IF(B45&lt;=60,$BJ$8,IF(B45&lt;=65,$BJ$9,IF(B45&lt;=70,$BJ$10,$BJ$11)))))))*'Retirement Dashboard'!$C$12,0)</f>
        <v>0</v>
      </c>
      <c r="H45" s="279">
        <f t="shared" ca="1" si="16"/>
        <v>72367.8745398272</v>
      </c>
      <c r="I45" s="279">
        <f t="shared" ca="1" si="2"/>
        <v>2894.7149815930879</v>
      </c>
      <c r="J45" s="279">
        <f t="shared" ca="1" si="3"/>
        <v>0</v>
      </c>
      <c r="K45" s="279">
        <f t="shared" ca="1" si="17"/>
        <v>75262.58952142029</v>
      </c>
      <c r="L45" s="248"/>
      <c r="M45" s="280">
        <f t="shared" ca="1" si="12"/>
        <v>0</v>
      </c>
      <c r="N45" s="279">
        <f ca="1">IF(B45&lt;$BH$31,IF(B46&lt;=35,$BI$4,IF(B46&lt;=45,$BI$5,IF(B46&lt;=50,$BI$6,IF(B46&lt;=55,$BI$7,IF(B46&lt;=60,$BI$8,IF(B46&lt;=65,$BI$9,IF(B46&lt;=70,$BI$10,$BI$11)))))))*'Retirement Dashboard'!$C$12,0)</f>
        <v>0</v>
      </c>
      <c r="O45" s="279">
        <f t="shared" ca="1" si="18"/>
        <v>1080661.5413786126</v>
      </c>
      <c r="P45" s="279">
        <f t="shared" ca="1" si="13"/>
        <v>2400</v>
      </c>
      <c r="Q45" s="279">
        <f t="shared" ca="1" si="4"/>
        <v>52033.077068930637</v>
      </c>
      <c r="R45" s="279">
        <f t="shared" ca="1" si="14"/>
        <v>1135094.6184475434</v>
      </c>
      <c r="T45" s="279">
        <f ca="1">IF(B45&lt;$BH$31,IF(B45&lt;=35,$BH$4,IF(B46&lt;=45,$BH$5,IF(B46&lt;=50,$BH$6,IF(B46&lt;=55,$BH$7,IF(B46&lt;=60,$BH$8,IF(B46&lt;=65,$BH$9,IF(B46&lt;=70,$BH$10,$BH$11)))))))*'Retirement Dashboard'!$C$12,0)</f>
        <v>0</v>
      </c>
      <c r="U45" s="279">
        <f t="shared" ca="1" si="5"/>
        <v>0</v>
      </c>
      <c r="V45" s="279">
        <f t="shared" ca="1" si="6"/>
        <v>0</v>
      </c>
      <c r="W45" s="279">
        <f t="shared" ca="1" si="19"/>
        <v>241936.5512558716</v>
      </c>
      <c r="X45" s="279">
        <f t="shared" ca="1" si="7"/>
        <v>1200</v>
      </c>
      <c r="Y45" s="279">
        <f t="shared" ca="1" si="8"/>
        <v>5548.41378139679</v>
      </c>
      <c r="Z45" s="279">
        <f t="shared" ca="1" si="20"/>
        <v>248684.96503726838</v>
      </c>
      <c r="AA45" s="270"/>
      <c r="AB45" s="270"/>
      <c r="AC45" s="270"/>
      <c r="AD45" s="270"/>
      <c r="AE45" s="270"/>
      <c r="AF45" s="270"/>
      <c r="AG45" s="270"/>
      <c r="AH45" s="270"/>
      <c r="AI45" s="270"/>
      <c r="AJ45" s="270"/>
      <c r="AM45" s="302"/>
      <c r="AR45" s="321">
        <v>55</v>
      </c>
      <c r="AS45" s="248">
        <f ca="1">VLOOKUP($AR$45,$B$3:$Z$56,10,)</f>
        <v>62168.789838134166</v>
      </c>
      <c r="AT45" s="248">
        <f ca="1">VLOOKUP(AR45,$B$3:$Z$56,25,)</f>
        <v>56006.298602328119</v>
      </c>
      <c r="AU45" s="248">
        <f ca="1">VLOOKUP(AR45,$B$3:$Z$56,17,)</f>
        <v>100550.71270860001</v>
      </c>
      <c r="AV45" s="248">
        <f ca="1">AU45+AT45</f>
        <v>156557.01131092812</v>
      </c>
      <c r="AW45" s="248">
        <f ca="1">VLOOKUP(AR45,$AR$5:$AY$41,3,)</f>
        <v>279002.97767372825</v>
      </c>
      <c r="AX45" s="248">
        <f ca="1">VLOOKUP(AR45,$AR$5:$AY$41,4,)</f>
        <v>558167.74309907923</v>
      </c>
      <c r="AY45" s="248">
        <f ca="1">VLOOKUP(AR45,$AR$5:$AY$41,5,)</f>
        <v>1116335.4861981585</v>
      </c>
      <c r="AZ45" s="248"/>
      <c r="BA45" s="248"/>
      <c r="BB45" s="270"/>
      <c r="BD45" s="270"/>
      <c r="BE45" s="270"/>
      <c r="BF45" s="270"/>
      <c r="BG45" s="247" t="s">
        <v>173</v>
      </c>
      <c r="BH45" s="308">
        <f ca="1">IF(AS51="Yes",AT51,0)</f>
        <v>0</v>
      </c>
      <c r="BI45" s="248"/>
      <c r="BJ45" s="248"/>
    </row>
    <row r="46" spans="2:62" ht="53" customHeight="1" x14ac:dyDescent="0.35">
      <c r="B46" s="275">
        <f t="shared" ca="1" si="15"/>
        <v>93</v>
      </c>
      <c r="C46" s="279">
        <f t="shared" ca="1" si="11"/>
        <v>0</v>
      </c>
      <c r="D46" s="279">
        <f t="shared" ca="1" si="0"/>
        <v>2055</v>
      </c>
      <c r="E46" s="279">
        <f t="shared" ca="1" si="1"/>
        <v>900</v>
      </c>
      <c r="F46" s="279">
        <f ca="1">IF(AND('Retirement Dashboard'!$C$42="Yes", B46&lt;= 'Retirement Dashboard'!$E$42), 600, 0)</f>
        <v>0</v>
      </c>
      <c r="G46" s="279">
        <f ca="1">IF(B46&lt;'Retirement Dashboard'!$E$6,IF(B46&lt;=35,$BJ$4,IF(B46&lt;=45,$BJ$5,IF(B46&lt;=50,$BJ$6,IF(B46&lt;=55,$BJ$7,IF(B46&lt;=60,$BJ$8,IF(B46&lt;=65,$BJ$9,IF(B46&lt;=70,$BJ$10,$BJ$11)))))))*'Retirement Dashboard'!$C$12,0)</f>
        <v>0</v>
      </c>
      <c r="H46" s="279">
        <f t="shared" ca="1" si="16"/>
        <v>72307.58952142029</v>
      </c>
      <c r="I46" s="279">
        <f t="shared" ca="1" si="2"/>
        <v>2892.3035808568115</v>
      </c>
      <c r="J46" s="279">
        <f t="shared" ca="1" si="3"/>
        <v>0</v>
      </c>
      <c r="K46" s="279">
        <f t="shared" ca="1" si="17"/>
        <v>75199.893102277099</v>
      </c>
      <c r="L46" s="248"/>
      <c r="M46" s="280">
        <f t="shared" ca="1" si="12"/>
        <v>0</v>
      </c>
      <c r="N46" s="279">
        <f ca="1">IF(B46&lt;$BH$31,IF(B47&lt;=35,$BI$4,IF(B47&lt;=45,$BI$5,IF(B47&lt;=50,$BI$6,IF(B47&lt;=55,$BI$7,IF(B47&lt;=60,$BI$8,IF(B47&lt;=65,$BI$9,IF(B47&lt;=70,$BI$10,$BI$11)))))))*'Retirement Dashboard'!$C$12,0)</f>
        <v>0</v>
      </c>
      <c r="O46" s="279">
        <f t="shared" ca="1" si="18"/>
        <v>1135094.6184475434</v>
      </c>
      <c r="P46" s="279">
        <f t="shared" ca="1" si="13"/>
        <v>2400</v>
      </c>
      <c r="Q46" s="279">
        <f t="shared" ca="1" si="4"/>
        <v>54754.730922377174</v>
      </c>
      <c r="R46" s="279">
        <f t="shared" ca="1" si="14"/>
        <v>1192249.3493699206</v>
      </c>
      <c r="T46" s="279">
        <f ca="1">IF(B46&lt;$BH$31,IF(B46&lt;=35,$BH$4,IF(B47&lt;=45,$BH$5,IF(B47&lt;=50,$BH$6,IF(B47&lt;=55,$BH$7,IF(B47&lt;=60,$BH$8,IF(B47&lt;=65,$BH$9,IF(B47&lt;=70,$BH$10,$BH$11)))))))*'Retirement Dashboard'!$C$12,0)</f>
        <v>0</v>
      </c>
      <c r="U46" s="279">
        <f t="shared" ca="1" si="5"/>
        <v>0</v>
      </c>
      <c r="V46" s="279">
        <f t="shared" ca="1" si="6"/>
        <v>0</v>
      </c>
      <c r="W46" s="279">
        <f t="shared" ca="1" si="19"/>
        <v>248684.96503726838</v>
      </c>
      <c r="X46" s="279">
        <f t="shared" ca="1" si="7"/>
        <v>1200</v>
      </c>
      <c r="Y46" s="279">
        <f t="shared" ca="1" si="8"/>
        <v>5717.1241259317103</v>
      </c>
      <c r="Z46" s="279">
        <f t="shared" ca="1" si="20"/>
        <v>255602.08916320009</v>
      </c>
      <c r="AA46" s="270"/>
      <c r="AB46" s="270"/>
      <c r="AC46" s="270"/>
      <c r="AD46" s="270"/>
      <c r="AE46" s="270"/>
      <c r="AF46" s="270"/>
      <c r="AG46" s="270"/>
      <c r="AH46" s="270"/>
      <c r="AI46" s="270"/>
      <c r="AJ46" s="270"/>
      <c r="AR46" s="321">
        <v>65</v>
      </c>
      <c r="AS46" s="248">
        <f ca="1">VLOOKUP($AR$46,$B$59:$Z$106,10,)</f>
        <v>75500</v>
      </c>
      <c r="AT46" s="248">
        <f ca="1">VLOOKUP(AR46,$B$3:$Z$56,25,)</f>
        <v>115199.08087140747</v>
      </c>
      <c r="AU46" s="248">
        <f ca="1">VLOOKUP(AR46,$B$3:$Z$56,17,)</f>
        <v>289508.24615888816</v>
      </c>
      <c r="AV46" s="248">
        <f t="shared" ref="AV46:AV47" ca="1" si="37">AU46+AT46</f>
        <v>404707.32703029562</v>
      </c>
      <c r="AW46" s="248"/>
      <c r="AX46" s="248"/>
      <c r="BB46" s="270"/>
      <c r="BD46" s="270"/>
      <c r="BE46" s="270"/>
      <c r="BF46" s="270"/>
      <c r="BH46" s="322"/>
      <c r="BI46" s="248"/>
      <c r="BJ46" s="248"/>
    </row>
    <row r="47" spans="2:62" ht="53" customHeight="1" x14ac:dyDescent="0.35">
      <c r="B47" s="275">
        <f t="shared" ca="1" si="15"/>
        <v>94</v>
      </c>
      <c r="C47" s="279">
        <f t="shared" ca="1" si="11"/>
        <v>0</v>
      </c>
      <c r="D47" s="279">
        <f t="shared" ca="1" si="0"/>
        <v>2055</v>
      </c>
      <c r="E47" s="279">
        <f t="shared" ca="1" si="1"/>
        <v>900</v>
      </c>
      <c r="F47" s="279">
        <f ca="1">IF(AND('Retirement Dashboard'!$C$42="Yes", B47&lt;= 'Retirement Dashboard'!$E$42), 600, 0)</f>
        <v>0</v>
      </c>
      <c r="G47" s="279">
        <f ca="1">IF(B47&lt;'Retirement Dashboard'!$E$6,IF(B47&lt;=35,$BJ$4,IF(B47&lt;=45,$BJ$5,IF(B47&lt;=50,$BJ$6,IF(B47&lt;=55,$BJ$7,IF(B47&lt;=60,$BJ$8,IF(B47&lt;=65,$BJ$9,IF(B47&lt;=70,$BJ$10,$BJ$11)))))))*'Retirement Dashboard'!$C$12,0)</f>
        <v>0</v>
      </c>
      <c r="H47" s="279">
        <f t="shared" ca="1" si="16"/>
        <v>72244.893102277099</v>
      </c>
      <c r="I47" s="279">
        <f t="shared" ca="1" si="2"/>
        <v>2889.7957240910841</v>
      </c>
      <c r="J47" s="279">
        <f t="shared" ca="1" si="3"/>
        <v>0</v>
      </c>
      <c r="K47" s="279">
        <f t="shared" ca="1" si="17"/>
        <v>75134.68882636819</v>
      </c>
      <c r="L47" s="248"/>
      <c r="M47" s="280">
        <f t="shared" ca="1" si="12"/>
        <v>0</v>
      </c>
      <c r="N47" s="279">
        <f ca="1">IF(B47&lt;$BH$31,IF(B48&lt;=35,$BI$4,IF(B48&lt;=45,$BI$5,IF(B48&lt;=50,$BI$6,IF(B48&lt;=55,$BI$7,IF(B48&lt;=60,$BI$8,IF(B48&lt;=65,$BI$9,IF(B48&lt;=70,$BI$10,$BI$11)))))))*'Retirement Dashboard'!$C$12,0)</f>
        <v>0</v>
      </c>
      <c r="O47" s="279">
        <f t="shared" ca="1" si="18"/>
        <v>1192249.3493699206</v>
      </c>
      <c r="P47" s="279">
        <f t="shared" ca="1" si="13"/>
        <v>2400</v>
      </c>
      <c r="Q47" s="279">
        <f t="shared" ca="1" si="4"/>
        <v>57612.467468496034</v>
      </c>
      <c r="R47" s="279">
        <f t="shared" ca="1" si="14"/>
        <v>1252261.8168384165</v>
      </c>
      <c r="T47" s="279">
        <f ca="1">IF(B47&lt;$BH$31,IF(B47&lt;=35,$BH$4,IF(B48&lt;=45,$BH$5,IF(B48&lt;=50,$BH$6,IF(B48&lt;=55,$BH$7,IF(B48&lt;=60,$BH$8,IF(B48&lt;=65,$BH$9,IF(B48&lt;=70,$BH$10,$BH$11)))))))*'Retirement Dashboard'!$C$12,0)</f>
        <v>0</v>
      </c>
      <c r="U47" s="279">
        <f t="shared" ca="1" si="5"/>
        <v>0</v>
      </c>
      <c r="V47" s="279">
        <f t="shared" ca="1" si="6"/>
        <v>0</v>
      </c>
      <c r="W47" s="279">
        <f t="shared" ca="1" si="19"/>
        <v>255602.08916320009</v>
      </c>
      <c r="X47" s="279">
        <f t="shared" ca="1" si="7"/>
        <v>1200</v>
      </c>
      <c r="Y47" s="279">
        <f t="shared" ca="1" si="8"/>
        <v>5890.0522290800027</v>
      </c>
      <c r="Z47" s="279">
        <f t="shared" ca="1" si="20"/>
        <v>262692.14139228011</v>
      </c>
      <c r="AA47" s="270"/>
      <c r="AB47" s="270"/>
      <c r="AC47" s="270"/>
      <c r="AD47" s="270"/>
      <c r="AE47" s="270"/>
      <c r="AF47" s="270"/>
      <c r="AG47" s="270"/>
      <c r="AH47" s="270"/>
      <c r="AI47" s="270"/>
      <c r="AJ47" s="270"/>
      <c r="AR47" s="321">
        <v>75</v>
      </c>
      <c r="AS47" s="248">
        <f ca="1">VLOOKUP($AR$47,$B$59:$Z$106,10,)</f>
        <v>75500</v>
      </c>
      <c r="AT47" s="248">
        <f ca="1">VLOOKUP(AR47,$B$3:$Z$56,25,)</f>
        <v>153835.99138934701</v>
      </c>
      <c r="AU47" s="248">
        <f ca="1">VLOOKUP(AR47,$B$3:$Z$56,17,)</f>
        <v>487732.55102037522</v>
      </c>
      <c r="AV47" s="248">
        <f t="shared" ca="1" si="37"/>
        <v>641568.54240972223</v>
      </c>
      <c r="AW47" s="248"/>
      <c r="AX47" s="248"/>
      <c r="BB47" s="270"/>
      <c r="BD47" s="270"/>
      <c r="BE47" s="270"/>
      <c r="BF47" s="270"/>
      <c r="BG47" s="247" t="s">
        <v>304</v>
      </c>
      <c r="BH47" s="323">
        <v>0</v>
      </c>
      <c r="BJ47" s="248"/>
    </row>
    <row r="48" spans="2:62" ht="53" customHeight="1" x14ac:dyDescent="0.35">
      <c r="B48" s="275">
        <f t="shared" ca="1" si="15"/>
        <v>95</v>
      </c>
      <c r="C48" s="279">
        <f t="shared" ca="1" si="11"/>
        <v>0</v>
      </c>
      <c r="D48" s="279">
        <f t="shared" ca="1" si="0"/>
        <v>2055</v>
      </c>
      <c r="E48" s="279">
        <f t="shared" ca="1" si="1"/>
        <v>900</v>
      </c>
      <c r="F48" s="279">
        <f ca="1">IF(AND('Retirement Dashboard'!$C$42="Yes", B48&lt;= 'Retirement Dashboard'!$E$42), 600, 0)</f>
        <v>0</v>
      </c>
      <c r="G48" s="279">
        <f ca="1">IF(B48&lt;'Retirement Dashboard'!$E$6,IF(B48&lt;=35,$BJ$4,IF(B48&lt;=45,$BJ$5,IF(B48&lt;=50,$BJ$6,IF(B48&lt;=55,$BJ$7,IF(B48&lt;=60,$BJ$8,IF(B48&lt;=65,$BJ$9,IF(B48&lt;=70,$BJ$10,$BJ$11)))))))*'Retirement Dashboard'!$C$12,0)</f>
        <v>0</v>
      </c>
      <c r="H48" s="279">
        <f t="shared" ca="1" si="16"/>
        <v>72179.68882636819</v>
      </c>
      <c r="I48" s="279">
        <f t="shared" ca="1" si="2"/>
        <v>2887.1875530547277</v>
      </c>
      <c r="J48" s="279">
        <f t="shared" ca="1" si="3"/>
        <v>0</v>
      </c>
      <c r="K48" s="279">
        <f t="shared" ca="1" si="17"/>
        <v>75066.876379422916</v>
      </c>
      <c r="L48" s="324"/>
      <c r="M48" s="280">
        <f t="shared" ca="1" si="12"/>
        <v>0</v>
      </c>
      <c r="N48" s="279">
        <f ca="1">IF(B48&lt;$BH$31,IF(B49&lt;=35,$BI$4,IF(B49&lt;=45,$BI$5,IF(B49&lt;=50,$BI$6,IF(B49&lt;=55,$BI$7,IF(B49&lt;=60,$BI$8,IF(B49&lt;=65,$BI$9,IF(B49&lt;=70,$BI$10,$BI$11)))))))*'Retirement Dashboard'!$C$12,0)</f>
        <v>0</v>
      </c>
      <c r="O48" s="279">
        <f t="shared" ca="1" si="18"/>
        <v>1252261.8168384165</v>
      </c>
      <c r="P48" s="279">
        <f t="shared" ca="1" si="13"/>
        <v>2400</v>
      </c>
      <c r="Q48" s="279">
        <f t="shared" ca="1" si="4"/>
        <v>60613.090841920828</v>
      </c>
      <c r="R48" s="279">
        <f t="shared" ca="1" si="14"/>
        <v>1315274.9076803373</v>
      </c>
      <c r="T48" s="279">
        <f ca="1">IF(B48&lt;$BH$31,IF(B48&lt;=35,$BH$4,IF(B49&lt;=45,$BH$5,IF(B49&lt;=50,$BH$6,IF(B49&lt;=55,$BH$7,IF(B49&lt;=60,$BH$8,IF(B49&lt;=65,$BH$9,IF(B49&lt;=70,$BH$10,$BH$11)))))))*'Retirement Dashboard'!$C$12,0)</f>
        <v>0</v>
      </c>
      <c r="U48" s="279">
        <f t="shared" ca="1" si="5"/>
        <v>0</v>
      </c>
      <c r="V48" s="279">
        <f t="shared" ca="1" si="6"/>
        <v>0</v>
      </c>
      <c r="W48" s="279">
        <f t="shared" ca="1" si="19"/>
        <v>262692.14139228011</v>
      </c>
      <c r="X48" s="279">
        <f t="shared" ca="1" si="7"/>
        <v>1200</v>
      </c>
      <c r="Y48" s="279">
        <f t="shared" ca="1" si="8"/>
        <v>6067.3035348070034</v>
      </c>
      <c r="Z48" s="279">
        <f t="shared" ca="1" si="20"/>
        <v>269959.44492708711</v>
      </c>
      <c r="AA48" s="270"/>
      <c r="AB48" s="270"/>
      <c r="AC48" s="270"/>
      <c r="AD48" s="270"/>
      <c r="AE48" s="270"/>
      <c r="AF48" s="270"/>
      <c r="AG48" s="270"/>
      <c r="AH48" s="270"/>
      <c r="AI48" s="270"/>
      <c r="AJ48" s="270"/>
      <c r="AR48" s="321">
        <f>'[10]Retirement Dashboard'!E40</f>
        <v>90</v>
      </c>
      <c r="AS48" s="248">
        <f ca="1">VLOOKUP($AR$47,$B$59:$Z$106,10,)</f>
        <v>75500</v>
      </c>
      <c r="AT48" s="248">
        <f ca="1">VLOOKUP(AR48,$B$3:$Z$56,25,)</f>
        <v>235352.73293255767</v>
      </c>
      <c r="AU48" s="248">
        <f ca="1">VLOOKUP(AR48,$B$3:$Z$56,17,)</f>
        <v>1028820.5155986786</v>
      </c>
      <c r="AV48" s="248"/>
      <c r="AW48" s="249"/>
      <c r="AY48" s="325"/>
      <c r="AZ48" s="325"/>
      <c r="BA48" s="325"/>
      <c r="BB48" s="270"/>
      <c r="BD48" s="270"/>
      <c r="BE48" s="270"/>
      <c r="BF48" s="270"/>
      <c r="BG48" s="247" t="s">
        <v>305</v>
      </c>
      <c r="BH48" s="248" cm="1">
        <f t="array" ref="BH48:BJ48">'[10]Retirement Dashboard'!D42:F42*12</f>
        <v>24000</v>
      </c>
      <c r="BI48" s="302">
        <v>0</v>
      </c>
      <c r="BJ48" s="302">
        <v>0</v>
      </c>
    </row>
    <row r="49" spans="1:62" ht="53" customHeight="1" x14ac:dyDescent="0.35">
      <c r="B49" s="275">
        <f t="shared" ca="1" si="15"/>
        <v>96</v>
      </c>
      <c r="C49" s="279">
        <f t="shared" ca="1" si="11"/>
        <v>0</v>
      </c>
      <c r="D49" s="279">
        <f t="shared" ca="1" si="0"/>
        <v>2055</v>
      </c>
      <c r="E49" s="279">
        <f t="shared" ca="1" si="1"/>
        <v>900</v>
      </c>
      <c r="F49" s="279">
        <f ca="1">IF(AND('Retirement Dashboard'!$C$42="Yes", B49&lt;= 'Retirement Dashboard'!$E$42), 600, 0)</f>
        <v>0</v>
      </c>
      <c r="G49" s="279">
        <f ca="1">IF(B49&lt;'Retirement Dashboard'!$E$6,IF(B49&lt;=35,$BJ$4,IF(B49&lt;=45,$BJ$5,IF(B49&lt;=50,$BJ$6,IF(B49&lt;=55,$BJ$7,IF(B49&lt;=60,$BJ$8,IF(B49&lt;=65,$BJ$9,IF(B49&lt;=70,$BJ$10,$BJ$11)))))))*'Retirement Dashboard'!$C$12,0)</f>
        <v>0</v>
      </c>
      <c r="H49" s="279">
        <f t="shared" ca="1" si="16"/>
        <v>72111.876379422916</v>
      </c>
      <c r="I49" s="279">
        <f t="shared" ca="1" si="2"/>
        <v>2884.4750551769166</v>
      </c>
      <c r="J49" s="279">
        <f t="shared" ca="1" si="3"/>
        <v>0</v>
      </c>
      <c r="K49" s="279">
        <f t="shared" ca="1" si="17"/>
        <v>74996.351434599826</v>
      </c>
      <c r="L49" s="324"/>
      <c r="M49" s="280">
        <f t="shared" ca="1" si="12"/>
        <v>0</v>
      </c>
      <c r="N49" s="279">
        <f ca="1">IF(B49&lt;$BH$31,IF(B50&lt;=35,$BI$4,IF(B50&lt;=45,$BI$5,IF(B50&lt;=50,$BI$6,IF(B50&lt;=55,$BI$7,IF(B50&lt;=60,$BI$8,IF(B50&lt;=65,$BI$9,IF(B50&lt;=70,$BI$10,$BI$11)))))))*'Retirement Dashboard'!$C$12,0)</f>
        <v>0</v>
      </c>
      <c r="O49" s="279">
        <f t="shared" ca="1" si="18"/>
        <v>1315274.9076803373</v>
      </c>
      <c r="P49" s="279">
        <f t="shared" ca="1" si="13"/>
        <v>2400</v>
      </c>
      <c r="Q49" s="279">
        <f t="shared" ca="1" si="4"/>
        <v>63763.745384016867</v>
      </c>
      <c r="R49" s="279">
        <f t="shared" ca="1" si="14"/>
        <v>1381438.6530643541</v>
      </c>
      <c r="T49" s="279">
        <f ca="1">IF(B49&lt;$BH$31,IF(B49&lt;=35,$BH$4,IF(B50&lt;=45,$BH$5,IF(B50&lt;=50,$BH$6,IF(B50&lt;=55,$BH$7,IF(B50&lt;=60,$BH$8,IF(B50&lt;=65,$BH$9,IF(B50&lt;=70,$BH$10,$BH$11)))))))*'Retirement Dashboard'!$C$12,0)</f>
        <v>0</v>
      </c>
      <c r="U49" s="279">
        <f t="shared" ca="1" si="5"/>
        <v>0</v>
      </c>
      <c r="V49" s="279">
        <f t="shared" ca="1" si="6"/>
        <v>0</v>
      </c>
      <c r="W49" s="279">
        <f t="shared" ca="1" si="19"/>
        <v>269959.44492708711</v>
      </c>
      <c r="X49" s="279">
        <f t="shared" ca="1" si="7"/>
        <v>1200</v>
      </c>
      <c r="Y49" s="279">
        <f t="shared" ca="1" si="8"/>
        <v>6248.9861231771783</v>
      </c>
      <c r="Z49" s="279">
        <f t="shared" ca="1" si="20"/>
        <v>277408.43105026428</v>
      </c>
      <c r="AA49" s="270"/>
      <c r="AB49" s="270"/>
      <c r="AC49" s="270"/>
      <c r="AD49" s="270"/>
      <c r="AE49" s="270"/>
      <c r="AF49" s="270"/>
      <c r="AG49" s="270"/>
      <c r="AH49" s="270"/>
      <c r="AI49" s="270"/>
      <c r="AJ49" s="270"/>
      <c r="AR49" s="326" t="s">
        <v>173</v>
      </c>
      <c r="AS49" s="326"/>
      <c r="AT49" s="326"/>
      <c r="AU49" s="326"/>
      <c r="AV49" s="326"/>
      <c r="AW49" s="249"/>
      <c r="AY49" s="325"/>
      <c r="AZ49" s="325"/>
      <c r="BA49" s="325"/>
      <c r="BB49" s="270"/>
      <c r="BD49" s="270"/>
      <c r="BE49" s="270"/>
      <c r="BF49" s="270"/>
      <c r="BH49" s="323"/>
      <c r="BI49" s="302"/>
      <c r="BJ49" s="302"/>
    </row>
    <row r="50" spans="1:62" ht="53" customHeight="1" x14ac:dyDescent="0.35">
      <c r="B50" s="275">
        <f t="shared" ca="1" si="15"/>
        <v>97</v>
      </c>
      <c r="C50" s="279">
        <f t="shared" ca="1" si="11"/>
        <v>0</v>
      </c>
      <c r="D50" s="279">
        <f t="shared" ca="1" si="0"/>
        <v>2055</v>
      </c>
      <c r="E50" s="279">
        <f t="shared" ca="1" si="1"/>
        <v>900</v>
      </c>
      <c r="F50" s="279">
        <f ca="1">IF(AND('Retirement Dashboard'!$C$42="Yes", B50&lt;= 'Retirement Dashboard'!$E$42), 600, 0)</f>
        <v>0</v>
      </c>
      <c r="G50" s="279">
        <f ca="1">IF(B50&lt;'Retirement Dashboard'!$E$6,IF(B50&lt;=35,$BJ$4,IF(B50&lt;=45,$BJ$5,IF(B50&lt;=50,$BJ$6,IF(B50&lt;=55,$BJ$7,IF(B50&lt;=60,$BJ$8,IF(B50&lt;=65,$BJ$9,IF(B50&lt;=70,$BJ$10,$BJ$11)))))))*'Retirement Dashboard'!$C$12,0)</f>
        <v>0</v>
      </c>
      <c r="H50" s="279">
        <f t="shared" ca="1" si="16"/>
        <v>72041.351434599826</v>
      </c>
      <c r="I50" s="279">
        <f t="shared" ca="1" si="2"/>
        <v>2881.6540573839929</v>
      </c>
      <c r="J50" s="279">
        <f t="shared" ca="1" si="3"/>
        <v>0</v>
      </c>
      <c r="K50" s="279">
        <f t="shared" ca="1" si="17"/>
        <v>74923.005491983815</v>
      </c>
      <c r="L50" s="324"/>
      <c r="M50" s="280">
        <f t="shared" ca="1" si="12"/>
        <v>0</v>
      </c>
      <c r="N50" s="279">
        <f ca="1">IF(B50&lt;$BH$31,IF(B51&lt;=35,$BI$4,IF(B51&lt;=45,$BI$5,IF(B51&lt;=50,$BI$6,IF(B51&lt;=55,$BI$7,IF(B51&lt;=60,$BI$8,IF(B51&lt;=65,$BI$9,IF(B51&lt;=70,$BI$10,$BI$11)))))))*'Retirement Dashboard'!$C$12,0)</f>
        <v>0</v>
      </c>
      <c r="O50" s="279">
        <f t="shared" ca="1" si="18"/>
        <v>1381438.6530643541</v>
      </c>
      <c r="P50" s="279">
        <f t="shared" ca="1" si="13"/>
        <v>2400</v>
      </c>
      <c r="Q50" s="279">
        <f t="shared" ca="1" si="4"/>
        <v>67071.932653217707</v>
      </c>
      <c r="R50" s="279">
        <f t="shared" ca="1" si="14"/>
        <v>1450910.5857175719</v>
      </c>
      <c r="T50" s="279">
        <f ca="1">IF(B50&lt;$BH$31,IF(B50&lt;=35,$BH$4,IF(B51&lt;=45,$BH$5,IF(B51&lt;=50,$BH$6,IF(B51&lt;=55,$BH$7,IF(B51&lt;=60,$BH$8,IF(B51&lt;=65,$BH$9,IF(B51&lt;=70,$BH$10,$BH$11)))))))*'Retirement Dashboard'!$C$12,0)</f>
        <v>0</v>
      </c>
      <c r="U50" s="279">
        <f t="shared" ca="1" si="5"/>
        <v>0</v>
      </c>
      <c r="V50" s="279">
        <f t="shared" ca="1" si="6"/>
        <v>0</v>
      </c>
      <c r="W50" s="279">
        <f t="shared" ca="1" si="19"/>
        <v>277408.43105026428</v>
      </c>
      <c r="X50" s="279">
        <f t="shared" ca="1" si="7"/>
        <v>1200</v>
      </c>
      <c r="Y50" s="279">
        <f t="shared" ca="1" si="8"/>
        <v>6435.2107762566075</v>
      </c>
      <c r="Z50" s="279">
        <f t="shared" ca="1" si="20"/>
        <v>285043.64182652091</v>
      </c>
      <c r="AA50" s="270"/>
      <c r="AB50" s="270"/>
      <c r="AC50" s="270"/>
      <c r="AD50" s="270"/>
      <c r="AE50" s="270"/>
      <c r="AF50" s="270"/>
      <c r="AG50" s="270"/>
      <c r="AH50" s="270"/>
      <c r="AI50" s="270"/>
      <c r="AJ50" s="270"/>
      <c r="AR50" s="248" t="s">
        <v>306</v>
      </c>
      <c r="AS50" s="248" t="str">
        <f ca="1">IF($AV$45&gt;=AX45,"Yes","No")</f>
        <v>No</v>
      </c>
      <c r="AT50" s="248">
        <f ca="1">VLOOKUP($AR$45,$AR$4:$AY$41,6,)</f>
        <v>1670</v>
      </c>
      <c r="AW50" s="249"/>
      <c r="AY50" s="325"/>
      <c r="AZ50" s="325"/>
      <c r="BA50" s="325"/>
      <c r="BB50" s="270"/>
      <c r="BD50" s="270"/>
      <c r="BE50" s="270"/>
      <c r="BF50" s="270"/>
      <c r="BG50" s="247" t="s">
        <v>307</v>
      </c>
      <c r="BH50" s="323">
        <f ca="1">BH39*BH35</f>
        <v>645.15049999999985</v>
      </c>
      <c r="BI50" s="302"/>
      <c r="BJ50" s="302"/>
    </row>
    <row r="51" spans="1:62" ht="53" customHeight="1" x14ac:dyDescent="0.35">
      <c r="B51" s="275">
        <f t="shared" ca="1" si="15"/>
        <v>98</v>
      </c>
      <c r="C51" s="279">
        <f t="shared" ca="1" si="11"/>
        <v>0</v>
      </c>
      <c r="D51" s="279">
        <f t="shared" ca="1" si="0"/>
        <v>2055</v>
      </c>
      <c r="E51" s="279">
        <f t="shared" ca="1" si="1"/>
        <v>900</v>
      </c>
      <c r="F51" s="279">
        <f ca="1">IF(AND('Retirement Dashboard'!$C$42="Yes", B51&lt;= 'Retirement Dashboard'!$E$42), 600, 0)</f>
        <v>0</v>
      </c>
      <c r="G51" s="279">
        <f ca="1">IF(B51&lt;'Retirement Dashboard'!$E$6,IF(B51&lt;=35,$BJ$4,IF(B51&lt;=45,$BJ$5,IF(B51&lt;=50,$BJ$6,IF(B51&lt;=55,$BJ$7,IF(B51&lt;=60,$BJ$8,IF(B51&lt;=65,$BJ$9,IF(B51&lt;=70,$BJ$10,$BJ$11)))))))*'Retirement Dashboard'!$C$12,0)</f>
        <v>0</v>
      </c>
      <c r="H51" s="279">
        <f t="shared" ca="1" si="16"/>
        <v>71968.005491983815</v>
      </c>
      <c r="I51" s="279">
        <f t="shared" ca="1" si="2"/>
        <v>2878.7202196793528</v>
      </c>
      <c r="J51" s="279">
        <f t="shared" ca="1" si="3"/>
        <v>0</v>
      </c>
      <c r="K51" s="279">
        <f t="shared" ca="1" si="17"/>
        <v>74846.725711663166</v>
      </c>
      <c r="L51" s="324"/>
      <c r="M51" s="280">
        <f t="shared" ca="1" si="12"/>
        <v>0</v>
      </c>
      <c r="N51" s="279">
        <f ca="1">IF(B51&lt;$BH$31,IF(B52&lt;=35,$BI$4,IF(B52&lt;=45,$BI$5,IF(B52&lt;=50,$BI$6,IF(B52&lt;=55,$BI$7,IF(B52&lt;=60,$BI$8,IF(B52&lt;=65,$BI$9,IF(B52&lt;=70,$BI$10,$BI$11)))))))*'Retirement Dashboard'!$C$12,0)</f>
        <v>0</v>
      </c>
      <c r="O51" s="279">
        <f t="shared" ca="1" si="18"/>
        <v>1450910.5857175719</v>
      </c>
      <c r="P51" s="279">
        <f t="shared" ca="1" si="13"/>
        <v>2400</v>
      </c>
      <c r="Q51" s="279">
        <f t="shared" ca="1" si="4"/>
        <v>70545.529285878598</v>
      </c>
      <c r="R51" s="279">
        <f t="shared" ca="1" si="14"/>
        <v>1523856.1150034505</v>
      </c>
      <c r="T51" s="279">
        <f ca="1">IF(B51&lt;$BH$31,IF(B51&lt;=35,$BH$4,IF(B52&lt;=45,$BH$5,IF(B52&lt;=50,$BH$6,IF(B52&lt;=55,$BH$7,IF(B52&lt;=60,$BH$8,IF(B52&lt;=65,$BH$9,IF(B52&lt;=70,$BH$10,$BH$11)))))))*'Retirement Dashboard'!$C$12,0)</f>
        <v>0</v>
      </c>
      <c r="U51" s="279">
        <f t="shared" ca="1" si="5"/>
        <v>0</v>
      </c>
      <c r="V51" s="279">
        <f t="shared" ca="1" si="6"/>
        <v>0</v>
      </c>
      <c r="W51" s="279">
        <f t="shared" ca="1" si="19"/>
        <v>285043.64182652091</v>
      </c>
      <c r="X51" s="279">
        <f t="shared" ca="1" si="7"/>
        <v>1200</v>
      </c>
      <c r="Y51" s="279">
        <f t="shared" ca="1" si="8"/>
        <v>6626.0910456630227</v>
      </c>
      <c r="Z51" s="279">
        <f t="shared" ca="1" si="20"/>
        <v>292869.7328721839</v>
      </c>
      <c r="AA51" s="270"/>
      <c r="AB51" s="270"/>
      <c r="AC51" s="270"/>
      <c r="AD51" s="270"/>
      <c r="AE51" s="270"/>
      <c r="AF51" s="270"/>
      <c r="AG51" s="270"/>
      <c r="AH51" s="270"/>
      <c r="AI51" s="270"/>
      <c r="AJ51" s="270"/>
      <c r="AR51" s="248" t="s">
        <v>308</v>
      </c>
      <c r="AS51" s="248" t="str">
        <f ca="1">IF($AV$45&gt;=AX45,"Yes","No")</f>
        <v>No</v>
      </c>
      <c r="AT51" s="248">
        <f ca="1">VLOOKUP($AR$45,$AR$4:$AY$41,7,)</f>
        <v>3220</v>
      </c>
      <c r="AY51" s="325"/>
      <c r="AZ51" s="325"/>
      <c r="BA51" s="325"/>
      <c r="BB51" s="270"/>
      <c r="BD51" s="270"/>
      <c r="BE51" s="270"/>
      <c r="BF51" s="270"/>
      <c r="BG51" s="247" t="s">
        <v>309</v>
      </c>
      <c r="BH51" s="323">
        <f ca="1">BH40*BH35</f>
        <v>494.48279999999994</v>
      </c>
      <c r="BI51" s="302"/>
      <c r="BJ51" s="302"/>
    </row>
    <row r="52" spans="1:62" ht="53" customHeight="1" x14ac:dyDescent="0.35">
      <c r="B52" s="275">
        <f t="shared" ca="1" si="15"/>
        <v>99</v>
      </c>
      <c r="C52" s="279">
        <f t="shared" ca="1" si="11"/>
        <v>0</v>
      </c>
      <c r="D52" s="279">
        <f t="shared" ca="1" si="0"/>
        <v>2055</v>
      </c>
      <c r="E52" s="279">
        <f t="shared" ca="1" si="1"/>
        <v>900</v>
      </c>
      <c r="F52" s="279">
        <f ca="1">IF(AND('Retirement Dashboard'!$C$42="Yes", B52&lt;= 'Retirement Dashboard'!$E$42), 600, 0)</f>
        <v>0</v>
      </c>
      <c r="G52" s="279">
        <f ca="1">IF(B52&lt;'Retirement Dashboard'!$E$6,IF(B52&lt;=35,$BJ$4,IF(B52&lt;=45,$BJ$5,IF(B52&lt;=50,$BJ$6,IF(B52&lt;=55,$BJ$7,IF(B52&lt;=60,$BJ$8,IF(B52&lt;=65,$BJ$9,IF(B52&lt;=70,$BJ$10,$BJ$11)))))))*'Retirement Dashboard'!$C$12,0)</f>
        <v>0</v>
      </c>
      <c r="H52" s="279">
        <f t="shared" ca="1" si="16"/>
        <v>71891.725711663166</v>
      </c>
      <c r="I52" s="279">
        <f t="shared" ca="1" si="2"/>
        <v>2875.6690284665269</v>
      </c>
      <c r="J52" s="279">
        <f t="shared" ca="1" si="3"/>
        <v>0</v>
      </c>
      <c r="K52" s="279">
        <f t="shared" ca="1" si="17"/>
        <v>74767.39474012969</v>
      </c>
      <c r="L52" s="324"/>
      <c r="M52" s="280">
        <f t="shared" ca="1" si="12"/>
        <v>0</v>
      </c>
      <c r="N52" s="279">
        <f ca="1">IF(B52&lt;$BH$31,IF(B53&lt;=35,$BI$4,IF(B53&lt;=45,$BI$5,IF(B53&lt;=50,$BI$6,IF(B53&lt;=55,$BI$7,IF(B53&lt;=60,$BI$8,IF(B53&lt;=65,$BI$9,IF(B53&lt;=70,$BI$10,$BI$11)))))))*'Retirement Dashboard'!$C$12,0)</f>
        <v>0</v>
      </c>
      <c r="O52" s="279">
        <f t="shared" ca="1" si="18"/>
        <v>1523856.1150034505</v>
      </c>
      <c r="P52" s="279">
        <f t="shared" ca="1" si="13"/>
        <v>2400</v>
      </c>
      <c r="Q52" s="279">
        <f t="shared" ca="1" si="4"/>
        <v>74192.805750172527</v>
      </c>
      <c r="R52" s="279">
        <f t="shared" ca="1" si="14"/>
        <v>1600448.9207536231</v>
      </c>
      <c r="T52" s="279">
        <f ca="1">IF(B52&lt;$BH$31,IF(B52&lt;=35,$BH$4,IF(B53&lt;=45,$BH$5,IF(B53&lt;=50,$BH$6,IF(B53&lt;=55,$BH$7,IF(B53&lt;=60,$BH$8,IF(B53&lt;=65,$BH$9,IF(B53&lt;=70,$BH$10,$BH$11)))))))*'Retirement Dashboard'!$C$12,0)</f>
        <v>0</v>
      </c>
      <c r="U52" s="279">
        <f t="shared" ca="1" si="5"/>
        <v>0</v>
      </c>
      <c r="V52" s="279">
        <f t="shared" ca="1" si="6"/>
        <v>0</v>
      </c>
      <c r="W52" s="279">
        <f t="shared" ca="1" si="19"/>
        <v>292869.7328721839</v>
      </c>
      <c r="X52" s="279">
        <f t="shared" ca="1" si="7"/>
        <v>1200</v>
      </c>
      <c r="Y52" s="279">
        <f t="shared" ca="1" si="8"/>
        <v>6821.7433218045981</v>
      </c>
      <c r="Z52" s="279">
        <f t="shared" ca="1" si="20"/>
        <v>300891.47619398852</v>
      </c>
      <c r="AA52" s="270"/>
      <c r="AB52" s="270"/>
      <c r="AC52" s="270"/>
      <c r="AD52" s="270"/>
      <c r="AE52" s="270"/>
      <c r="AF52" s="270"/>
      <c r="AG52" s="270"/>
      <c r="AH52" s="270"/>
      <c r="AI52" s="270"/>
      <c r="AJ52" s="270"/>
      <c r="AR52" s="248" t="s">
        <v>310</v>
      </c>
      <c r="AS52" s="248" t="str">
        <f ca="1">IF($AV$45&gt;=AY45,"Yes","No")</f>
        <v>No</v>
      </c>
      <c r="AT52" s="248">
        <f ca="1">VLOOKUP($AR$45,$AR$4:$AY$41,8,)</f>
        <v>8278.082555793233</v>
      </c>
      <c r="AV52" s="248"/>
      <c r="AW52" s="248"/>
      <c r="AX52" s="248"/>
      <c r="AY52" s="327"/>
      <c r="AZ52" s="327"/>
      <c r="BA52" s="327"/>
      <c r="BB52" s="270"/>
      <c r="BD52" s="270"/>
      <c r="BE52" s="270"/>
      <c r="BF52" s="270"/>
      <c r="BG52" s="247" t="s">
        <v>311</v>
      </c>
      <c r="BH52" s="323">
        <f ca="1">BH41*BH35</f>
        <v>451.36670000000004</v>
      </c>
      <c r="BI52" s="302"/>
      <c r="BJ52" s="302"/>
    </row>
    <row r="53" spans="1:62" ht="53" customHeight="1" x14ac:dyDescent="0.35">
      <c r="B53" s="275">
        <f t="shared" ca="1" si="15"/>
        <v>100</v>
      </c>
      <c r="C53" s="279">
        <f t="shared" ca="1" si="11"/>
        <v>0</v>
      </c>
      <c r="D53" s="279">
        <f t="shared" ca="1" si="0"/>
        <v>2055</v>
      </c>
      <c r="E53" s="279">
        <f t="shared" ca="1" si="1"/>
        <v>900</v>
      </c>
      <c r="F53" s="279">
        <f ca="1">IF(AND('Retirement Dashboard'!$C$42="Yes", B53&lt;= 'Retirement Dashboard'!$E$42), 600, 0)</f>
        <v>0</v>
      </c>
      <c r="G53" s="279">
        <f ca="1">IF(B53&lt;'Retirement Dashboard'!$E$6,IF(B53&lt;=35,$BJ$4,IF(B53&lt;=45,$BJ$5,IF(B53&lt;=50,$BJ$6,IF(B53&lt;=55,$BJ$7,IF(B53&lt;=60,$BJ$8,IF(B53&lt;=65,$BJ$9,IF(B53&lt;=70,$BJ$10,$BJ$11)))))))*'Retirement Dashboard'!$C$12,0)</f>
        <v>0</v>
      </c>
      <c r="H53" s="279">
        <f t="shared" ca="1" si="16"/>
        <v>71812.39474012969</v>
      </c>
      <c r="I53" s="279">
        <f t="shared" ca="1" si="2"/>
        <v>2872.4957896051878</v>
      </c>
      <c r="J53" s="279">
        <f t="shared" ca="1" si="3"/>
        <v>0</v>
      </c>
      <c r="K53" s="279">
        <f t="shared" ca="1" si="17"/>
        <v>74684.890529734883</v>
      </c>
      <c r="L53" s="324"/>
      <c r="M53" s="280">
        <f t="shared" ca="1" si="12"/>
        <v>0</v>
      </c>
      <c r="N53" s="279">
        <f ca="1">IF(B53&lt;$BH$31,IF(B54&lt;=35,$BI$4,IF(B54&lt;=45,$BI$5,IF(B54&lt;=50,$BI$6,IF(B54&lt;=55,$BI$7,IF(B54&lt;=60,$BI$8,IF(B54&lt;=65,$BI$9,IF(B54&lt;=70,$BI$10,$BI$11)))))))*'Retirement Dashboard'!$C$12,0)</f>
        <v>0</v>
      </c>
      <c r="O53" s="279">
        <f t="shared" ca="1" si="18"/>
        <v>1600448.9207536231</v>
      </c>
      <c r="P53" s="279">
        <f t="shared" ca="1" si="13"/>
        <v>2400</v>
      </c>
      <c r="Q53" s="279">
        <f t="shared" ca="1" si="4"/>
        <v>78022.446037681162</v>
      </c>
      <c r="R53" s="279">
        <f t="shared" ca="1" si="14"/>
        <v>1680871.3667913042</v>
      </c>
      <c r="T53" s="279">
        <f ca="1">IF(B53&lt;$BH$31,IF(B53&lt;=35,$BH$4,IF(B54&lt;=45,$BH$5,IF(B54&lt;=50,$BH$6,IF(B54&lt;=55,$BH$7,IF(B54&lt;=60,$BH$8,IF(B54&lt;=65,$BH$9,IF(B54&lt;=70,$BH$10,$BH$11)))))))*'Retirement Dashboard'!$C$12,0)</f>
        <v>0</v>
      </c>
      <c r="U53" s="279">
        <f t="shared" ca="1" si="5"/>
        <v>0</v>
      </c>
      <c r="V53" s="279">
        <f t="shared" ca="1" si="6"/>
        <v>0</v>
      </c>
      <c r="W53" s="279">
        <f t="shared" ca="1" si="19"/>
        <v>300891.47619398852</v>
      </c>
      <c r="X53" s="279">
        <f t="shared" ca="1" si="7"/>
        <v>1200</v>
      </c>
      <c r="Y53" s="279">
        <f t="shared" ca="1" si="8"/>
        <v>7022.2869048497132</v>
      </c>
      <c r="Z53" s="279">
        <f t="shared" ca="1" si="20"/>
        <v>309113.76309883822</v>
      </c>
      <c r="AA53" s="270"/>
      <c r="AB53" s="270"/>
      <c r="AC53" s="270"/>
      <c r="AD53" s="270"/>
      <c r="AE53" s="270"/>
      <c r="AF53" s="270"/>
      <c r="AG53" s="270"/>
      <c r="AH53" s="270"/>
      <c r="AI53" s="270"/>
      <c r="AJ53" s="270"/>
      <c r="AR53" s="266" t="s">
        <v>312</v>
      </c>
      <c r="AS53" s="266"/>
      <c r="AT53" s="266"/>
      <c r="AU53" s="266"/>
      <c r="AV53" s="266"/>
      <c r="AW53" s="266"/>
      <c r="AX53" s="266"/>
      <c r="AY53" s="328"/>
      <c r="AZ53" s="328"/>
      <c r="BA53" s="328"/>
      <c r="BB53" s="270"/>
      <c r="BD53" s="270"/>
      <c r="BE53" s="270"/>
      <c r="BF53" s="270"/>
      <c r="BH53" s="323"/>
      <c r="BI53" s="302"/>
      <c r="BJ53" s="302"/>
    </row>
    <row r="54" spans="1:62" ht="53" customHeight="1" x14ac:dyDescent="0.35">
      <c r="B54" s="275">
        <f t="shared" ca="1" si="15"/>
        <v>101</v>
      </c>
      <c r="C54" s="279">
        <f t="shared" ca="1" si="11"/>
        <v>0</v>
      </c>
      <c r="D54" s="279">
        <f t="shared" ca="1" si="0"/>
        <v>2055</v>
      </c>
      <c r="E54" s="279">
        <f t="shared" ca="1" si="1"/>
        <v>900</v>
      </c>
      <c r="F54" s="279">
        <f ca="1">IF(AND('Retirement Dashboard'!$C$42="Yes", B54&lt;= 'Retirement Dashboard'!$E$42), 600, 0)</f>
        <v>0</v>
      </c>
      <c r="G54" s="279">
        <f ca="1">IF(B54&lt;'Retirement Dashboard'!$E$6,IF(B54&lt;=35,$BJ$4,IF(B54&lt;=45,$BJ$5,IF(B54&lt;=50,$BJ$6,IF(B54&lt;=55,$BJ$7,IF(B54&lt;=60,$BJ$8,IF(B54&lt;=65,$BJ$9,IF(B54&lt;=70,$BJ$10,$BJ$11)))))))*'Retirement Dashboard'!$C$12,0)</f>
        <v>0</v>
      </c>
      <c r="H54" s="279">
        <f t="shared" ca="1" si="16"/>
        <v>71729.890529734883</v>
      </c>
      <c r="I54" s="279">
        <f t="shared" ca="1" si="2"/>
        <v>2869.1956211893953</v>
      </c>
      <c r="J54" s="279">
        <f t="shared" ca="1" si="3"/>
        <v>0</v>
      </c>
      <c r="K54" s="279">
        <f t="shared" ca="1" si="17"/>
        <v>74599.086150924282</v>
      </c>
      <c r="M54" s="280">
        <f t="shared" ca="1" si="12"/>
        <v>0</v>
      </c>
      <c r="N54" s="279">
        <f ca="1">IF(B54&lt;$BH$31,IF(B55&lt;=35,$BI$4,IF(B55&lt;=45,$BI$5,IF(B55&lt;=50,$BI$6,IF(B55&lt;=55,$BI$7,IF(B55&lt;=60,$BI$8,IF(B55&lt;=65,$BI$9,IF(B55&lt;=70,$BI$10,$BI$11)))))))*'Retirement Dashboard'!$C$12,0)</f>
        <v>0</v>
      </c>
      <c r="O54" s="279">
        <f t="shared" ca="1" si="18"/>
        <v>1680871.3667913042</v>
      </c>
      <c r="P54" s="279">
        <f t="shared" ca="1" si="13"/>
        <v>2400</v>
      </c>
      <c r="Q54" s="279">
        <f t="shared" ca="1" si="4"/>
        <v>82043.568339565216</v>
      </c>
      <c r="R54" s="279">
        <f t="shared" ca="1" si="14"/>
        <v>1765314.9351308695</v>
      </c>
      <c r="T54" s="279">
        <f ca="1">IF(B54&lt;$BH$31,IF(B54&lt;=35,$BH$4,IF(B55&lt;=45,$BH$5,IF(B55&lt;=50,$BH$6,IF(B55&lt;=55,$BH$7,IF(B55&lt;=60,$BH$8,IF(B55&lt;=65,$BH$9,IF(B55&lt;=70,$BH$10,$BH$11)))))))*'Retirement Dashboard'!$C$12,0)</f>
        <v>0</v>
      </c>
      <c r="U54" s="279">
        <f t="shared" ca="1" si="5"/>
        <v>0</v>
      </c>
      <c r="V54" s="279">
        <f t="shared" ca="1" si="6"/>
        <v>0</v>
      </c>
      <c r="W54" s="279">
        <f t="shared" ca="1" si="19"/>
        <v>309113.76309883822</v>
      </c>
      <c r="X54" s="279">
        <f t="shared" ca="1" si="7"/>
        <v>1200</v>
      </c>
      <c r="Y54" s="279">
        <f t="shared" ca="1" si="8"/>
        <v>7227.8440774709561</v>
      </c>
      <c r="Z54" s="279">
        <f t="shared" ca="1" si="20"/>
        <v>317541.60717630916</v>
      </c>
      <c r="AA54" s="270"/>
      <c r="AB54" s="270"/>
      <c r="AC54" s="270"/>
      <c r="AD54" s="270"/>
      <c r="AE54" s="270"/>
      <c r="AF54" s="270"/>
      <c r="AG54" s="270"/>
      <c r="AH54" s="270"/>
      <c r="AI54" s="270"/>
      <c r="AJ54" s="270"/>
      <c r="AR54" s="247" t="s">
        <v>3</v>
      </c>
      <c r="AS54" s="247" t="s">
        <v>313</v>
      </c>
      <c r="AT54" s="247" t="s">
        <v>70</v>
      </c>
      <c r="AU54" s="247" t="s">
        <v>69</v>
      </c>
      <c r="AV54" s="247" t="s">
        <v>71</v>
      </c>
      <c r="AW54" s="247" t="s">
        <v>314</v>
      </c>
      <c r="AX54" s="247" t="s">
        <v>315</v>
      </c>
      <c r="AY54" s="325"/>
      <c r="AZ54" s="325"/>
      <c r="BA54" s="325"/>
      <c r="BB54" s="270"/>
      <c r="BD54" s="270"/>
      <c r="BE54" s="270"/>
      <c r="BF54" s="270"/>
      <c r="BG54" s="247" t="s">
        <v>316</v>
      </c>
      <c r="BH54" s="323">
        <f ca="1">IF(BH30&lt;=20,AL14,IF(BH30&lt;=30,AL15,IF(BH30&lt;=40,AL16,IF(BH30&lt;=50,AL17,IF(BH30&lt;=60,AL18,IF(BH30&lt;=65,AL19,IF(BH30&lt;=70,AL20,
IF(BH30&lt;=73,AL21,IF(BH30&lt;=75,AL22,IF(BH30&lt;=78,AL23,IF(BH30&lt;=80,AL24,IF(BH30&lt;=83,AL25,IF(BH30&lt;=85,AL26,IF(BH30&lt;=90,AL27,AL28))))))))))))))</f>
        <v>800</v>
      </c>
      <c r="BI54" s="302">
        <v>462</v>
      </c>
      <c r="BJ54" s="302"/>
    </row>
    <row r="55" spans="1:62" ht="53" customHeight="1" x14ac:dyDescent="0.35">
      <c r="B55" s="275">
        <f t="shared" ca="1" si="15"/>
        <v>102</v>
      </c>
      <c r="C55" s="279">
        <f t="shared" ca="1" si="11"/>
        <v>0</v>
      </c>
      <c r="D55" s="279">
        <f t="shared" ca="1" si="0"/>
        <v>2055</v>
      </c>
      <c r="E55" s="279">
        <f t="shared" ca="1" si="1"/>
        <v>900</v>
      </c>
      <c r="F55" s="279">
        <f ca="1">IF(AND('Retirement Dashboard'!$C$42="Yes", B55&lt;= 'Retirement Dashboard'!$E$42), 600, 0)</f>
        <v>0</v>
      </c>
      <c r="G55" s="279">
        <f ca="1">IF(B55&lt;'Retirement Dashboard'!$E$6,IF(B55&lt;=35,$BJ$4,IF(B55&lt;=45,$BJ$5,IF(B55&lt;=50,$BJ$6,IF(B55&lt;=55,$BJ$7,IF(B55&lt;=60,$BJ$8,IF(B55&lt;=65,$BJ$9,IF(B55&lt;=70,$BJ$10,$BJ$11)))))))*'Retirement Dashboard'!$C$12,0)</f>
        <v>0</v>
      </c>
      <c r="H55" s="279">
        <f t="shared" ca="1" si="16"/>
        <v>71644.086150924282</v>
      </c>
      <c r="I55" s="279">
        <f t="shared" ca="1" si="2"/>
        <v>2865.7634460369713</v>
      </c>
      <c r="J55" s="279">
        <f t="shared" ca="1" si="3"/>
        <v>0</v>
      </c>
      <c r="K55" s="279">
        <f t="shared" ca="1" si="17"/>
        <v>74509.849596961256</v>
      </c>
      <c r="M55" s="280">
        <f t="shared" ca="1" si="12"/>
        <v>0</v>
      </c>
      <c r="N55" s="279">
        <f ca="1">IF(B55&lt;$BH$31,IF(B56&lt;=35,$BI$4,IF(B56&lt;=45,$BI$5,IF(B56&lt;=50,$BI$6,IF(B56&lt;=55,$BI$7,IF(B56&lt;=60,$BI$8,IF(B56&lt;=65,$BI$9,IF(B56&lt;=70,$BI$10,$BI$11)))))))*'Retirement Dashboard'!$C$12,0)</f>
        <v>0</v>
      </c>
      <c r="O55" s="279">
        <f t="shared" ca="1" si="18"/>
        <v>1765314.9351308695</v>
      </c>
      <c r="P55" s="279">
        <f t="shared" ca="1" si="13"/>
        <v>2400</v>
      </c>
      <c r="Q55" s="279">
        <f t="shared" ca="1" si="4"/>
        <v>86265.746756543478</v>
      </c>
      <c r="R55" s="279">
        <f t="shared" ca="1" si="14"/>
        <v>1853980.6818874129</v>
      </c>
      <c r="T55" s="279">
        <f ca="1">IF(B55&lt;$BH$31,IF(B55&lt;=35,$BH$4,IF(B56&lt;=45,$BH$5,IF(B56&lt;=50,$BH$6,IF(B56&lt;=55,$BH$7,IF(B56&lt;=60,$BH$8,IF(B56&lt;=65,$BH$9,IF(B56&lt;=70,$BH$10,$BH$11)))))))*'Retirement Dashboard'!$C$12,0)</f>
        <v>0</v>
      </c>
      <c r="U55" s="279">
        <f t="shared" ca="1" si="5"/>
        <v>0</v>
      </c>
      <c r="V55" s="279">
        <f t="shared" ca="1" si="6"/>
        <v>0</v>
      </c>
      <c r="W55" s="279">
        <f t="shared" ca="1" si="19"/>
        <v>317541.60717630916</v>
      </c>
      <c r="X55" s="279">
        <f t="shared" ca="1" si="7"/>
        <v>1200</v>
      </c>
      <c r="Y55" s="279">
        <f t="shared" ca="1" si="8"/>
        <v>7438.5401794077297</v>
      </c>
      <c r="Z55" s="279">
        <f t="shared" ca="1" si="20"/>
        <v>326180.14735571691</v>
      </c>
      <c r="AA55" s="270"/>
      <c r="AB55" s="270"/>
      <c r="AC55" s="270"/>
      <c r="AD55" s="270"/>
      <c r="AE55" s="270"/>
      <c r="AF55" s="270"/>
      <c r="AG55" s="270"/>
      <c r="AH55" s="270"/>
      <c r="AI55" s="270"/>
      <c r="AJ55" s="270"/>
      <c r="AR55" s="321">
        <v>55</v>
      </c>
      <c r="AS55" s="249" t="s">
        <v>15</v>
      </c>
      <c r="AT55" s="249">
        <f ca="1">IF(AU45-AX45&gt;0,AU45-AX45,0)</f>
        <v>0</v>
      </c>
      <c r="AU55" s="249">
        <f ca="1">IF(AU45-AX45&gt;=0,AT45,AT45-(AX45-AU45))</f>
        <v>-401610.73178815114</v>
      </c>
      <c r="AV55" s="249">
        <f ca="1">AS45</f>
        <v>62168.789838134166</v>
      </c>
      <c r="AW55" s="249">
        <f ca="1">SUM(AT55:AU55)</f>
        <v>-401610.73178815114</v>
      </c>
      <c r="AX55" s="270">
        <v>0</v>
      </c>
      <c r="AY55" s="327"/>
      <c r="AZ55" s="327"/>
      <c r="BA55" s="327"/>
      <c r="BB55" s="270"/>
      <c r="BD55" s="270"/>
      <c r="BE55" s="270"/>
      <c r="BF55" s="270"/>
      <c r="BG55" s="247" t="s">
        <v>317</v>
      </c>
      <c r="BH55" s="323">
        <f>'[10]Retirement Dashboard'!D93</f>
        <v>0</v>
      </c>
      <c r="BI55" s="302">
        <v>0</v>
      </c>
      <c r="BJ55" s="302"/>
    </row>
    <row r="56" spans="1:62" ht="53" customHeight="1" x14ac:dyDescent="0.35">
      <c r="B56" s="275">
        <f t="shared" ca="1" si="15"/>
        <v>103</v>
      </c>
      <c r="C56" s="279">
        <f t="shared" ca="1" si="11"/>
        <v>0</v>
      </c>
      <c r="D56" s="279">
        <f t="shared" ca="1" si="0"/>
        <v>2055</v>
      </c>
      <c r="E56" s="279">
        <f t="shared" ca="1" si="1"/>
        <v>900</v>
      </c>
      <c r="F56" s="279">
        <f ca="1">IF(AND('Retirement Dashboard'!$C$42="Yes", B56&lt;= 'Retirement Dashboard'!$E$42), 600, 0)</f>
        <v>0</v>
      </c>
      <c r="G56" s="279">
        <f ca="1">IF(B56&lt;'Retirement Dashboard'!$E$6,IF(B56&lt;=35,$BJ$4,IF(B56&lt;=45,$BJ$5,IF(B56&lt;=50,$BJ$6,IF(B56&lt;=55,$BJ$7,IF(B56&lt;=60,$BJ$8,IF(B56&lt;=65,$BJ$9,IF(B56&lt;=70,$BJ$10,$BJ$11)))))))*'Retirement Dashboard'!$C$12,0)</f>
        <v>0</v>
      </c>
      <c r="H56" s="279">
        <f t="shared" ca="1" si="16"/>
        <v>71554.849596961256</v>
      </c>
      <c r="I56" s="279">
        <f t="shared" ca="1" si="2"/>
        <v>2862.1939838784501</v>
      </c>
      <c r="J56" s="279">
        <f t="shared" ca="1" si="3"/>
        <v>0</v>
      </c>
      <c r="K56" s="279">
        <f t="shared" ca="1" si="17"/>
        <v>74417.043580839701</v>
      </c>
      <c r="M56" s="280">
        <f t="shared" ca="1" si="12"/>
        <v>0</v>
      </c>
      <c r="N56" s="279">
        <f ca="1">IF(B56&lt;$BH$31,IF(B57&lt;=35,$BI$4,IF(B57&lt;=45,$BI$5,IF(B57&lt;=50,$BI$6,IF(B57&lt;=55,$BI$7,IF(B57&lt;=60,$BI$8,IF(B57&lt;=65,$BI$9,IF(B57&lt;=70,$BI$10,$BI$11)))))))*'Retirement Dashboard'!$C$12,0)</f>
        <v>0</v>
      </c>
      <c r="O56" s="279">
        <f t="shared" ca="1" si="18"/>
        <v>1853980.6818874129</v>
      </c>
      <c r="P56" s="279">
        <f t="shared" ca="1" si="13"/>
        <v>2400</v>
      </c>
      <c r="Q56" s="279">
        <f t="shared" ca="1" si="4"/>
        <v>90699.034094370654</v>
      </c>
      <c r="R56" s="279">
        <f t="shared" ca="1" si="14"/>
        <v>1947079.7159817836</v>
      </c>
      <c r="T56" s="279">
        <f ca="1">IF(B56&lt;$BH$31,IF(B56&lt;=35,$BH$4,IF(B57&lt;=45,$BH$5,IF(B57&lt;=50,$BH$6,IF(B57&lt;=55,$BH$7,IF(B57&lt;=60,$BH$8,IF(B57&lt;=65,$BH$9,IF(B57&lt;=70,$BH$10,$BH$11)))))))*'Retirement Dashboard'!$C$12,0)</f>
        <v>0</v>
      </c>
      <c r="U56" s="279">
        <f t="shared" ca="1" si="5"/>
        <v>0</v>
      </c>
      <c r="V56" s="279">
        <f t="shared" ca="1" si="6"/>
        <v>0</v>
      </c>
      <c r="W56" s="279">
        <f t="shared" ca="1" si="19"/>
        <v>326180.14735571691</v>
      </c>
      <c r="X56" s="279">
        <f t="shared" ca="1" si="7"/>
        <v>1200</v>
      </c>
      <c r="Y56" s="279">
        <f t="shared" ca="1" si="8"/>
        <v>7654.5036838929227</v>
      </c>
      <c r="Z56" s="279">
        <f t="shared" ca="1" si="20"/>
        <v>335034.6510396098</v>
      </c>
      <c r="AA56" s="270"/>
      <c r="AB56" s="270"/>
      <c r="AC56" s="270"/>
      <c r="AD56" s="270"/>
      <c r="AE56" s="270"/>
      <c r="AF56" s="270"/>
      <c r="AG56" s="270"/>
      <c r="AH56" s="270"/>
      <c r="AI56" s="270"/>
      <c r="AJ56" s="270"/>
      <c r="AR56" s="321">
        <f>'[10]Retirement Dashboard'!G72</f>
        <v>65</v>
      </c>
      <c r="AS56" s="249">
        <f ca="1">IF(AR46&lt;=65,12,(AR56-65)*12)*AT51</f>
        <v>38640</v>
      </c>
      <c r="AT56" s="249">
        <f ca="1">VLOOKUP($AR$56,$B$59:$Z$106,17,)</f>
        <v>72269.197818657121</v>
      </c>
      <c r="AU56" s="249">
        <f>VLOOKUP($AR$56,$B$138:$AL$185,27)</f>
        <v>0</v>
      </c>
      <c r="AV56" s="249">
        <f ca="1">VLOOKUP(AR56,$B$59:$Z$106,10,)</f>
        <v>75500</v>
      </c>
      <c r="AW56" s="249">
        <f ca="1">SUM(AT56:AU56)</f>
        <v>72269.197818657121</v>
      </c>
      <c r="AX56" s="270">
        <f ca="1">$AT$51</f>
        <v>3220</v>
      </c>
      <c r="AY56" s="327"/>
      <c r="AZ56" s="327"/>
      <c r="BA56" s="327"/>
      <c r="BG56" s="247" t="s">
        <v>318</v>
      </c>
      <c r="BH56" s="323">
        <f>'[10]Retirement Dashboard'!D91</f>
        <v>817.13759999999991</v>
      </c>
      <c r="BI56" s="302"/>
      <c r="BJ56" s="302"/>
    </row>
    <row r="57" spans="1:62" ht="53" customHeight="1" x14ac:dyDescent="0.35">
      <c r="B57" s="321"/>
      <c r="C57" s="270"/>
      <c r="D57" s="270"/>
      <c r="E57" s="270"/>
      <c r="F57" s="270"/>
      <c r="G57" s="270"/>
      <c r="H57" s="270"/>
      <c r="I57" s="270"/>
      <c r="J57" s="270"/>
      <c r="K57" s="270"/>
      <c r="M57" s="329"/>
      <c r="N57" s="270"/>
      <c r="O57" s="270"/>
      <c r="P57" s="270"/>
      <c r="Q57" s="270"/>
      <c r="R57" s="270"/>
      <c r="T57" s="270"/>
      <c r="U57" s="270"/>
      <c r="V57" s="270"/>
      <c r="W57" s="270"/>
      <c r="X57" s="270"/>
      <c r="Y57" s="270"/>
      <c r="Z57" s="270"/>
      <c r="AA57" s="270"/>
      <c r="AB57" s="270"/>
      <c r="AC57" s="270"/>
      <c r="AD57" s="270"/>
      <c r="AE57" s="270"/>
      <c r="AF57" s="270"/>
      <c r="AG57" s="270"/>
      <c r="AH57" s="270"/>
      <c r="AI57" s="270"/>
      <c r="AJ57" s="270"/>
      <c r="AR57" s="321">
        <v>75</v>
      </c>
      <c r="AS57" s="249">
        <f ca="1">IF(AR57&lt;=65,12,(AR57-65)*12)*$AT$51</f>
        <v>386400</v>
      </c>
      <c r="AT57" s="249">
        <f ca="1">VLOOKUP($AR$57,$B$59:$Z$106,17,)</f>
        <v>120564.03382688336</v>
      </c>
      <c r="AU57" s="249">
        <f>VLOOKUP($AR$57,$B$138:$AL$185,27,)</f>
        <v>0</v>
      </c>
      <c r="AV57" s="249">
        <f ca="1">VLOOKUP(AR57,$B$59:$Z$106,10,)</f>
        <v>75500</v>
      </c>
      <c r="AW57" s="249">
        <f t="shared" ref="AW57:AW59" ca="1" si="38">SUM(AT57:AU57)</f>
        <v>120564.03382688336</v>
      </c>
      <c r="AX57" s="270">
        <f ca="1">$AT$51</f>
        <v>3220</v>
      </c>
      <c r="AY57" s="327"/>
      <c r="AZ57" s="327"/>
      <c r="BA57" s="327"/>
      <c r="BG57" s="247" t="s">
        <v>319</v>
      </c>
      <c r="BH57" s="316">
        <f>'[10]Retirement Dashboard'!D99</f>
        <v>0</v>
      </c>
      <c r="BI57" s="302"/>
      <c r="BJ57" s="302"/>
    </row>
    <row r="58" spans="1:62" ht="53" customHeight="1" x14ac:dyDescent="0.35">
      <c r="B58" s="330" t="s">
        <v>320</v>
      </c>
      <c r="C58" s="330"/>
      <c r="D58" s="330"/>
      <c r="E58" s="330"/>
      <c r="F58" s="330"/>
      <c r="G58" s="330"/>
      <c r="H58" s="330"/>
      <c r="I58" s="330"/>
      <c r="J58" s="330"/>
      <c r="K58" s="330"/>
      <c r="L58" s="330"/>
      <c r="M58" s="330"/>
      <c r="N58" s="330"/>
      <c r="O58" s="330"/>
      <c r="P58" s="330"/>
      <c r="Q58" s="330"/>
      <c r="R58" s="330"/>
      <c r="S58" s="330"/>
      <c r="T58" s="330"/>
      <c r="U58" s="330"/>
      <c r="V58" s="330"/>
      <c r="W58" s="330"/>
      <c r="X58" s="330"/>
      <c r="Y58" s="330"/>
      <c r="Z58" s="330"/>
      <c r="AA58" s="252"/>
      <c r="AB58" s="252"/>
      <c r="AC58" s="252"/>
      <c r="AD58" s="252"/>
      <c r="AE58" s="252"/>
      <c r="AF58" s="252"/>
      <c r="AG58" s="252"/>
      <c r="AH58" s="252"/>
      <c r="AI58" s="252"/>
      <c r="AJ58" s="252"/>
      <c r="AR58" s="321">
        <v>85</v>
      </c>
      <c r="AS58" s="249">
        <f ca="1">IF(AR58&lt;=65,12,(AR58-65)*12)*$AT$51</f>
        <v>772800</v>
      </c>
      <c r="AT58" s="249" t="e">
        <f ca="1">VLOOKUP($AR$58,$B$59:$Z$106,17,)</f>
        <v>#REF!</v>
      </c>
      <c r="AU58" s="249">
        <f>VLOOKUP($AR$58,$B$138:$AL$185,27,)</f>
        <v>0</v>
      </c>
      <c r="AV58" s="249">
        <f ca="1">VLOOKUP(AR58,$B$59:$Z$106,10,)</f>
        <v>73025.526255555917</v>
      </c>
      <c r="AW58" s="249" t="e">
        <f t="shared" ca="1" si="38"/>
        <v>#REF!</v>
      </c>
      <c r="AX58" s="270">
        <f ca="1">$AT$51</f>
        <v>3220</v>
      </c>
      <c r="AY58" s="327"/>
      <c r="AZ58" s="327"/>
      <c r="BA58" s="327"/>
      <c r="BG58" s="247" t="s">
        <v>321</v>
      </c>
      <c r="BH58" s="323">
        <f ca="1">IF(BH30&lt;=34,AN31,IF(BH30&lt;=39,AN32,IF(BH30&lt;=44,AN33,IF(BH30&lt;=49,AN34,IF(BH30&lt;=54,AN35,IF(BH30&lt;=59,AN36,AN37))))))</f>
        <v>188</v>
      </c>
      <c r="BI58" s="302"/>
      <c r="BJ58" s="302"/>
    </row>
    <row r="59" spans="1:62" ht="53" customHeight="1" x14ac:dyDescent="0.35">
      <c r="B59" s="331" t="s">
        <v>214</v>
      </c>
      <c r="C59" s="331"/>
      <c r="D59" s="331"/>
      <c r="E59" s="331"/>
      <c r="F59" s="331"/>
      <c r="G59" s="331"/>
      <c r="H59" s="331"/>
      <c r="I59" s="331"/>
      <c r="J59" s="331"/>
      <c r="K59" s="331"/>
      <c r="L59" s="256"/>
      <c r="M59" s="332" t="s">
        <v>322</v>
      </c>
      <c r="N59" s="332"/>
      <c r="O59" s="332"/>
      <c r="P59" s="332"/>
      <c r="Q59" s="332"/>
      <c r="R59" s="332"/>
      <c r="S59" s="333"/>
      <c r="T59" s="334" t="s">
        <v>323</v>
      </c>
      <c r="U59" s="334"/>
      <c r="V59" s="334"/>
      <c r="W59" s="334"/>
      <c r="X59" s="334"/>
      <c r="Y59" s="334"/>
      <c r="Z59" s="334"/>
      <c r="AA59" s="256"/>
      <c r="AB59" s="256"/>
      <c r="AC59" s="256"/>
      <c r="AD59" s="256"/>
      <c r="AE59" s="256"/>
      <c r="AF59" s="256"/>
      <c r="AG59" s="256"/>
      <c r="AH59" s="256"/>
      <c r="AI59" s="256"/>
      <c r="AJ59" s="256"/>
      <c r="AR59" s="302">
        <f>'[10]Retirement Dashboard'!E40</f>
        <v>90</v>
      </c>
      <c r="AS59" s="249">
        <f ca="1">IF(AR59&lt;=65,12,(AR59-65)*12)*$AT$51</f>
        <v>966000</v>
      </c>
      <c r="AT59" s="249" t="e">
        <f ca="1">VLOOKUP($AR$58,$B$59:$Z$106,17,)</f>
        <v>#REF!</v>
      </c>
      <c r="AU59" s="249">
        <f>VLOOKUP($AR$59,$B$138:$AL$185,27,)</f>
        <v>0</v>
      </c>
      <c r="AV59" s="249">
        <f ca="1">VLOOKUP(AR59,$B$59:$Z$106,10,)</f>
        <v>72370.265240589506</v>
      </c>
      <c r="AW59" s="249" t="e">
        <f t="shared" ca="1" si="38"/>
        <v>#REF!</v>
      </c>
      <c r="AX59" s="270">
        <f ca="1">$AT$51</f>
        <v>3220</v>
      </c>
      <c r="AY59" s="327"/>
      <c r="AZ59" s="327"/>
      <c r="BA59" s="327"/>
      <c r="BG59" s="247" t="s">
        <v>324</v>
      </c>
      <c r="BH59" s="323">
        <f ca="1">IF(BH30&lt;=20,AM14,IF(BH30&lt;=30,AM15,IF(BH30&lt;=40,AM16,IF(BH30&lt;=50,AM17,IF(BH30&lt;=60,AM18,IF(BH30&lt;=65,AM19,IF(BH30&lt;=70,AM20,
IF(BH30&lt;=73,AM21,IF(BH30&lt;=75,AM22,IF(BH30&lt;=78,AM23,IF(BH30&lt;=80,AM24,IF(BH30&lt;=83,AM25,IF(BH30&lt;=85,AM26,IF(BH30&lt;=90,AM27,AM28))))))))))))))</f>
        <v>600</v>
      </c>
      <c r="BI59" s="302"/>
      <c r="BJ59" s="302"/>
    </row>
    <row r="60" spans="1:62" ht="53" customHeight="1" x14ac:dyDescent="0.35">
      <c r="A60" s="335"/>
      <c r="B60" s="336" t="s">
        <v>3</v>
      </c>
      <c r="C60" s="337" t="s">
        <v>325</v>
      </c>
      <c r="D60" s="336" t="s">
        <v>222</v>
      </c>
      <c r="E60" s="336" t="s">
        <v>326</v>
      </c>
      <c r="F60" s="336" t="s">
        <v>224</v>
      </c>
      <c r="G60" s="336" t="s">
        <v>225</v>
      </c>
      <c r="H60" s="336" t="s">
        <v>226</v>
      </c>
      <c r="I60" s="336" t="s">
        <v>227</v>
      </c>
      <c r="J60" s="336" t="s">
        <v>327</v>
      </c>
      <c r="K60" s="336" t="s">
        <v>229</v>
      </c>
      <c r="L60" s="338"/>
      <c r="M60" s="339" t="s">
        <v>176</v>
      </c>
      <c r="N60" s="339" t="s">
        <v>231</v>
      </c>
      <c r="O60" s="339" t="s">
        <v>232</v>
      </c>
      <c r="P60" s="339" t="s">
        <v>233</v>
      </c>
      <c r="Q60" s="340" t="s">
        <v>234</v>
      </c>
      <c r="R60" s="339" t="s">
        <v>235</v>
      </c>
      <c r="S60" s="335"/>
      <c r="T60" s="339" t="s">
        <v>230</v>
      </c>
      <c r="U60" s="339" t="s">
        <v>328</v>
      </c>
      <c r="V60" s="341" t="s">
        <v>236</v>
      </c>
      <c r="W60" s="336" t="s">
        <v>237</v>
      </c>
      <c r="X60" s="336" t="s">
        <v>238</v>
      </c>
      <c r="Y60" s="336" t="s">
        <v>239</v>
      </c>
      <c r="Z60" s="342" t="s">
        <v>240</v>
      </c>
      <c r="AA60" s="343"/>
      <c r="AB60" s="343"/>
      <c r="AC60" s="343"/>
      <c r="AD60" s="343"/>
      <c r="AE60" s="343"/>
      <c r="AF60" s="343"/>
      <c r="AG60" s="343"/>
      <c r="AH60" s="343"/>
      <c r="AI60" s="343"/>
      <c r="AJ60" s="343"/>
      <c r="AR60" s="321"/>
      <c r="AS60" s="270"/>
      <c r="AT60" s="248"/>
      <c r="AU60" s="248"/>
      <c r="AV60" s="270"/>
      <c r="AW60" s="249"/>
      <c r="AY60" s="325"/>
      <c r="AZ60" s="325"/>
      <c r="BA60" s="325"/>
      <c r="BG60" s="247" t="s">
        <v>329</v>
      </c>
      <c r="BH60" s="322">
        <f>'[10]Retirement Dashboard-Main'!D24</f>
        <v>500</v>
      </c>
      <c r="BI60" s="302"/>
      <c r="BJ60" s="302"/>
    </row>
    <row r="61" spans="1:62" ht="53" customHeight="1" x14ac:dyDescent="0.35">
      <c r="B61" s="344">
        <f>AR45</f>
        <v>55</v>
      </c>
      <c r="C61" s="345">
        <f ca="1">VLOOKUP(B61,$B$3:$Z$56,2)</f>
        <v>403.27670802814544</v>
      </c>
      <c r="D61" s="345">
        <f t="shared" ref="D61:D106" si="39">IF(B61&lt;=20,$AL$14,IF(B61&lt;=30,$AL$15,IF(B61&lt;=40,$AL$16,IF(B61&lt;=50,$AL$17,IF(B61&lt;=60,$AL$18,IF(B61&lt;=65,$AL$19,IF(B61&lt;=70,$AL$20,
IF(B61&lt;=73,$AL$21,IF(B61&lt;=75,$AL$22,IF(B61&lt;=78,$AL$23,IF(B61&lt;=80,$AL$24,IF(B61&lt;=83,$AL$25,IF(B61&lt;=85,$AL$26,IF(B61&lt;=90,$AL$27,$AL$28))))))))))))))</f>
        <v>800</v>
      </c>
      <c r="E61" s="345">
        <f t="shared" ref="E61:E106" si="40">IF(B61&lt;=20,$AM$14,IF(B61&lt;=30,$AM$15,IF(B61&lt;=40,$AM$16,IF(B61&lt;=50,$AM$17,IF(B61&lt;=60,$AM$18,IF(B61&lt;=65,$AM$19,IF(B61&lt;=70,$AM$20,
IF(B61&lt;=73,$AM$21,IF(B61&lt;=75,$AM$22,IF(B61&lt;=78,$AM$23,IF(B61&lt;=80,$AM$24,IF(B61&lt;=83,$AM$25,IF(B61&lt;=85,$AM$26,IF(B61&lt;=90,$AM$27,$AM$28))))))))))))))</f>
        <v>600</v>
      </c>
      <c r="F61" s="345">
        <v>600</v>
      </c>
      <c r="G61" s="345">
        <f t="shared" ref="G61:G106" si="41">IF(B61&gt;=$BH$31,0,IF(B61&lt;=35,$BJ$4,IF(B61&lt;=45,$BJ$5,IF(B61&lt;=50,$BJ$6,IF(B61&lt;=55,$BJ$7,IF(B61&lt;=60,$BJ$8,IF(B61&lt;=65,$BJ$9,IF(B61&lt;=70,$BJ$10,$BJ$11)))))))*$BH$37)</f>
        <v>6319.1338000000005</v>
      </c>
      <c r="H61" s="345">
        <f ca="1">$AS$45-C61-D61-E61-F61+G61</f>
        <v>66084.646930106013</v>
      </c>
      <c r="I61" s="345">
        <f t="shared" ref="I61:I106" ca="1" si="42">$AL$8*H61</f>
        <v>2643.3858772042404</v>
      </c>
      <c r="J61" s="345">
        <f t="shared" ref="J61:J106" ca="1" si="43">IF(I61+H61-$AL$35&gt;0,I61+H61-$AL$35,0)</f>
        <v>0</v>
      </c>
      <c r="K61" s="345">
        <f ca="1">H61+I61-J61</f>
        <v>68728.032807310257</v>
      </c>
      <c r="L61" s="278"/>
      <c r="M61" s="346">
        <v>0</v>
      </c>
      <c r="N61" s="345">
        <f t="shared" ref="N61:N106" si="44">IF(B61&lt;$BH$31,IF(B62&lt;=35,$BI$4,IF(B62&lt;=45,$BI$5,IF(B62&lt;=50,$BI$6,IF(B62&lt;=55,$BI$7,IF(B62&lt;=60,$BI$8,IF(B62&lt;=65,$BI$9,IF(B62&lt;=70,$BI$10,$BI$11)))))))*$BH$37,0)</f>
        <v>5362.7665000000006</v>
      </c>
      <c r="O61" s="345">
        <f ca="1">N61+AT55</f>
        <v>5362.7665000000006</v>
      </c>
      <c r="P61" s="345">
        <f t="shared" ref="P61:P106" ca="1" si="45">IF(B61&lt;=55,$AL$5,$AN$6)*(IF(O61&gt;=40000,40000,O61))</f>
        <v>268.13832500000007</v>
      </c>
      <c r="Q61" s="345">
        <f t="shared" ref="Q61:Q106" ca="1" si="46">$AN$7*IF(O61&gt;=40000,O61-40000,0)</f>
        <v>0</v>
      </c>
      <c r="R61" s="345">
        <f ca="1">O61+P61+Q61</f>
        <v>5630.9048250000005</v>
      </c>
      <c r="T61" s="347">
        <f t="shared" ref="T61:T106" ca="1" si="47">IF(J61&gt;=0,J61,0)</f>
        <v>0</v>
      </c>
      <c r="U61" s="347">
        <v>0</v>
      </c>
      <c r="V61" s="348">
        <f t="shared" ref="V61:V106" si="48">IF(B61&gt;=$BH$31,0,IF(B61&lt;=35,$BH$4,IF(B61&lt;=45,$BH$5,IF(B61&lt;=50,$BH$6,IF(B61&lt;=55,$BH$7,IF(B61&lt;=60,$BH$8,IF(B61&lt;=65,$BH$9,IF(B61&lt;=70,$BH$10,$BH$11)))))))*$BH$37)</f>
        <v>9032.1069999999982</v>
      </c>
      <c r="W61" s="345">
        <f t="shared" ref="W61:W106" ca="1" si="49">IF(B61&lt;($BH$57+$BH$30),$BH$56*12,0)</f>
        <v>0</v>
      </c>
      <c r="X61" s="345">
        <f t="shared" ref="X61:X106" si="50">IF(B61&lt;=34,$AN$31,IF(B61&lt;=39,$AN$32,IF(B61&lt;=44,$AN$33,IF(B61&lt;=49,$AN$34,IF(B61&lt;=54,$AN$35,IF(B61&lt;=59,$AN$36,IF(B61&lt;=69,$AN$37,0)))))))</f>
        <v>298</v>
      </c>
      <c r="Y61" s="345">
        <f ca="1">AU55+V61-W61-X61-U61+T61</f>
        <v>-392876.62478815112</v>
      </c>
      <c r="Z61" s="349">
        <f t="shared" ref="Z61:Z106" ca="1" si="51">IF(B61&lt;=55,$AL$3,$AN$3)*(IF(Y61&gt;=20000,20000,Y61))</f>
        <v>-13750.68186758529</v>
      </c>
      <c r="AA61" s="270"/>
      <c r="AB61" s="270"/>
      <c r="AC61" s="270"/>
      <c r="AD61" s="270"/>
      <c r="AE61" s="270"/>
      <c r="AF61" s="270"/>
      <c r="AG61" s="323"/>
      <c r="AH61" s="323"/>
      <c r="AI61" s="323"/>
      <c r="AJ61" s="323"/>
      <c r="AR61" s="266" t="s">
        <v>330</v>
      </c>
      <c r="AS61" s="266"/>
      <c r="AT61" s="266"/>
      <c r="AU61" s="266"/>
      <c r="AV61" s="266"/>
      <c r="AW61" s="266"/>
      <c r="AX61" s="325"/>
      <c r="AY61" s="328"/>
      <c r="AZ61" s="328"/>
      <c r="BA61" s="328"/>
      <c r="BI61" s="302"/>
      <c r="BJ61" s="302"/>
    </row>
    <row r="62" spans="1:62" ht="53" customHeight="1" x14ac:dyDescent="0.35">
      <c r="B62" s="344">
        <f>B61+1</f>
        <v>56</v>
      </c>
      <c r="C62" s="345">
        <f t="shared" ref="C62:C106" ca="1" si="52">IF(B62&gt;=67,$BI$55,C61+(1.0244%*C61))</f>
        <v>407.40787462518574</v>
      </c>
      <c r="D62" s="345">
        <f t="shared" si="39"/>
        <v>800</v>
      </c>
      <c r="E62" s="345">
        <f t="shared" si="40"/>
        <v>600</v>
      </c>
      <c r="F62" s="345">
        <v>600</v>
      </c>
      <c r="G62" s="345">
        <f t="shared" si="41"/>
        <v>6626.665500000001</v>
      </c>
      <c r="H62" s="345">
        <f ca="1">K61-C62-D62-E62-F62+G62</f>
        <v>72947.290432685069</v>
      </c>
      <c r="I62" s="345">
        <f t="shared" ca="1" si="42"/>
        <v>2917.8916173074026</v>
      </c>
      <c r="J62" s="345">
        <f t="shared" ca="1" si="43"/>
        <v>365.18204999246518</v>
      </c>
      <c r="K62" s="345">
        <f ca="1">H62+I62-J62</f>
        <v>75500</v>
      </c>
      <c r="L62" s="278"/>
      <c r="M62" s="346">
        <f t="shared" ref="M62:M78" ca="1" si="53">IF(R61&gt;=BH49,BH49,0)</f>
        <v>0</v>
      </c>
      <c r="N62" s="345">
        <f t="shared" si="44"/>
        <v>5362.7665000000006</v>
      </c>
      <c r="O62" s="345">
        <f ca="1">R61+N62-M62</f>
        <v>10993.671325000001</v>
      </c>
      <c r="P62" s="345">
        <f t="shared" ca="1" si="45"/>
        <v>659.62027950000004</v>
      </c>
      <c r="Q62" s="345">
        <f t="shared" ca="1" si="46"/>
        <v>0</v>
      </c>
      <c r="R62" s="345">
        <f ca="1">O62+P62+Q62</f>
        <v>11653.291604500002</v>
      </c>
      <c r="T62" s="347">
        <f t="shared" ca="1" si="47"/>
        <v>365.18204999246518</v>
      </c>
      <c r="U62" s="347">
        <f t="shared" ref="U62:U106" ca="1" si="54">IF(AL142&gt;=$BH$48,$BH$48-M62,0)</f>
        <v>0</v>
      </c>
      <c r="V62" s="348">
        <f t="shared" si="48"/>
        <v>6040.1068000000005</v>
      </c>
      <c r="W62" s="345">
        <f t="shared" ca="1" si="49"/>
        <v>0</v>
      </c>
      <c r="X62" s="345">
        <f t="shared" si="50"/>
        <v>298</v>
      </c>
      <c r="Y62" s="345">
        <f t="shared" ref="Y62:Y106" ca="1" si="55">AL142+V62-W62-X62+T62-U62</f>
        <v>-400520.01780574396</v>
      </c>
      <c r="Z62" s="349">
        <f t="shared" ca="1" si="51"/>
        <v>-24031.201068344635</v>
      </c>
      <c r="AA62" s="270"/>
      <c r="AB62" s="270"/>
      <c r="AC62" s="270"/>
      <c r="AD62" s="270"/>
      <c r="AE62" s="270"/>
      <c r="AF62" s="270"/>
      <c r="AG62" s="323"/>
      <c r="AH62" s="323"/>
      <c r="AI62" s="323"/>
      <c r="AJ62" s="323"/>
      <c r="AR62" s="247" t="s">
        <v>3</v>
      </c>
      <c r="AS62" s="247" t="s">
        <v>313</v>
      </c>
      <c r="AT62" s="247" t="s">
        <v>70</v>
      </c>
      <c r="AU62" s="247" t="s">
        <v>69</v>
      </c>
      <c r="AV62" s="247" t="s">
        <v>71</v>
      </c>
      <c r="AW62" s="247" t="s">
        <v>314</v>
      </c>
      <c r="AX62" s="247" t="s">
        <v>331</v>
      </c>
      <c r="AY62" s="325"/>
      <c r="AZ62" s="325"/>
      <c r="BA62" s="325"/>
      <c r="BG62" s="247" t="s">
        <v>332</v>
      </c>
      <c r="BH62" s="302">
        <v>77</v>
      </c>
      <c r="BI62" s="302"/>
      <c r="BJ62" s="302"/>
    </row>
    <row r="63" spans="1:62" ht="53" customHeight="1" x14ac:dyDescent="0.35">
      <c r="B63" s="344">
        <f t="shared" ref="B63:B106" si="56">B62+1</f>
        <v>57</v>
      </c>
      <c r="C63" s="345">
        <f t="shared" ca="1" si="52"/>
        <v>411.58136089284613</v>
      </c>
      <c r="D63" s="345">
        <f t="shared" si="39"/>
        <v>800</v>
      </c>
      <c r="E63" s="345">
        <f t="shared" si="40"/>
        <v>600</v>
      </c>
      <c r="F63" s="345">
        <v>600</v>
      </c>
      <c r="G63" s="345">
        <f t="shared" si="41"/>
        <v>6626.665500000001</v>
      </c>
      <c r="H63" s="345">
        <f t="shared" ref="H63:H106" ca="1" si="57">K62-C63-D63-E63-F63+G63</f>
        <v>79715.084139107159</v>
      </c>
      <c r="I63" s="345">
        <f t="shared" ca="1" si="42"/>
        <v>3188.6033655642864</v>
      </c>
      <c r="J63" s="345">
        <f t="shared" ca="1" si="43"/>
        <v>7403.6875046714413</v>
      </c>
      <c r="K63" s="345">
        <f ca="1">H63+I63-J63</f>
        <v>75500</v>
      </c>
      <c r="L63" s="278"/>
      <c r="M63" s="346">
        <f t="shared" ca="1" si="53"/>
        <v>645.15049999999985</v>
      </c>
      <c r="N63" s="345">
        <f t="shared" si="44"/>
        <v>5362.7665000000006</v>
      </c>
      <c r="O63" s="345">
        <f t="shared" ref="O63:O106" ca="1" si="58">R62+N63-M63</f>
        <v>16370.907604500004</v>
      </c>
      <c r="P63" s="345">
        <f t="shared" ca="1" si="45"/>
        <v>982.25445627000022</v>
      </c>
      <c r="Q63" s="345">
        <f t="shared" ca="1" si="46"/>
        <v>0</v>
      </c>
      <c r="R63" s="345">
        <f t="shared" ref="R63:R106" ca="1" si="59">O63+P63+Q63</f>
        <v>17353.162060770002</v>
      </c>
      <c r="T63" s="347">
        <f t="shared" ca="1" si="47"/>
        <v>7403.6875046714413</v>
      </c>
      <c r="U63" s="347">
        <f t="shared" ca="1" si="54"/>
        <v>0</v>
      </c>
      <c r="V63" s="348">
        <f t="shared" si="48"/>
        <v>6040.1068000000005</v>
      </c>
      <c r="W63" s="345">
        <f t="shared" ca="1" si="49"/>
        <v>0</v>
      </c>
      <c r="X63" s="345">
        <f t="shared" si="50"/>
        <v>298</v>
      </c>
      <c r="Y63" s="345">
        <f t="shared" ca="1" si="55"/>
        <v>-411405.42456941714</v>
      </c>
      <c r="Z63" s="349">
        <f t="shared" ca="1" si="51"/>
        <v>-24684.325474165027</v>
      </c>
      <c r="AA63" s="270"/>
      <c r="AB63" s="270"/>
      <c r="AC63" s="270"/>
      <c r="AD63" s="270"/>
      <c r="AE63" s="270"/>
      <c r="AF63" s="270"/>
      <c r="AG63" s="323"/>
      <c r="AH63" s="323"/>
      <c r="AI63" s="323"/>
      <c r="AJ63" s="323"/>
      <c r="AY63" s="325"/>
      <c r="AZ63" s="325"/>
      <c r="BA63" s="325"/>
      <c r="BG63" s="247" t="s">
        <v>333</v>
      </c>
      <c r="BH63" s="302">
        <v>60</v>
      </c>
      <c r="BI63" s="302"/>
      <c r="BJ63" s="302"/>
    </row>
    <row r="64" spans="1:62" ht="53" customHeight="1" x14ac:dyDescent="0.35">
      <c r="B64" s="344">
        <f t="shared" si="56"/>
        <v>58</v>
      </c>
      <c r="C64" s="345">
        <f t="shared" ca="1" si="52"/>
        <v>415.79760035383242</v>
      </c>
      <c r="D64" s="345">
        <f t="shared" si="39"/>
        <v>800</v>
      </c>
      <c r="E64" s="345">
        <f t="shared" si="40"/>
        <v>600</v>
      </c>
      <c r="F64" s="345">
        <v>600</v>
      </c>
      <c r="G64" s="345">
        <f t="shared" si="41"/>
        <v>6626.665500000001</v>
      </c>
      <c r="H64" s="345">
        <f t="shared" ca="1" si="57"/>
        <v>79710.867899646168</v>
      </c>
      <c r="I64" s="345">
        <f t="shared" ca="1" si="42"/>
        <v>3188.4347159858467</v>
      </c>
      <c r="J64" s="345">
        <f t="shared" ca="1" si="43"/>
        <v>7399.302615632012</v>
      </c>
      <c r="K64" s="345">
        <f ca="1">H64+I64-J64</f>
        <v>75500</v>
      </c>
      <c r="L64" s="278"/>
      <c r="M64" s="346">
        <f t="shared" ca="1" si="53"/>
        <v>494.48279999999994</v>
      </c>
      <c r="N64" s="345">
        <f t="shared" si="44"/>
        <v>5362.7665000000006</v>
      </c>
      <c r="O64" s="345">
        <f t="shared" ca="1" si="58"/>
        <v>22221.445760770002</v>
      </c>
      <c r="P64" s="345">
        <f t="shared" ca="1" si="45"/>
        <v>1333.2867456462002</v>
      </c>
      <c r="Q64" s="345">
        <f t="shared" ca="1" si="46"/>
        <v>0</v>
      </c>
      <c r="R64" s="345">
        <f t="shared" ca="1" si="59"/>
        <v>23554.732506416203</v>
      </c>
      <c r="T64" s="347">
        <f t="shared" ca="1" si="47"/>
        <v>7399.302615632012</v>
      </c>
      <c r="U64" s="347">
        <f t="shared" ca="1" si="54"/>
        <v>0</v>
      </c>
      <c r="V64" s="348">
        <f t="shared" si="48"/>
        <v>6040.1068000000005</v>
      </c>
      <c r="W64" s="345">
        <f t="shared" ca="1" si="49"/>
        <v>0</v>
      </c>
      <c r="X64" s="345">
        <f t="shared" si="50"/>
        <v>298</v>
      </c>
      <c r="Y64" s="345">
        <f t="shared" ca="1" si="55"/>
        <v>-422948.34062795015</v>
      </c>
      <c r="Z64" s="349">
        <f t="shared" ca="1" si="51"/>
        <v>-25376.90043767701</v>
      </c>
      <c r="AA64" s="270"/>
      <c r="AB64" s="270"/>
      <c r="AC64" s="270"/>
      <c r="AD64" s="270"/>
      <c r="AE64" s="270"/>
      <c r="AF64" s="270"/>
      <c r="AG64" s="323"/>
      <c r="AH64" s="323"/>
      <c r="AI64" s="323"/>
      <c r="AJ64" s="323"/>
      <c r="AR64" s="321">
        <v>55</v>
      </c>
      <c r="AS64" s="249" t="s">
        <v>15</v>
      </c>
      <c r="AT64" s="249">
        <f ca="1">IF(AU45-AY45&gt;0,AU45-AY45,0)</f>
        <v>0</v>
      </c>
      <c r="AU64" s="249">
        <f ca="1">IF(AU45-AY45&gt;=0,AT45,AT45-(AY45-AU45))</f>
        <v>-959778.47488723032</v>
      </c>
      <c r="AV64" s="249">
        <f ca="1">AS45</f>
        <v>62168.789838134166</v>
      </c>
      <c r="AW64" s="249">
        <f ca="1">SUM(AS64:AU64)</f>
        <v>-959778.47488723032</v>
      </c>
      <c r="AX64" s="249">
        <f>BH8</f>
        <v>0.10033400000000001</v>
      </c>
      <c r="AY64" s="321">
        <v>55</v>
      </c>
      <c r="AZ64" s="321"/>
      <c r="BA64" s="321"/>
      <c r="BG64" s="247" t="s">
        <v>334</v>
      </c>
      <c r="BH64" s="302">
        <v>90</v>
      </c>
      <c r="BI64" s="302"/>
      <c r="BJ64" s="302"/>
    </row>
    <row r="65" spans="1:62" ht="53" customHeight="1" x14ac:dyDescent="0.35">
      <c r="B65" s="344">
        <f t="shared" si="56"/>
        <v>59</v>
      </c>
      <c r="C65" s="345">
        <f t="shared" ca="1" si="52"/>
        <v>420.0570309718571</v>
      </c>
      <c r="D65" s="345">
        <f t="shared" si="39"/>
        <v>800</v>
      </c>
      <c r="E65" s="345">
        <f t="shared" si="40"/>
        <v>600</v>
      </c>
      <c r="F65" s="345">
        <v>600</v>
      </c>
      <c r="G65" s="345">
        <f t="shared" si="41"/>
        <v>6626.665500000001</v>
      </c>
      <c r="H65" s="345">
        <f t="shared" ca="1" si="57"/>
        <v>79706.608469028142</v>
      </c>
      <c r="I65" s="345">
        <f t="shared" ca="1" si="42"/>
        <v>3188.2643387611256</v>
      </c>
      <c r="J65" s="345">
        <f t="shared" ca="1" si="43"/>
        <v>7394.8728077892738</v>
      </c>
      <c r="K65" s="345">
        <f t="shared" ref="K65:K106" ca="1" si="60">H65+I65-J65</f>
        <v>75500</v>
      </c>
      <c r="L65" s="278"/>
      <c r="M65" s="346">
        <f t="shared" ca="1" si="53"/>
        <v>451.36670000000004</v>
      </c>
      <c r="N65" s="345">
        <f t="shared" si="44"/>
        <v>5362.7665000000006</v>
      </c>
      <c r="O65" s="345">
        <f t="shared" ca="1" si="58"/>
        <v>28466.132306416206</v>
      </c>
      <c r="P65" s="345">
        <f t="shared" ca="1" si="45"/>
        <v>1707.9679383849723</v>
      </c>
      <c r="Q65" s="345">
        <f t="shared" ca="1" si="46"/>
        <v>0</v>
      </c>
      <c r="R65" s="345">
        <f t="shared" ca="1" si="59"/>
        <v>30174.100244801179</v>
      </c>
      <c r="T65" s="347">
        <f t="shared" ca="1" si="47"/>
        <v>7394.8728077892738</v>
      </c>
      <c r="U65" s="347">
        <f t="shared" ca="1" si="54"/>
        <v>0</v>
      </c>
      <c r="V65" s="348">
        <f t="shared" si="48"/>
        <v>6040.1068000000005</v>
      </c>
      <c r="W65" s="345">
        <f t="shared" ca="1" si="49"/>
        <v>0</v>
      </c>
      <c r="X65" s="345">
        <f t="shared" si="50"/>
        <v>298</v>
      </c>
      <c r="Y65" s="345">
        <f t="shared" ca="1" si="55"/>
        <v>-435188.26145783789</v>
      </c>
      <c r="Z65" s="349">
        <f t="shared" ca="1" si="51"/>
        <v>-26111.295687470272</v>
      </c>
      <c r="AA65" s="270"/>
      <c r="AB65" s="270"/>
      <c r="AC65" s="270"/>
      <c r="AD65" s="270"/>
      <c r="AE65" s="270"/>
      <c r="AF65" s="270"/>
      <c r="AG65" s="323"/>
      <c r="AH65" s="323"/>
      <c r="AI65" s="323"/>
      <c r="AJ65" s="323"/>
      <c r="AR65" s="321">
        <v>65</v>
      </c>
      <c r="AS65" s="249">
        <f ca="1">IF(AR65&lt;=65,12,(AR65-65)*12)*$AT$52</f>
        <v>99336.990669518796</v>
      </c>
      <c r="AT65" s="249">
        <f ca="1">VLOOKUP(AR65,B108:Z156,17,)</f>
        <v>72698.287586792663</v>
      </c>
      <c r="AU65" s="249">
        <f ca="1">VLOOKUP(AR65,$B$106:$Z$156,25,)</f>
        <v>-91991.756522461452</v>
      </c>
      <c r="AV65" s="249">
        <f>VLOOKUP(AR65,$B$190:$AM$235,10,)</f>
        <v>66000</v>
      </c>
      <c r="AW65" s="249">
        <f ca="1">SUM(AS65:AU65)</f>
        <v>80043.521733850008</v>
      </c>
      <c r="AX65" s="249">
        <f ca="1">$AT$52</f>
        <v>8278.082555793233</v>
      </c>
      <c r="AY65" s="321">
        <v>65</v>
      </c>
      <c r="AZ65" s="321"/>
      <c r="BA65" s="321"/>
      <c r="BI65" s="302"/>
      <c r="BJ65" s="302"/>
    </row>
    <row r="66" spans="1:62" ht="53" customHeight="1" x14ac:dyDescent="0.35">
      <c r="B66" s="344">
        <f t="shared" si="56"/>
        <v>60</v>
      </c>
      <c r="C66" s="345">
        <f t="shared" ca="1" si="52"/>
        <v>424.36009519713281</v>
      </c>
      <c r="D66" s="345">
        <f t="shared" si="39"/>
        <v>800</v>
      </c>
      <c r="E66" s="345">
        <f t="shared" si="40"/>
        <v>600</v>
      </c>
      <c r="F66" s="345">
        <v>600</v>
      </c>
      <c r="G66" s="345">
        <f t="shared" si="41"/>
        <v>6626.665500000001</v>
      </c>
      <c r="H66" s="345">
        <f t="shared" ca="1" si="57"/>
        <v>79702.305404802872</v>
      </c>
      <c r="I66" s="345">
        <f t="shared" ca="1" si="42"/>
        <v>3188.0922161921148</v>
      </c>
      <c r="J66" s="345">
        <f t="shared" ca="1" si="43"/>
        <v>7390.3976209949906</v>
      </c>
      <c r="K66" s="345">
        <f t="shared" ca="1" si="60"/>
        <v>75500</v>
      </c>
      <c r="L66" s="278"/>
      <c r="M66" s="346">
        <f t="shared" ca="1" si="53"/>
        <v>0</v>
      </c>
      <c r="N66" s="345">
        <f t="shared" si="44"/>
        <v>5143.8491999999997</v>
      </c>
      <c r="O66" s="345">
        <f t="shared" ca="1" si="58"/>
        <v>35317.949444801176</v>
      </c>
      <c r="P66" s="345">
        <f t="shared" ca="1" si="45"/>
        <v>2119.0769666880706</v>
      </c>
      <c r="Q66" s="345">
        <f t="shared" ca="1" si="46"/>
        <v>0</v>
      </c>
      <c r="R66" s="345">
        <f t="shared" ca="1" si="59"/>
        <v>37437.026411489249</v>
      </c>
      <c r="T66" s="347">
        <f t="shared" ca="1" si="47"/>
        <v>7390.3976209949906</v>
      </c>
      <c r="U66" s="347">
        <f t="shared" ca="1" si="54"/>
        <v>0</v>
      </c>
      <c r="V66" s="348">
        <f t="shared" si="48"/>
        <v>6040.1068000000005</v>
      </c>
      <c r="W66" s="345">
        <f t="shared" ca="1" si="49"/>
        <v>0</v>
      </c>
      <c r="X66" s="345">
        <f t="shared" si="50"/>
        <v>298</v>
      </c>
      <c r="Y66" s="345">
        <f t="shared" ca="1" si="55"/>
        <v>-448167.05272431317</v>
      </c>
      <c r="Z66" s="349">
        <f t="shared" ca="1" si="51"/>
        <v>-26890.023163458787</v>
      </c>
      <c r="AA66" s="270"/>
      <c r="AB66" s="270"/>
      <c r="AC66" s="270"/>
      <c r="AD66" s="270"/>
      <c r="AE66" s="270"/>
      <c r="AF66" s="270"/>
      <c r="AG66" s="323"/>
      <c r="AH66" s="323"/>
      <c r="AI66" s="323"/>
      <c r="AJ66" s="323"/>
      <c r="AR66" s="321">
        <v>75</v>
      </c>
      <c r="AS66" s="249">
        <f ca="1">IF(AR66&lt;=65,12,(AR66-65)*12)*$AT$52</f>
        <v>993369.90669518802</v>
      </c>
      <c r="AT66" s="249">
        <f ca="1">VLOOKUP(AR66,B109:Z157,17,)</f>
        <v>121115.84037837332</v>
      </c>
      <c r="AU66" s="249">
        <f ca="1">VLOOKUP(AR66,$B$106:$Z$156,25,)</f>
        <v>-164560.09655943327</v>
      </c>
      <c r="AV66" s="249">
        <f>VLOOKUP(AR66,$B$190:$AM$235,10,)</f>
        <v>66000</v>
      </c>
      <c r="AW66" s="249">
        <f ca="1">SUM(AS66:AU66)</f>
        <v>949925.65051412815</v>
      </c>
      <c r="AX66" s="249">
        <f ca="1">$AT$52</f>
        <v>8278.082555793233</v>
      </c>
      <c r="AY66" s="321">
        <v>75</v>
      </c>
      <c r="AZ66" s="321"/>
      <c r="BA66" s="321"/>
    </row>
    <row r="67" spans="1:62" ht="53" customHeight="1" x14ac:dyDescent="0.35">
      <c r="A67" s="290"/>
      <c r="B67" s="350">
        <f t="shared" si="56"/>
        <v>61</v>
      </c>
      <c r="C67" s="346">
        <f t="shared" ca="1" si="52"/>
        <v>428.70724001233225</v>
      </c>
      <c r="D67" s="346">
        <f t="shared" si="39"/>
        <v>1020</v>
      </c>
      <c r="E67" s="346">
        <f t="shared" si="40"/>
        <v>600</v>
      </c>
      <c r="F67" s="346">
        <v>600</v>
      </c>
      <c r="G67" s="345">
        <f t="shared" si="41"/>
        <v>6750.9483999999993</v>
      </c>
      <c r="H67" s="345">
        <f t="shared" ca="1" si="57"/>
        <v>79602.241159987665</v>
      </c>
      <c r="I67" s="345">
        <f t="shared" ca="1" si="42"/>
        <v>3184.0896463995068</v>
      </c>
      <c r="J67" s="345">
        <f t="shared" ca="1" si="43"/>
        <v>7286.3308063871664</v>
      </c>
      <c r="K67" s="345">
        <f t="shared" ca="1" si="60"/>
        <v>75500</v>
      </c>
      <c r="L67" s="292"/>
      <c r="M67" s="346">
        <f t="shared" ca="1" si="53"/>
        <v>800</v>
      </c>
      <c r="N67" s="345">
        <f t="shared" si="44"/>
        <v>5143.8491999999997</v>
      </c>
      <c r="O67" s="345">
        <f t="shared" ca="1" si="58"/>
        <v>41780.875611489246</v>
      </c>
      <c r="P67" s="345">
        <f t="shared" ca="1" si="45"/>
        <v>2400</v>
      </c>
      <c r="Q67" s="345">
        <f t="shared" ca="1" si="46"/>
        <v>89.043780574462289</v>
      </c>
      <c r="R67" s="346">
        <f t="shared" ca="1" si="59"/>
        <v>44269.919392063704</v>
      </c>
      <c r="S67" s="290"/>
      <c r="T67" s="347">
        <f t="shared" ca="1" si="47"/>
        <v>7286.3308063871664</v>
      </c>
      <c r="U67" s="347">
        <f t="shared" ca="1" si="54"/>
        <v>0</v>
      </c>
      <c r="V67" s="348">
        <f t="shared" si="48"/>
        <v>2209.7613999999999</v>
      </c>
      <c r="W67" s="345">
        <f t="shared" ca="1" si="49"/>
        <v>0</v>
      </c>
      <c r="X67" s="345">
        <f t="shared" si="50"/>
        <v>298</v>
      </c>
      <c r="Y67" s="345">
        <f t="shared" ca="1" si="55"/>
        <v>-465858.98368138477</v>
      </c>
      <c r="Z67" s="349">
        <f t="shared" ca="1" si="51"/>
        <v>-27951.539020883083</v>
      </c>
      <c r="AA67" s="270"/>
      <c r="AB67" s="270"/>
      <c r="AC67" s="270"/>
      <c r="AD67" s="270"/>
      <c r="AE67" s="270"/>
      <c r="AF67" s="270"/>
      <c r="AG67" s="323"/>
      <c r="AH67" s="323"/>
      <c r="AI67" s="323"/>
      <c r="AJ67" s="323"/>
      <c r="AR67" s="321">
        <v>85</v>
      </c>
      <c r="AS67" s="249">
        <f ca="1">IF(AR67&lt;=65,12,(AR67-65)*12)*$AT$52</f>
        <v>1986739.813390376</v>
      </c>
      <c r="AT67" s="249">
        <f ca="1">VLOOKUP(AR67,B110:Z158,17,)</f>
        <v>201888.22488935152</v>
      </c>
      <c r="AU67" s="249">
        <f ca="1">VLOOKUP(AR67,$B$106:$Z$156,25,)</f>
        <v>-294702.0698663306</v>
      </c>
      <c r="AV67" s="249">
        <f ca="1">VLOOKUP(AR67,$B$190:$AM$235,10,)</f>
        <v>73674.486255555923</v>
      </c>
      <c r="AW67" s="249">
        <f ca="1">SUM(AS67:AU67)</f>
        <v>1893925.968413397</v>
      </c>
      <c r="AX67" s="249">
        <f ca="1">$AT$52</f>
        <v>8278.082555793233</v>
      </c>
      <c r="AY67" s="321">
        <v>85</v>
      </c>
      <c r="AZ67" s="321"/>
      <c r="BA67" s="321"/>
    </row>
    <row r="68" spans="1:62" ht="53" customHeight="1" x14ac:dyDescent="0.35">
      <c r="B68" s="344">
        <f t="shared" si="56"/>
        <v>62</v>
      </c>
      <c r="C68" s="345">
        <f t="shared" ca="1" si="52"/>
        <v>433.09891697901855</v>
      </c>
      <c r="D68" s="345">
        <f t="shared" si="39"/>
        <v>1020</v>
      </c>
      <c r="E68" s="345">
        <f t="shared" si="40"/>
        <v>600</v>
      </c>
      <c r="F68" s="345">
        <v>600</v>
      </c>
      <c r="G68" s="345">
        <f t="shared" si="41"/>
        <v>6750.9483999999993</v>
      </c>
      <c r="H68" s="345">
        <f t="shared" ca="1" si="57"/>
        <v>79597.849483020982</v>
      </c>
      <c r="I68" s="345">
        <f t="shared" ca="1" si="42"/>
        <v>3183.9139793208392</v>
      </c>
      <c r="J68" s="345">
        <f t="shared" ca="1" si="43"/>
        <v>7281.7634623418271</v>
      </c>
      <c r="K68" s="345">
        <f t="shared" ca="1" si="60"/>
        <v>75500</v>
      </c>
      <c r="L68" s="278"/>
      <c r="M68" s="346">
        <f t="shared" ca="1" si="53"/>
        <v>0</v>
      </c>
      <c r="N68" s="345">
        <f t="shared" si="44"/>
        <v>5143.8491999999997</v>
      </c>
      <c r="O68" s="345">
        <f t="shared" ca="1" si="58"/>
        <v>49413.768592063701</v>
      </c>
      <c r="P68" s="345">
        <f t="shared" ca="1" si="45"/>
        <v>2400</v>
      </c>
      <c r="Q68" s="345">
        <f t="shared" ca="1" si="46"/>
        <v>470.68842960318511</v>
      </c>
      <c r="R68" s="345">
        <f t="shared" ca="1" si="59"/>
        <v>52284.457021666887</v>
      </c>
      <c r="T68" s="347">
        <f t="shared" ca="1" si="47"/>
        <v>7281.7634623418271</v>
      </c>
      <c r="U68" s="347">
        <f t="shared" ca="1" si="54"/>
        <v>0</v>
      </c>
      <c r="V68" s="348">
        <f t="shared" si="48"/>
        <v>2209.7613999999999</v>
      </c>
      <c r="W68" s="345">
        <f t="shared" ca="1" si="49"/>
        <v>0</v>
      </c>
      <c r="X68" s="345">
        <f t="shared" si="50"/>
        <v>298</v>
      </c>
      <c r="Y68" s="345">
        <f t="shared" ca="1" si="55"/>
        <v>-484616.99783992604</v>
      </c>
      <c r="Z68" s="349">
        <f t="shared" ca="1" si="51"/>
        <v>-29077.019870395561</v>
      </c>
      <c r="AA68" s="270"/>
      <c r="AB68" s="270"/>
      <c r="AC68" s="270"/>
      <c r="AD68" s="270"/>
      <c r="AE68" s="270"/>
      <c r="AF68" s="270"/>
      <c r="AG68" s="323"/>
      <c r="AH68" s="323"/>
      <c r="AI68" s="323"/>
      <c r="AJ68" s="323"/>
      <c r="AR68" s="321">
        <f>'[10]Retirement Dashboard'!E40</f>
        <v>90</v>
      </c>
      <c r="AS68" s="249">
        <f ca="1">IF(AR68&lt;=65,12,(AR68-65)*12)*$AT$52</f>
        <v>2483424.7667379701</v>
      </c>
      <c r="AT68" s="249" t="e">
        <f ca="1">VLOOKUP(AR68,B111:Z159,17,)</f>
        <v>#REF!</v>
      </c>
      <c r="AU68" s="249">
        <f ca="1">VLOOKUP(AR68,$B$106:$Z$156,25,)</f>
        <v>-394377.84766678582</v>
      </c>
      <c r="AV68" s="249">
        <f ca="1">VLOOKUP(AR68,$B$190:$AM$235,10,)</f>
        <v>73159.824308131021</v>
      </c>
      <c r="AW68" s="249" t="e">
        <f ca="1">SUM(AS68:AU68)</f>
        <v>#REF!</v>
      </c>
      <c r="AX68" s="249">
        <f ca="1">$AT$52</f>
        <v>8278.082555793233</v>
      </c>
      <c r="AY68" s="321">
        <v>86</v>
      </c>
      <c r="AZ68" s="321"/>
      <c r="BA68" s="321"/>
    </row>
    <row r="69" spans="1:62" ht="53" customHeight="1" x14ac:dyDescent="0.35">
      <c r="B69" s="344">
        <f t="shared" si="56"/>
        <v>63</v>
      </c>
      <c r="C69" s="345">
        <f t="shared" ca="1" si="52"/>
        <v>437.53558228455159</v>
      </c>
      <c r="D69" s="345">
        <f t="shared" si="39"/>
        <v>1020</v>
      </c>
      <c r="E69" s="345">
        <f t="shared" si="40"/>
        <v>600</v>
      </c>
      <c r="F69" s="345">
        <v>600</v>
      </c>
      <c r="G69" s="345">
        <f t="shared" si="41"/>
        <v>6750.9483999999993</v>
      </c>
      <c r="H69" s="345">
        <f t="shared" ca="1" si="57"/>
        <v>79593.412817715449</v>
      </c>
      <c r="I69" s="345">
        <f t="shared" ca="1" si="42"/>
        <v>3183.7365127086182</v>
      </c>
      <c r="J69" s="345">
        <f t="shared" ca="1" si="43"/>
        <v>7277.1493304240721</v>
      </c>
      <c r="K69" s="345">
        <f t="shared" ca="1" si="60"/>
        <v>75500</v>
      </c>
      <c r="L69" s="295"/>
      <c r="M69" s="346">
        <f t="shared" ca="1" si="53"/>
        <v>817.13759999999991</v>
      </c>
      <c r="N69" s="345">
        <f t="shared" si="44"/>
        <v>5143.8491999999997</v>
      </c>
      <c r="O69" s="345">
        <f t="shared" ca="1" si="58"/>
        <v>56611.168621666882</v>
      </c>
      <c r="P69" s="345">
        <f t="shared" ca="1" si="45"/>
        <v>2400</v>
      </c>
      <c r="Q69" s="345">
        <f t="shared" ca="1" si="46"/>
        <v>830.5584310833442</v>
      </c>
      <c r="R69" s="345">
        <f t="shared" ca="1" si="59"/>
        <v>59841.727052750226</v>
      </c>
      <c r="S69" s="294"/>
      <c r="T69" s="347">
        <f t="shared" ca="1" si="47"/>
        <v>7277.1493304240721</v>
      </c>
      <c r="U69" s="347">
        <f t="shared" ca="1" si="54"/>
        <v>0</v>
      </c>
      <c r="V69" s="348">
        <f t="shared" si="48"/>
        <v>2209.7613999999999</v>
      </c>
      <c r="W69" s="345">
        <f t="shared" ca="1" si="49"/>
        <v>0</v>
      </c>
      <c r="X69" s="345">
        <f t="shared" si="50"/>
        <v>298</v>
      </c>
      <c r="Y69" s="345">
        <f t="shared" ca="1" si="55"/>
        <v>-504505.10697989748</v>
      </c>
      <c r="Z69" s="349">
        <f t="shared" ca="1" si="51"/>
        <v>-30270.306418793847</v>
      </c>
      <c r="AA69" s="270"/>
      <c r="AB69" s="270"/>
      <c r="AC69" s="270"/>
      <c r="AD69" s="270"/>
      <c r="AE69" s="270"/>
      <c r="AF69" s="270"/>
      <c r="AG69" s="323"/>
      <c r="AH69" s="323"/>
      <c r="AI69" s="323"/>
      <c r="AJ69" s="323"/>
      <c r="AR69" s="302"/>
      <c r="AS69" s="297"/>
      <c r="AT69" s="297"/>
      <c r="AU69" s="297"/>
      <c r="AV69" s="297"/>
      <c r="AW69" s="297"/>
      <c r="AX69" s="321"/>
      <c r="AY69" s="327"/>
      <c r="AZ69" s="327"/>
      <c r="BA69" s="327"/>
    </row>
    <row r="70" spans="1:62" ht="53" customHeight="1" x14ac:dyDescent="0.35">
      <c r="B70" s="344">
        <f t="shared" si="56"/>
        <v>64</v>
      </c>
      <c r="C70" s="345">
        <f t="shared" ca="1" si="52"/>
        <v>442.01769678947454</v>
      </c>
      <c r="D70" s="345">
        <f t="shared" si="39"/>
        <v>1020</v>
      </c>
      <c r="E70" s="345">
        <f t="shared" si="40"/>
        <v>600</v>
      </c>
      <c r="F70" s="345">
        <v>600</v>
      </c>
      <c r="G70" s="345">
        <f t="shared" si="41"/>
        <v>6750.9483999999993</v>
      </c>
      <c r="H70" s="345">
        <f t="shared" ca="1" si="57"/>
        <v>79588.930703210513</v>
      </c>
      <c r="I70" s="345">
        <f t="shared" ca="1" si="42"/>
        <v>3183.5572281284208</v>
      </c>
      <c r="J70" s="345">
        <f t="shared" ca="1" si="43"/>
        <v>7272.4879313389392</v>
      </c>
      <c r="K70" s="345">
        <f t="shared" ca="1" si="60"/>
        <v>75500</v>
      </c>
      <c r="L70" s="278"/>
      <c r="M70" s="346">
        <f t="shared" ca="1" si="53"/>
        <v>0</v>
      </c>
      <c r="N70" s="345">
        <f t="shared" si="44"/>
        <v>5143.8491999999997</v>
      </c>
      <c r="O70" s="345">
        <f t="shared" ca="1" si="58"/>
        <v>64985.576252750223</v>
      </c>
      <c r="P70" s="345">
        <f t="shared" ca="1" si="45"/>
        <v>2400</v>
      </c>
      <c r="Q70" s="345">
        <f t="shared" ca="1" si="46"/>
        <v>1249.2788126375112</v>
      </c>
      <c r="R70" s="345">
        <f t="shared" ca="1" si="59"/>
        <v>68634.855065387732</v>
      </c>
      <c r="S70" s="297"/>
      <c r="T70" s="347">
        <f t="shared" ca="1" si="47"/>
        <v>7272.4879313389392</v>
      </c>
      <c r="U70" s="347">
        <f t="shared" ca="1" si="54"/>
        <v>0</v>
      </c>
      <c r="V70" s="348">
        <f t="shared" si="48"/>
        <v>2209.7613999999999</v>
      </c>
      <c r="W70" s="345">
        <f t="shared" ca="1" si="49"/>
        <v>0</v>
      </c>
      <c r="X70" s="345">
        <f t="shared" si="50"/>
        <v>298</v>
      </c>
      <c r="Y70" s="345">
        <f t="shared" ca="1" si="55"/>
        <v>-525591.16406735242</v>
      </c>
      <c r="Z70" s="349">
        <f t="shared" ca="1" si="51"/>
        <v>-31535.469844041145</v>
      </c>
      <c r="AA70" s="270"/>
      <c r="AB70" s="270"/>
      <c r="AC70" s="270"/>
      <c r="AD70" s="270"/>
      <c r="AE70" s="270"/>
      <c r="AF70" s="270"/>
      <c r="AG70" s="323"/>
      <c r="AH70" s="323"/>
      <c r="AI70" s="323"/>
      <c r="AJ70" s="323"/>
      <c r="AR70" s="321"/>
      <c r="AS70" s="270"/>
      <c r="AT70" s="248"/>
      <c r="AU70" s="248"/>
      <c r="AV70" s="270"/>
      <c r="AW70" s="270"/>
      <c r="AX70" s="321"/>
      <c r="AY70" s="327"/>
      <c r="AZ70" s="327"/>
      <c r="BA70" s="327"/>
    </row>
    <row r="71" spans="1:62" ht="53" customHeight="1" x14ac:dyDescent="0.35">
      <c r="B71" s="344">
        <f t="shared" si="56"/>
        <v>65</v>
      </c>
      <c r="C71" s="345">
        <f t="shared" ca="1" si="52"/>
        <v>446.54572607538591</v>
      </c>
      <c r="D71" s="345">
        <f t="shared" si="39"/>
        <v>1020</v>
      </c>
      <c r="E71" s="345">
        <f t="shared" si="40"/>
        <v>600</v>
      </c>
      <c r="F71" s="345">
        <v>600</v>
      </c>
      <c r="G71" s="345">
        <f t="shared" si="41"/>
        <v>0</v>
      </c>
      <c r="H71" s="345">
        <f t="shared" ca="1" si="57"/>
        <v>72833.45427392461</v>
      </c>
      <c r="I71" s="345">
        <f t="shared" ca="1" si="42"/>
        <v>2913.3381709569844</v>
      </c>
      <c r="J71" s="345">
        <f t="shared" ca="1" si="43"/>
        <v>246.7924448815902</v>
      </c>
      <c r="K71" s="345">
        <f t="shared" ca="1" si="60"/>
        <v>75500</v>
      </c>
      <c r="L71" s="278"/>
      <c r="M71" s="346">
        <f t="shared" ca="1" si="53"/>
        <v>188</v>
      </c>
      <c r="N71" s="345">
        <f t="shared" si="44"/>
        <v>0</v>
      </c>
      <c r="O71" s="345">
        <f t="shared" ca="1" si="58"/>
        <v>68446.855065387732</v>
      </c>
      <c r="P71" s="345">
        <f t="shared" ca="1" si="45"/>
        <v>2400</v>
      </c>
      <c r="Q71" s="345">
        <f t="shared" ca="1" si="46"/>
        <v>1422.3427532693868</v>
      </c>
      <c r="R71" s="345">
        <f t="shared" ca="1" si="59"/>
        <v>72269.197818657121</v>
      </c>
      <c r="T71" s="347">
        <f t="shared" ca="1" si="47"/>
        <v>246.7924448815902</v>
      </c>
      <c r="U71" s="347">
        <f t="shared" ca="1" si="54"/>
        <v>0</v>
      </c>
      <c r="V71" s="348">
        <f t="shared" si="48"/>
        <v>0</v>
      </c>
      <c r="W71" s="345">
        <f t="shared" ca="1" si="49"/>
        <v>0</v>
      </c>
      <c r="X71" s="345">
        <f t="shared" si="50"/>
        <v>298</v>
      </c>
      <c r="Y71" s="345">
        <f t="shared" ca="1" si="55"/>
        <v>-557177.84146651195</v>
      </c>
      <c r="Z71" s="349">
        <f t="shared" ca="1" si="51"/>
        <v>-33430.670487990719</v>
      </c>
      <c r="AA71" s="270"/>
      <c r="AB71" s="270"/>
      <c r="AC71" s="270"/>
      <c r="AD71" s="270"/>
      <c r="AE71" s="270"/>
      <c r="AF71" s="270"/>
      <c r="AG71" s="323"/>
      <c r="AH71" s="323"/>
      <c r="AI71" s="323"/>
      <c r="AJ71" s="323"/>
      <c r="AR71" s="321"/>
      <c r="AS71" s="270"/>
      <c r="AT71" s="248"/>
      <c r="AU71" s="248"/>
      <c r="AV71" s="270"/>
      <c r="AW71" s="249"/>
      <c r="AY71" s="325"/>
      <c r="AZ71" s="325"/>
      <c r="BA71" s="325"/>
    </row>
    <row r="72" spans="1:62" ht="53" customHeight="1" x14ac:dyDescent="0.35">
      <c r="B72" s="344">
        <f t="shared" si="56"/>
        <v>66</v>
      </c>
      <c r="C72" s="345">
        <f t="shared" ca="1" si="52"/>
        <v>451.12014049330219</v>
      </c>
      <c r="D72" s="345">
        <f t="shared" si="39"/>
        <v>1100</v>
      </c>
      <c r="E72" s="345">
        <f t="shared" si="40"/>
        <v>600</v>
      </c>
      <c r="F72" s="345">
        <v>600</v>
      </c>
      <c r="G72" s="345">
        <f t="shared" si="41"/>
        <v>0</v>
      </c>
      <c r="H72" s="345">
        <f t="shared" ca="1" si="57"/>
        <v>72748.879859506691</v>
      </c>
      <c r="I72" s="345">
        <f t="shared" ca="1" si="42"/>
        <v>2909.9551943802676</v>
      </c>
      <c r="J72" s="345">
        <f t="shared" ca="1" si="43"/>
        <v>158.8350538869563</v>
      </c>
      <c r="K72" s="345">
        <f t="shared" ca="1" si="60"/>
        <v>75500</v>
      </c>
      <c r="L72" s="278"/>
      <c r="M72" s="346">
        <f t="shared" ca="1" si="53"/>
        <v>600</v>
      </c>
      <c r="N72" s="345">
        <f t="shared" si="44"/>
        <v>0</v>
      </c>
      <c r="O72" s="345">
        <f t="shared" ca="1" si="58"/>
        <v>71669.197818657121</v>
      </c>
      <c r="P72" s="345">
        <f t="shared" ca="1" si="45"/>
        <v>2400</v>
      </c>
      <c r="Q72" s="345">
        <f t="shared" ca="1" si="46"/>
        <v>1583.4598909328561</v>
      </c>
      <c r="R72" s="345">
        <f t="shared" ca="1" si="59"/>
        <v>75652.657709589985</v>
      </c>
      <c r="S72" s="266"/>
      <c r="T72" s="347">
        <f t="shared" ca="1" si="47"/>
        <v>158.8350538869563</v>
      </c>
      <c r="U72" s="347">
        <f t="shared" ca="1" si="54"/>
        <v>0</v>
      </c>
      <c r="V72" s="348">
        <f t="shared" si="48"/>
        <v>0</v>
      </c>
      <c r="W72" s="345">
        <f t="shared" ca="1" si="49"/>
        <v>0</v>
      </c>
      <c r="X72" s="345">
        <f t="shared" si="50"/>
        <v>298</v>
      </c>
      <c r="Y72" s="345">
        <f t="shared" ca="1" si="55"/>
        <v>-590747.67690061568</v>
      </c>
      <c r="Z72" s="349">
        <f t="shared" ca="1" si="51"/>
        <v>-35444.860614036937</v>
      </c>
      <c r="AA72" s="270"/>
      <c r="AB72" s="270"/>
      <c r="AC72" s="270"/>
      <c r="AD72" s="270"/>
      <c r="AE72" s="270"/>
      <c r="AF72" s="270"/>
      <c r="AG72" s="323"/>
      <c r="AH72" s="323"/>
      <c r="AI72" s="323"/>
      <c r="AJ72" s="323"/>
      <c r="AS72" s="266" t="s">
        <v>335</v>
      </c>
      <c r="AT72" s="266"/>
      <c r="AU72" s="266"/>
      <c r="AV72" s="266"/>
      <c r="AX72" s="325"/>
      <c r="AY72" s="328"/>
      <c r="AZ72" s="328"/>
      <c r="BA72" s="328"/>
    </row>
    <row r="73" spans="1:62" ht="53" customHeight="1" x14ac:dyDescent="0.35">
      <c r="B73" s="344">
        <f t="shared" si="56"/>
        <v>67</v>
      </c>
      <c r="C73" s="345">
        <f t="shared" si="52"/>
        <v>0</v>
      </c>
      <c r="D73" s="345">
        <f t="shared" si="39"/>
        <v>1100</v>
      </c>
      <c r="E73" s="345">
        <f t="shared" si="40"/>
        <v>600</v>
      </c>
      <c r="F73" s="345">
        <v>600</v>
      </c>
      <c r="G73" s="345">
        <f t="shared" si="41"/>
        <v>0</v>
      </c>
      <c r="H73" s="345">
        <f t="shared" ca="1" si="57"/>
        <v>73200</v>
      </c>
      <c r="I73" s="345">
        <f t="shared" ca="1" si="42"/>
        <v>2928</v>
      </c>
      <c r="J73" s="345">
        <f t="shared" ca="1" si="43"/>
        <v>628</v>
      </c>
      <c r="K73" s="345">
        <f t="shared" ca="1" si="60"/>
        <v>75500</v>
      </c>
      <c r="L73" s="278"/>
      <c r="M73" s="346">
        <f t="shared" ca="1" si="53"/>
        <v>500</v>
      </c>
      <c r="N73" s="345">
        <f t="shared" si="44"/>
        <v>0</v>
      </c>
      <c r="O73" s="345">
        <f t="shared" ca="1" si="58"/>
        <v>75152.657709589985</v>
      </c>
      <c r="P73" s="345">
        <f t="shared" ca="1" si="45"/>
        <v>2400</v>
      </c>
      <c r="Q73" s="345">
        <f t="shared" ca="1" si="46"/>
        <v>1757.6328854794992</v>
      </c>
      <c r="R73" s="345">
        <f t="shared" ca="1" si="59"/>
        <v>79310.290595069484</v>
      </c>
      <c r="T73" s="347">
        <f t="shared" ca="1" si="47"/>
        <v>628</v>
      </c>
      <c r="U73" s="347">
        <f t="shared" ca="1" si="54"/>
        <v>0</v>
      </c>
      <c r="V73" s="348">
        <f t="shared" si="48"/>
        <v>0</v>
      </c>
      <c r="W73" s="345">
        <f t="shared" ca="1" si="49"/>
        <v>0</v>
      </c>
      <c r="X73" s="345">
        <f t="shared" si="50"/>
        <v>298</v>
      </c>
      <c r="Y73" s="345">
        <f t="shared" ca="1" si="55"/>
        <v>-625862.53751465259</v>
      </c>
      <c r="Z73" s="349">
        <f t="shared" ca="1" si="51"/>
        <v>-37551.752250879152</v>
      </c>
      <c r="AA73" s="270"/>
      <c r="AB73" s="270"/>
      <c r="AC73" s="270"/>
      <c r="AD73" s="270"/>
      <c r="AE73" s="270"/>
      <c r="AF73" s="270"/>
      <c r="AG73" s="323"/>
      <c r="AH73" s="323"/>
      <c r="AI73" s="323"/>
      <c r="AJ73" s="323"/>
      <c r="AR73" s="247" t="s">
        <v>3</v>
      </c>
      <c r="AS73" s="247" t="s">
        <v>313</v>
      </c>
      <c r="AT73" s="247" t="s">
        <v>70</v>
      </c>
      <c r="AU73" s="247" t="s">
        <v>69</v>
      </c>
      <c r="AV73" s="247" t="s">
        <v>71</v>
      </c>
      <c r="AW73" s="247" t="s">
        <v>314</v>
      </c>
      <c r="AX73" s="328" t="s">
        <v>315</v>
      </c>
      <c r="AY73" s="325"/>
      <c r="AZ73" s="325"/>
      <c r="BA73" s="325"/>
    </row>
    <row r="74" spans="1:62" ht="53" customHeight="1" x14ac:dyDescent="0.35">
      <c r="B74" s="344">
        <f t="shared" si="56"/>
        <v>68</v>
      </c>
      <c r="C74" s="345">
        <f t="shared" si="52"/>
        <v>0</v>
      </c>
      <c r="D74" s="345">
        <f t="shared" si="39"/>
        <v>1100</v>
      </c>
      <c r="E74" s="345">
        <f t="shared" si="40"/>
        <v>600</v>
      </c>
      <c r="F74" s="345">
        <v>600</v>
      </c>
      <c r="G74" s="345">
        <f t="shared" si="41"/>
        <v>0</v>
      </c>
      <c r="H74" s="345">
        <f t="shared" ca="1" si="57"/>
        <v>73200</v>
      </c>
      <c r="I74" s="345">
        <f t="shared" ca="1" si="42"/>
        <v>2928</v>
      </c>
      <c r="J74" s="345">
        <f t="shared" ca="1" si="43"/>
        <v>628</v>
      </c>
      <c r="K74" s="345">
        <f t="shared" ca="1" si="60"/>
        <v>75500</v>
      </c>
      <c r="L74" s="278"/>
      <c r="M74" s="346">
        <f t="shared" ca="1" si="53"/>
        <v>0</v>
      </c>
      <c r="N74" s="345">
        <f t="shared" si="44"/>
        <v>0</v>
      </c>
      <c r="O74" s="345">
        <f t="shared" ca="1" si="58"/>
        <v>79310.290595069484</v>
      </c>
      <c r="P74" s="345">
        <f t="shared" ca="1" si="45"/>
        <v>2400</v>
      </c>
      <c r="Q74" s="345">
        <f t="shared" ca="1" si="46"/>
        <v>1965.5145297534743</v>
      </c>
      <c r="R74" s="345">
        <f t="shared" ca="1" si="59"/>
        <v>83675.80512482296</v>
      </c>
      <c r="T74" s="347">
        <f t="shared" ca="1" si="47"/>
        <v>628</v>
      </c>
      <c r="U74" s="347">
        <f t="shared" ca="1" si="54"/>
        <v>0</v>
      </c>
      <c r="V74" s="348">
        <f t="shared" si="48"/>
        <v>0</v>
      </c>
      <c r="W74" s="345">
        <f t="shared" ca="1" si="49"/>
        <v>0</v>
      </c>
      <c r="X74" s="345">
        <f t="shared" si="50"/>
        <v>298</v>
      </c>
      <c r="Y74" s="345">
        <f t="shared" ca="1" si="55"/>
        <v>-663084.28976553178</v>
      </c>
      <c r="Z74" s="349">
        <f t="shared" ca="1" si="51"/>
        <v>-39785.057385931905</v>
      </c>
      <c r="AA74" s="270"/>
      <c r="AB74" s="270"/>
      <c r="AC74" s="270"/>
      <c r="AD74" s="270"/>
      <c r="AE74" s="270"/>
      <c r="AF74" s="270"/>
      <c r="AG74" s="323"/>
      <c r="AH74" s="323"/>
      <c r="AI74" s="323"/>
      <c r="AJ74" s="323"/>
      <c r="AY74" s="325"/>
      <c r="AZ74" s="325"/>
      <c r="BA74" s="325"/>
    </row>
    <row r="75" spans="1:62" ht="53" customHeight="1" x14ac:dyDescent="0.35">
      <c r="B75" s="344">
        <f t="shared" si="56"/>
        <v>69</v>
      </c>
      <c r="C75" s="345">
        <f t="shared" si="52"/>
        <v>0</v>
      </c>
      <c r="D75" s="345">
        <f t="shared" si="39"/>
        <v>1100</v>
      </c>
      <c r="E75" s="345">
        <f t="shared" si="40"/>
        <v>600</v>
      </c>
      <c r="F75" s="345">
        <v>600</v>
      </c>
      <c r="G75" s="345">
        <f t="shared" si="41"/>
        <v>0</v>
      </c>
      <c r="H75" s="345">
        <f t="shared" ca="1" si="57"/>
        <v>73200</v>
      </c>
      <c r="I75" s="345">
        <f t="shared" ca="1" si="42"/>
        <v>2928</v>
      </c>
      <c r="J75" s="345">
        <f t="shared" ca="1" si="43"/>
        <v>628</v>
      </c>
      <c r="K75" s="345">
        <f t="shared" ca="1" si="60"/>
        <v>75500</v>
      </c>
      <c r="L75" s="278"/>
      <c r="M75" s="346">
        <f t="shared" ca="1" si="53"/>
        <v>77</v>
      </c>
      <c r="N75" s="345">
        <f t="shared" si="44"/>
        <v>0</v>
      </c>
      <c r="O75" s="345">
        <f t="shared" ca="1" si="58"/>
        <v>83598.80512482296</v>
      </c>
      <c r="P75" s="345">
        <f t="shared" ca="1" si="45"/>
        <v>2400</v>
      </c>
      <c r="Q75" s="345">
        <f t="shared" ca="1" si="46"/>
        <v>2179.9402562411483</v>
      </c>
      <c r="R75" s="345">
        <f t="shared" ca="1" si="59"/>
        <v>88178.745381064102</v>
      </c>
      <c r="T75" s="347">
        <f t="shared" ca="1" si="47"/>
        <v>628</v>
      </c>
      <c r="U75" s="347">
        <f t="shared" ca="1" si="54"/>
        <v>0</v>
      </c>
      <c r="V75" s="348">
        <f t="shared" si="48"/>
        <v>0</v>
      </c>
      <c r="W75" s="345">
        <f t="shared" ca="1" si="49"/>
        <v>0</v>
      </c>
      <c r="X75" s="345">
        <f t="shared" si="50"/>
        <v>298</v>
      </c>
      <c r="Y75" s="345">
        <f t="shared" ca="1" si="55"/>
        <v>-702539.34715146373</v>
      </c>
      <c r="Z75" s="349">
        <f t="shared" ca="1" si="51"/>
        <v>-42152.360829087826</v>
      </c>
      <c r="AA75" s="270"/>
      <c r="AB75" s="270"/>
      <c r="AC75" s="270"/>
      <c r="AD75" s="270"/>
      <c r="AE75" s="270"/>
      <c r="AF75" s="270"/>
      <c r="AG75" s="323"/>
      <c r="AH75" s="323"/>
      <c r="AI75" s="323"/>
      <c r="AJ75" s="323"/>
      <c r="AR75" s="321">
        <v>55</v>
      </c>
      <c r="AS75" s="249" t="s">
        <v>15</v>
      </c>
      <c r="AT75" s="249">
        <f ca="1">AU45-AW45</f>
        <v>-178452.26496512824</v>
      </c>
      <c r="AU75" s="249">
        <f ca="1">IF(AU45-AW45&gt;=0,AT45,AT45-(AW45-AU45))</f>
        <v>-122445.96636280013</v>
      </c>
      <c r="AV75" s="249">
        <f ca="1">AS45</f>
        <v>62168.789838134166</v>
      </c>
      <c r="AW75" s="249">
        <f ca="1">AU75+AT75</f>
        <v>-300898.23132792837</v>
      </c>
      <c r="AX75" s="249"/>
      <c r="AY75" s="321">
        <v>55</v>
      </c>
      <c r="AZ75" s="321"/>
      <c r="BA75" s="321"/>
    </row>
    <row r="76" spans="1:62" ht="53" customHeight="1" x14ac:dyDescent="0.35">
      <c r="B76" s="344">
        <f t="shared" si="56"/>
        <v>70</v>
      </c>
      <c r="C76" s="345">
        <f t="shared" si="52"/>
        <v>0</v>
      </c>
      <c r="D76" s="345">
        <f t="shared" si="39"/>
        <v>1100</v>
      </c>
      <c r="E76" s="345">
        <f t="shared" si="40"/>
        <v>600</v>
      </c>
      <c r="F76" s="345">
        <v>600</v>
      </c>
      <c r="G76" s="345">
        <f t="shared" si="41"/>
        <v>0</v>
      </c>
      <c r="H76" s="345">
        <f t="shared" ca="1" si="57"/>
        <v>73200</v>
      </c>
      <c r="I76" s="345">
        <f t="shared" ca="1" si="42"/>
        <v>2928</v>
      </c>
      <c r="J76" s="345">
        <f t="shared" ca="1" si="43"/>
        <v>628</v>
      </c>
      <c r="K76" s="345">
        <f t="shared" ca="1" si="60"/>
        <v>75500</v>
      </c>
      <c r="L76" s="278"/>
      <c r="M76" s="346">
        <f t="shared" ca="1" si="53"/>
        <v>60</v>
      </c>
      <c r="N76" s="345">
        <f t="shared" si="44"/>
        <v>0</v>
      </c>
      <c r="O76" s="345">
        <f t="shared" ca="1" si="58"/>
        <v>88118.745381064102</v>
      </c>
      <c r="P76" s="345">
        <f t="shared" ca="1" si="45"/>
        <v>2400</v>
      </c>
      <c r="Q76" s="345">
        <f t="shared" ca="1" si="46"/>
        <v>2405.937269053205</v>
      </c>
      <c r="R76" s="345">
        <f t="shared" ca="1" si="59"/>
        <v>92924.682650117305</v>
      </c>
      <c r="T76" s="347">
        <f t="shared" ca="1" si="47"/>
        <v>628</v>
      </c>
      <c r="U76" s="347">
        <f t="shared" ca="1" si="54"/>
        <v>0</v>
      </c>
      <c r="V76" s="348">
        <f t="shared" si="48"/>
        <v>0</v>
      </c>
      <c r="W76" s="345">
        <f t="shared" ca="1" si="49"/>
        <v>0</v>
      </c>
      <c r="X76" s="345">
        <f t="shared" si="50"/>
        <v>0</v>
      </c>
      <c r="Y76" s="345">
        <f t="shared" ca="1" si="55"/>
        <v>-744063.70798055152</v>
      </c>
      <c r="Z76" s="349">
        <f t="shared" ca="1" si="51"/>
        <v>-44643.822478833092</v>
      </c>
      <c r="AA76" s="270"/>
      <c r="AB76" s="270"/>
      <c r="AC76" s="270"/>
      <c r="AD76" s="270"/>
      <c r="AE76" s="270"/>
      <c r="AF76" s="270"/>
      <c r="AG76" s="323"/>
      <c r="AH76" s="323"/>
      <c r="AI76" s="323"/>
      <c r="AJ76" s="323"/>
      <c r="AR76" s="321">
        <v>65</v>
      </c>
      <c r="AS76" s="249">
        <f ca="1">IF(AR76&lt;=65,12,(AR76-65)*12)*$AT$50</f>
        <v>20040</v>
      </c>
      <c r="AT76" s="249" t="e">
        <f ca="1">VLOOKUP($AR$76,$B$240:$AK$287,17)</f>
        <v>#REF!</v>
      </c>
      <c r="AU76" s="249">
        <f>VLOOKUP($AR$76,$B$240:$AK$287,26)</f>
        <v>0</v>
      </c>
      <c r="AV76" s="249">
        <f>VLOOKUP(AR76,$B$235:$AK$287,10,)</f>
        <v>66000</v>
      </c>
      <c r="AW76" s="249" t="e">
        <f ca="1">SUM(AS76:AU76)</f>
        <v>#REF!</v>
      </c>
      <c r="AX76" s="249">
        <f ca="1">$AT$50</f>
        <v>1670</v>
      </c>
      <c r="AY76" s="321">
        <v>65</v>
      </c>
      <c r="AZ76" s="321"/>
      <c r="BA76" s="321"/>
    </row>
    <row r="77" spans="1:62" ht="53" customHeight="1" x14ac:dyDescent="0.35">
      <c r="B77" s="344">
        <f t="shared" si="56"/>
        <v>71</v>
      </c>
      <c r="C77" s="345">
        <f t="shared" si="52"/>
        <v>0</v>
      </c>
      <c r="D77" s="345">
        <f t="shared" si="39"/>
        <v>1195</v>
      </c>
      <c r="E77" s="345">
        <f t="shared" si="40"/>
        <v>900</v>
      </c>
      <c r="F77" s="345">
        <v>600</v>
      </c>
      <c r="G77" s="345">
        <f t="shared" si="41"/>
        <v>0</v>
      </c>
      <c r="H77" s="345">
        <f t="shared" ca="1" si="57"/>
        <v>72805</v>
      </c>
      <c r="I77" s="345">
        <f t="shared" ca="1" si="42"/>
        <v>2912.2000000000003</v>
      </c>
      <c r="J77" s="345">
        <f t="shared" ca="1" si="43"/>
        <v>217.19999999999709</v>
      </c>
      <c r="K77" s="345">
        <f t="shared" ca="1" si="60"/>
        <v>75500</v>
      </c>
      <c r="L77" s="278"/>
      <c r="M77" s="346">
        <f t="shared" ca="1" si="53"/>
        <v>90</v>
      </c>
      <c r="N77" s="345">
        <f t="shared" si="44"/>
        <v>0</v>
      </c>
      <c r="O77" s="345">
        <f t="shared" ca="1" si="58"/>
        <v>92834.682650117305</v>
      </c>
      <c r="P77" s="345">
        <f t="shared" ca="1" si="45"/>
        <v>2400</v>
      </c>
      <c r="Q77" s="345">
        <f t="shared" ca="1" si="46"/>
        <v>2641.7341325058655</v>
      </c>
      <c r="R77" s="345">
        <f t="shared" ca="1" si="59"/>
        <v>97876.416782623171</v>
      </c>
      <c r="S77" s="304"/>
      <c r="T77" s="347">
        <f t="shared" ca="1" si="47"/>
        <v>217.19999999999709</v>
      </c>
      <c r="U77" s="347">
        <f t="shared" ca="1" si="54"/>
        <v>0</v>
      </c>
      <c r="V77" s="348">
        <f t="shared" si="48"/>
        <v>0</v>
      </c>
      <c r="W77" s="345">
        <f t="shared" ca="1" si="49"/>
        <v>0</v>
      </c>
      <c r="X77" s="345">
        <f t="shared" si="50"/>
        <v>0</v>
      </c>
      <c r="Y77" s="345">
        <f t="shared" ca="1" si="55"/>
        <v>-788490.33045938471</v>
      </c>
      <c r="Z77" s="349">
        <f t="shared" ca="1" si="51"/>
        <v>-47309.419827563084</v>
      </c>
      <c r="AA77" s="270"/>
      <c r="AB77" s="270"/>
      <c r="AC77" s="270"/>
      <c r="AD77" s="270"/>
      <c r="AE77" s="270"/>
      <c r="AF77" s="270"/>
      <c r="AG77" s="323"/>
      <c r="AH77" s="323"/>
      <c r="AI77" s="323"/>
      <c r="AJ77" s="323"/>
      <c r="AR77" s="321">
        <v>75</v>
      </c>
      <c r="AS77" s="249">
        <f ca="1">IF(AR77&lt;=65,12,(AR77-65)*12)*$AT$50</f>
        <v>200400</v>
      </c>
      <c r="AT77" s="249" t="e">
        <f ca="1">VLOOKUP($AR$77,$B$240:$AK$287,17)</f>
        <v>#REF!</v>
      </c>
      <c r="AU77" s="249">
        <f>VLOOKUP($AR$77,$B$240:$AK$287,26)</f>
        <v>0</v>
      </c>
      <c r="AV77" s="249">
        <f>VLOOKUP(AR77,$B$235:$AK$287,10,)</f>
        <v>66000</v>
      </c>
      <c r="AW77" s="249" t="e">
        <f ca="1">SUM(AS77:AU77)</f>
        <v>#REF!</v>
      </c>
      <c r="AX77" s="249">
        <f ca="1">$AT$50</f>
        <v>1670</v>
      </c>
      <c r="AY77" s="321">
        <v>75</v>
      </c>
      <c r="AZ77" s="321"/>
      <c r="BA77" s="321"/>
    </row>
    <row r="78" spans="1:62" ht="53" customHeight="1" x14ac:dyDescent="0.35">
      <c r="B78" s="344">
        <f t="shared" si="56"/>
        <v>72</v>
      </c>
      <c r="C78" s="345">
        <f t="shared" si="52"/>
        <v>0</v>
      </c>
      <c r="D78" s="345">
        <f t="shared" si="39"/>
        <v>1195</v>
      </c>
      <c r="E78" s="345">
        <f t="shared" si="40"/>
        <v>900</v>
      </c>
      <c r="F78" s="345">
        <v>600</v>
      </c>
      <c r="G78" s="345">
        <f t="shared" si="41"/>
        <v>0</v>
      </c>
      <c r="H78" s="345">
        <f t="shared" ca="1" si="57"/>
        <v>72805</v>
      </c>
      <c r="I78" s="345">
        <f t="shared" ca="1" si="42"/>
        <v>2912.2000000000003</v>
      </c>
      <c r="J78" s="345">
        <f t="shared" ca="1" si="43"/>
        <v>217.19999999999709</v>
      </c>
      <c r="K78" s="345">
        <f t="shared" ca="1" si="60"/>
        <v>75500</v>
      </c>
      <c r="L78" s="278"/>
      <c r="M78" s="346">
        <f t="shared" ca="1" si="53"/>
        <v>0</v>
      </c>
      <c r="N78" s="345">
        <f t="shared" si="44"/>
        <v>0</v>
      </c>
      <c r="O78" s="345">
        <f t="shared" ca="1" si="58"/>
        <v>97876.416782623171</v>
      </c>
      <c r="P78" s="345">
        <f t="shared" ca="1" si="45"/>
        <v>2400</v>
      </c>
      <c r="Q78" s="345">
        <f t="shared" ca="1" si="46"/>
        <v>2893.8208391311587</v>
      </c>
      <c r="R78" s="345">
        <f t="shared" ca="1" si="59"/>
        <v>103170.23762175434</v>
      </c>
      <c r="T78" s="347">
        <f t="shared" ca="1" si="47"/>
        <v>217.19999999999709</v>
      </c>
      <c r="U78" s="347">
        <f t="shared" ca="1" si="54"/>
        <v>0</v>
      </c>
      <c r="V78" s="348">
        <f t="shared" si="48"/>
        <v>0</v>
      </c>
      <c r="W78" s="345">
        <f t="shared" ca="1" si="49"/>
        <v>0</v>
      </c>
      <c r="X78" s="345">
        <f t="shared" si="50"/>
        <v>0</v>
      </c>
      <c r="Y78" s="345">
        <f t="shared" ca="1" si="55"/>
        <v>-835582.55028694787</v>
      </c>
      <c r="Z78" s="349">
        <f t="shared" ca="1" si="51"/>
        <v>-50134.953017216867</v>
      </c>
      <c r="AA78" s="270"/>
      <c r="AB78" s="270"/>
      <c r="AC78" s="270"/>
      <c r="AD78" s="270"/>
      <c r="AE78" s="270"/>
      <c r="AF78" s="270"/>
      <c r="AG78" s="323"/>
      <c r="AH78" s="323"/>
      <c r="AI78" s="323"/>
      <c r="AJ78" s="323"/>
      <c r="AR78" s="321">
        <v>85</v>
      </c>
      <c r="AS78" s="249">
        <f ca="1">IF(AR78&lt;=65,12,(AR78-65)*12)*$AT$50</f>
        <v>400800</v>
      </c>
      <c r="AT78" s="249" t="e">
        <f ca="1">VLOOKUP($AR$78,$B$240:$AK$287,17)</f>
        <v>#REF!</v>
      </c>
      <c r="AU78" s="249">
        <f>VLOOKUP($AR$78,$B$240:$AK$287,26)</f>
        <v>0</v>
      </c>
      <c r="AV78" s="249">
        <f>VLOOKUP(AR78,$B$235:$AK$287,10,)</f>
        <v>66000</v>
      </c>
      <c r="AW78" s="249" t="e">
        <f ca="1">SUM(AS78:AU78)</f>
        <v>#REF!</v>
      </c>
      <c r="AX78" s="249">
        <f ca="1">$AT$50</f>
        <v>1670</v>
      </c>
      <c r="AY78" s="321">
        <v>85</v>
      </c>
      <c r="AZ78" s="321"/>
      <c r="BA78" s="321"/>
    </row>
    <row r="79" spans="1:62" ht="53" customHeight="1" x14ac:dyDescent="0.35">
      <c r="B79" s="344">
        <f t="shared" si="56"/>
        <v>73</v>
      </c>
      <c r="C79" s="345">
        <f t="shared" si="52"/>
        <v>0</v>
      </c>
      <c r="D79" s="345">
        <f t="shared" si="39"/>
        <v>1195</v>
      </c>
      <c r="E79" s="345">
        <f t="shared" si="40"/>
        <v>900</v>
      </c>
      <c r="F79" s="345">
        <v>600</v>
      </c>
      <c r="G79" s="345">
        <f t="shared" si="41"/>
        <v>0</v>
      </c>
      <c r="H79" s="345">
        <f t="shared" ca="1" si="57"/>
        <v>72805</v>
      </c>
      <c r="I79" s="345">
        <f t="shared" ca="1" si="42"/>
        <v>2912.2000000000003</v>
      </c>
      <c r="J79" s="345">
        <f t="shared" ca="1" si="43"/>
        <v>217.19999999999709</v>
      </c>
      <c r="K79" s="345">
        <f t="shared" ca="1" si="60"/>
        <v>75500</v>
      </c>
      <c r="L79" s="307"/>
      <c r="M79" s="346">
        <f t="shared" ref="M79:M90" ca="1" si="61">IF(R78&gt;=AR43,AR43,0)</f>
        <v>0</v>
      </c>
      <c r="N79" s="345">
        <f t="shared" si="44"/>
        <v>0</v>
      </c>
      <c r="O79" s="345">
        <f t="shared" ca="1" si="58"/>
        <v>103170.23762175434</v>
      </c>
      <c r="P79" s="345">
        <f t="shared" ca="1" si="45"/>
        <v>2400</v>
      </c>
      <c r="Q79" s="345">
        <f t="shared" ca="1" si="46"/>
        <v>3158.511881087717</v>
      </c>
      <c r="R79" s="345">
        <f t="shared" ca="1" si="59"/>
        <v>108728.74950284205</v>
      </c>
      <c r="S79" s="306"/>
      <c r="T79" s="347">
        <f t="shared" ca="1" si="47"/>
        <v>217.19999999999709</v>
      </c>
      <c r="U79" s="347">
        <f t="shared" ca="1" si="54"/>
        <v>0</v>
      </c>
      <c r="V79" s="348">
        <f t="shared" si="48"/>
        <v>0</v>
      </c>
      <c r="W79" s="345">
        <f t="shared" ca="1" si="49"/>
        <v>0</v>
      </c>
      <c r="X79" s="345">
        <f t="shared" si="50"/>
        <v>0</v>
      </c>
      <c r="Y79" s="345">
        <f t="shared" ca="1" si="55"/>
        <v>-885500.30330416479</v>
      </c>
      <c r="Z79" s="349">
        <f t="shared" ca="1" si="51"/>
        <v>-53130.018198249883</v>
      </c>
      <c r="AA79" s="270"/>
      <c r="AB79" s="270"/>
      <c r="AC79" s="270"/>
      <c r="AD79" s="270"/>
      <c r="AE79" s="270"/>
      <c r="AF79" s="270"/>
      <c r="AG79" s="323"/>
      <c r="AH79" s="323"/>
      <c r="AI79" s="323"/>
      <c r="AJ79" s="323"/>
      <c r="AR79" s="321">
        <f>'[10]Retirement Dashboard'!E40</f>
        <v>90</v>
      </c>
      <c r="AS79" s="249">
        <f ca="1">IF(AR79&lt;=65,12,(AR79-65)*12)*$AT$50</f>
        <v>501000</v>
      </c>
      <c r="AT79" s="249" t="e">
        <f ca="1">VLOOKUP($AR$79,$B$240:$AK$287,17)</f>
        <v>#REF!</v>
      </c>
      <c r="AU79" s="249">
        <f>VLOOKUP($AR$79,$B$240:$AK$287,26)</f>
        <v>0</v>
      </c>
      <c r="AV79" s="249">
        <f>VLOOKUP(AR79,$B$235:$AK$287,10,)</f>
        <v>66000</v>
      </c>
      <c r="AW79" s="249" t="e">
        <f ca="1">SUM(AS79:AU79)</f>
        <v>#REF!</v>
      </c>
      <c r="AX79" s="249">
        <f ca="1">$AT$50</f>
        <v>1670</v>
      </c>
      <c r="AY79" s="321">
        <f>BH31</f>
        <v>65</v>
      </c>
      <c r="AZ79" s="321"/>
      <c r="BA79" s="321"/>
    </row>
    <row r="80" spans="1:62" ht="53" customHeight="1" x14ac:dyDescent="0.35">
      <c r="B80" s="344">
        <f t="shared" si="56"/>
        <v>74</v>
      </c>
      <c r="C80" s="345">
        <f t="shared" si="52"/>
        <v>0</v>
      </c>
      <c r="D80" s="345">
        <f t="shared" si="39"/>
        <v>1320</v>
      </c>
      <c r="E80" s="345">
        <f t="shared" si="40"/>
        <v>900</v>
      </c>
      <c r="F80" s="345">
        <v>600</v>
      </c>
      <c r="G80" s="345">
        <f t="shared" si="41"/>
        <v>0</v>
      </c>
      <c r="H80" s="345">
        <f t="shared" ca="1" si="57"/>
        <v>72680</v>
      </c>
      <c r="I80" s="345">
        <f t="shared" ca="1" si="42"/>
        <v>2907.2000000000003</v>
      </c>
      <c r="J80" s="345">
        <f t="shared" ca="1" si="43"/>
        <v>87.19999999999709</v>
      </c>
      <c r="K80" s="345">
        <f t="shared" ca="1" si="60"/>
        <v>75500</v>
      </c>
      <c r="L80" s="278"/>
      <c r="M80" s="346">
        <f t="shared" ca="1" si="61"/>
        <v>65</v>
      </c>
      <c r="N80" s="345">
        <f t="shared" si="44"/>
        <v>0</v>
      </c>
      <c r="O80" s="345">
        <f t="shared" ca="1" si="58"/>
        <v>108663.74950284205</v>
      </c>
      <c r="P80" s="345">
        <f t="shared" ca="1" si="45"/>
        <v>2400</v>
      </c>
      <c r="Q80" s="345">
        <f t="shared" ca="1" si="46"/>
        <v>3433.1874751421028</v>
      </c>
      <c r="R80" s="345">
        <f t="shared" ca="1" si="59"/>
        <v>114496.93697798415</v>
      </c>
      <c r="T80" s="347">
        <f t="shared" ca="1" si="47"/>
        <v>87.19999999999709</v>
      </c>
      <c r="U80" s="347">
        <f t="shared" ca="1" si="54"/>
        <v>0</v>
      </c>
      <c r="V80" s="348">
        <f t="shared" si="48"/>
        <v>0</v>
      </c>
      <c r="W80" s="345">
        <f t="shared" ca="1" si="49"/>
        <v>0</v>
      </c>
      <c r="X80" s="345">
        <f t="shared" si="50"/>
        <v>0</v>
      </c>
      <c r="Y80" s="345">
        <f t="shared" ca="1" si="55"/>
        <v>-938543.12150241469</v>
      </c>
      <c r="Z80" s="349">
        <f t="shared" ca="1" si="51"/>
        <v>-56312.587290144882</v>
      </c>
      <c r="AA80" s="270"/>
      <c r="AB80" s="270"/>
      <c r="AC80" s="270"/>
      <c r="AD80" s="270"/>
      <c r="AE80" s="270"/>
      <c r="AF80" s="270"/>
      <c r="AG80" s="323"/>
      <c r="AH80" s="323"/>
      <c r="AI80" s="323"/>
      <c r="AJ80" s="323"/>
    </row>
    <row r="81" spans="1:40" ht="53" customHeight="1" x14ac:dyDescent="0.35">
      <c r="B81" s="344">
        <f t="shared" si="56"/>
        <v>75</v>
      </c>
      <c r="C81" s="345">
        <f t="shared" si="52"/>
        <v>0</v>
      </c>
      <c r="D81" s="345">
        <f t="shared" si="39"/>
        <v>1320</v>
      </c>
      <c r="E81" s="345">
        <f t="shared" si="40"/>
        <v>900</v>
      </c>
      <c r="F81" s="345">
        <v>600</v>
      </c>
      <c r="G81" s="345">
        <f t="shared" si="41"/>
        <v>0</v>
      </c>
      <c r="H81" s="345">
        <f t="shared" ca="1" si="57"/>
        <v>72680</v>
      </c>
      <c r="I81" s="345">
        <f t="shared" ca="1" si="42"/>
        <v>2907.2000000000003</v>
      </c>
      <c r="J81" s="345">
        <f t="shared" ca="1" si="43"/>
        <v>87.19999999999709</v>
      </c>
      <c r="K81" s="345">
        <f t="shared" ca="1" si="60"/>
        <v>75500</v>
      </c>
      <c r="L81" s="278"/>
      <c r="M81" s="346">
        <f t="shared" ca="1" si="61"/>
        <v>55</v>
      </c>
      <c r="N81" s="345">
        <f t="shared" si="44"/>
        <v>0</v>
      </c>
      <c r="O81" s="345">
        <f t="shared" ca="1" si="58"/>
        <v>114441.93697798415</v>
      </c>
      <c r="P81" s="345">
        <f t="shared" ca="1" si="45"/>
        <v>2400</v>
      </c>
      <c r="Q81" s="345">
        <f t="shared" ca="1" si="46"/>
        <v>3722.0968488992075</v>
      </c>
      <c r="R81" s="345">
        <f t="shared" ca="1" si="59"/>
        <v>120564.03382688336</v>
      </c>
      <c r="T81" s="347">
        <f t="shared" ca="1" si="47"/>
        <v>87.19999999999709</v>
      </c>
      <c r="U81" s="347">
        <f t="shared" ca="1" si="54"/>
        <v>0</v>
      </c>
      <c r="V81" s="348">
        <f t="shared" si="48"/>
        <v>0</v>
      </c>
      <c r="W81" s="345">
        <f t="shared" ca="1" si="49"/>
        <v>0</v>
      </c>
      <c r="X81" s="345">
        <f t="shared" si="50"/>
        <v>0</v>
      </c>
      <c r="Y81" s="345">
        <f t="shared" ca="1" si="55"/>
        <v>-994768.50879255962</v>
      </c>
      <c r="Z81" s="349">
        <f t="shared" ca="1" si="51"/>
        <v>-59686.110527553574</v>
      </c>
      <c r="AA81" s="270"/>
      <c r="AB81" s="270"/>
      <c r="AC81" s="270"/>
      <c r="AD81" s="270"/>
      <c r="AE81" s="270"/>
      <c r="AF81" s="270"/>
      <c r="AG81" s="323"/>
      <c r="AH81" s="323"/>
      <c r="AI81" s="323"/>
      <c r="AJ81" s="323"/>
    </row>
    <row r="82" spans="1:40" ht="53" customHeight="1" x14ac:dyDescent="0.35">
      <c r="B82" s="344">
        <f t="shared" si="56"/>
        <v>76</v>
      </c>
      <c r="C82" s="345">
        <f t="shared" si="52"/>
        <v>0</v>
      </c>
      <c r="D82" s="345">
        <f t="shared" si="39"/>
        <v>1530</v>
      </c>
      <c r="E82" s="345">
        <f t="shared" si="40"/>
        <v>900</v>
      </c>
      <c r="F82" s="345">
        <v>600</v>
      </c>
      <c r="G82" s="345">
        <f t="shared" si="41"/>
        <v>0</v>
      </c>
      <c r="H82" s="345">
        <f t="shared" ca="1" si="57"/>
        <v>72470</v>
      </c>
      <c r="I82" s="345">
        <f t="shared" ca="1" si="42"/>
        <v>2898.8</v>
      </c>
      <c r="J82" s="345">
        <f t="shared" ca="1" si="43"/>
        <v>0</v>
      </c>
      <c r="K82" s="345">
        <f t="shared" ca="1" si="60"/>
        <v>75368.800000000003</v>
      </c>
      <c r="L82" s="278"/>
      <c r="M82" s="346">
        <f t="shared" ca="1" si="61"/>
        <v>65</v>
      </c>
      <c r="N82" s="345">
        <f t="shared" si="44"/>
        <v>0</v>
      </c>
      <c r="O82" s="345">
        <f t="shared" ca="1" si="58"/>
        <v>120499.03382688336</v>
      </c>
      <c r="P82" s="345">
        <f t="shared" ca="1" si="45"/>
        <v>2400</v>
      </c>
      <c r="Q82" s="345">
        <f t="shared" ca="1" si="46"/>
        <v>4024.951691344168</v>
      </c>
      <c r="R82" s="345">
        <f t="shared" ca="1" si="59"/>
        <v>126923.98551822752</v>
      </c>
      <c r="T82" s="347">
        <f t="shared" ca="1" si="47"/>
        <v>0</v>
      </c>
      <c r="U82" s="347">
        <f t="shared" ca="1" si="54"/>
        <v>0</v>
      </c>
      <c r="V82" s="348">
        <f t="shared" si="48"/>
        <v>0</v>
      </c>
      <c r="W82" s="345">
        <f t="shared" ca="1" si="49"/>
        <v>0</v>
      </c>
      <c r="X82" s="345">
        <f t="shared" si="50"/>
        <v>0</v>
      </c>
      <c r="Y82" s="345">
        <f t="shared" ca="1" si="55"/>
        <v>-1054454.6193201132</v>
      </c>
      <c r="Z82" s="349">
        <f t="shared" ca="1" si="51"/>
        <v>-63267.277159206787</v>
      </c>
      <c r="AA82" s="270"/>
      <c r="AB82" s="270"/>
      <c r="AC82" s="270"/>
      <c r="AD82" s="270"/>
      <c r="AE82" s="270"/>
      <c r="AF82" s="270"/>
      <c r="AG82" s="323"/>
      <c r="AH82" s="323"/>
      <c r="AI82" s="323"/>
      <c r="AJ82" s="323"/>
    </row>
    <row r="83" spans="1:40" ht="53" customHeight="1" x14ac:dyDescent="0.35">
      <c r="B83" s="344">
        <f t="shared" si="56"/>
        <v>77</v>
      </c>
      <c r="C83" s="345">
        <f t="shared" si="52"/>
        <v>0</v>
      </c>
      <c r="D83" s="345">
        <f t="shared" si="39"/>
        <v>1530</v>
      </c>
      <c r="E83" s="345">
        <f t="shared" si="40"/>
        <v>900</v>
      </c>
      <c r="F83" s="345">
        <v>600</v>
      </c>
      <c r="G83" s="345">
        <f t="shared" si="41"/>
        <v>0</v>
      </c>
      <c r="H83" s="345">
        <f t="shared" ca="1" si="57"/>
        <v>72338.8</v>
      </c>
      <c r="I83" s="345">
        <f t="shared" ca="1" si="42"/>
        <v>2893.5520000000001</v>
      </c>
      <c r="J83" s="345">
        <f t="shared" ca="1" si="43"/>
        <v>0</v>
      </c>
      <c r="K83" s="345">
        <f t="shared" ca="1" si="60"/>
        <v>75232.351999999999</v>
      </c>
      <c r="L83" s="278"/>
      <c r="M83" s="346">
        <f t="shared" ca="1" si="61"/>
        <v>75</v>
      </c>
      <c r="N83" s="345">
        <f t="shared" si="44"/>
        <v>0</v>
      </c>
      <c r="O83" s="345">
        <f t="shared" ca="1" si="58"/>
        <v>126848.98551822752</v>
      </c>
      <c r="P83" s="345">
        <f t="shared" ca="1" si="45"/>
        <v>2400</v>
      </c>
      <c r="Q83" s="345">
        <f t="shared" ca="1" si="46"/>
        <v>4342.4492759113764</v>
      </c>
      <c r="R83" s="345">
        <f t="shared" ca="1" si="59"/>
        <v>133591.43479413888</v>
      </c>
      <c r="T83" s="347">
        <f t="shared" ca="1" si="47"/>
        <v>0</v>
      </c>
      <c r="U83" s="347">
        <f t="shared" ca="1" si="54"/>
        <v>0</v>
      </c>
      <c r="V83" s="348">
        <f t="shared" si="48"/>
        <v>0</v>
      </c>
      <c r="W83" s="345">
        <f t="shared" ca="1" si="49"/>
        <v>0</v>
      </c>
      <c r="X83" s="345">
        <f t="shared" si="50"/>
        <v>0</v>
      </c>
      <c r="Y83" s="345">
        <f t="shared" ca="1" si="55"/>
        <v>-1117721.89647932</v>
      </c>
      <c r="Z83" s="349">
        <f t="shared" ca="1" si="51"/>
        <v>-67063.313788759202</v>
      </c>
      <c r="AA83" s="270"/>
      <c r="AB83" s="270"/>
      <c r="AC83" s="270"/>
      <c r="AD83" s="270"/>
      <c r="AE83" s="270"/>
      <c r="AF83" s="270"/>
      <c r="AG83" s="323"/>
      <c r="AH83" s="323"/>
      <c r="AI83" s="323"/>
      <c r="AJ83" s="323"/>
    </row>
    <row r="84" spans="1:40" ht="53" customHeight="1" x14ac:dyDescent="0.35">
      <c r="B84" s="344">
        <f t="shared" si="56"/>
        <v>78</v>
      </c>
      <c r="C84" s="345">
        <f t="shared" si="52"/>
        <v>0</v>
      </c>
      <c r="D84" s="345">
        <f t="shared" si="39"/>
        <v>1530</v>
      </c>
      <c r="E84" s="345">
        <f t="shared" si="40"/>
        <v>900</v>
      </c>
      <c r="F84" s="345">
        <v>600</v>
      </c>
      <c r="G84" s="345">
        <f t="shared" si="41"/>
        <v>0</v>
      </c>
      <c r="H84" s="345">
        <f t="shared" ca="1" si="57"/>
        <v>72202.351999999999</v>
      </c>
      <c r="I84" s="345">
        <f t="shared" ca="1" si="42"/>
        <v>2888.0940799999998</v>
      </c>
      <c r="J84" s="345">
        <f t="shared" ca="1" si="43"/>
        <v>0</v>
      </c>
      <c r="K84" s="345">
        <f t="shared" ca="1" si="60"/>
        <v>75090.446079999994</v>
      </c>
      <c r="L84" s="278"/>
      <c r="M84" s="346">
        <f t="shared" ca="1" si="61"/>
        <v>90</v>
      </c>
      <c r="N84" s="345">
        <f t="shared" si="44"/>
        <v>0</v>
      </c>
      <c r="O84" s="345">
        <f t="shared" ca="1" si="58"/>
        <v>133501.43479413888</v>
      </c>
      <c r="P84" s="345">
        <f t="shared" ca="1" si="45"/>
        <v>2400</v>
      </c>
      <c r="Q84" s="345">
        <f t="shared" ca="1" si="46"/>
        <v>4675.0717397069448</v>
      </c>
      <c r="R84" s="345">
        <f t="shared" ca="1" si="59"/>
        <v>140576.50653384582</v>
      </c>
      <c r="T84" s="347">
        <f t="shared" ca="1" si="47"/>
        <v>0</v>
      </c>
      <c r="U84" s="347">
        <f t="shared" ca="1" si="54"/>
        <v>0</v>
      </c>
      <c r="V84" s="348">
        <f t="shared" si="48"/>
        <v>0</v>
      </c>
      <c r="W84" s="345">
        <f t="shared" ca="1" si="49"/>
        <v>0</v>
      </c>
      <c r="X84" s="345">
        <f t="shared" si="50"/>
        <v>0</v>
      </c>
      <c r="Y84" s="345">
        <f t="shared" ca="1" si="55"/>
        <v>-1184785.2102680793</v>
      </c>
      <c r="Z84" s="349">
        <f t="shared" ca="1" si="51"/>
        <v>-71087.112616084749</v>
      </c>
      <c r="AA84" s="270"/>
      <c r="AB84" s="270"/>
      <c r="AC84" s="270"/>
      <c r="AD84" s="270"/>
      <c r="AE84" s="270"/>
      <c r="AF84" s="270"/>
      <c r="AG84" s="323"/>
      <c r="AH84" s="323"/>
      <c r="AI84" s="323"/>
      <c r="AJ84" s="323"/>
    </row>
    <row r="85" spans="1:40" ht="53" customHeight="1" x14ac:dyDescent="0.35">
      <c r="B85" s="344">
        <f t="shared" si="56"/>
        <v>79</v>
      </c>
      <c r="C85" s="345">
        <f t="shared" si="52"/>
        <v>0</v>
      </c>
      <c r="D85" s="345">
        <f t="shared" si="39"/>
        <v>1590</v>
      </c>
      <c r="E85" s="345">
        <f t="shared" si="40"/>
        <v>900</v>
      </c>
      <c r="F85" s="345">
        <v>600</v>
      </c>
      <c r="G85" s="345">
        <f t="shared" si="41"/>
        <v>0</v>
      </c>
      <c r="H85" s="345">
        <f t="shared" ca="1" si="57"/>
        <v>72000.446079999994</v>
      </c>
      <c r="I85" s="345">
        <f t="shared" ca="1" si="42"/>
        <v>2880.0178431999998</v>
      </c>
      <c r="J85" s="345">
        <f t="shared" ca="1" si="43"/>
        <v>0</v>
      </c>
      <c r="K85" s="345">
        <f t="shared" ca="1" si="60"/>
        <v>74880.46392319999</v>
      </c>
      <c r="L85" s="278"/>
      <c r="M85" s="346">
        <f t="shared" ca="1" si="61"/>
        <v>0</v>
      </c>
      <c r="N85" s="345">
        <f t="shared" si="44"/>
        <v>0</v>
      </c>
      <c r="O85" s="345">
        <f t="shared" ca="1" si="58"/>
        <v>140576.50653384582</v>
      </c>
      <c r="P85" s="345">
        <f t="shared" ca="1" si="45"/>
        <v>2400</v>
      </c>
      <c r="Q85" s="345">
        <f t="shared" ca="1" si="46"/>
        <v>5028.8253266922911</v>
      </c>
      <c r="R85" s="345">
        <f t="shared" ca="1" si="59"/>
        <v>148005.33186053811</v>
      </c>
      <c r="T85" s="347">
        <f t="shared" ca="1" si="47"/>
        <v>0</v>
      </c>
      <c r="U85" s="347">
        <f t="shared" ca="1" si="54"/>
        <v>0</v>
      </c>
      <c r="V85" s="348">
        <f t="shared" si="48"/>
        <v>0</v>
      </c>
      <c r="W85" s="345">
        <f t="shared" ca="1" si="49"/>
        <v>0</v>
      </c>
      <c r="X85" s="345">
        <f t="shared" si="50"/>
        <v>0</v>
      </c>
      <c r="Y85" s="345">
        <f t="shared" ca="1" si="55"/>
        <v>-1255872.3228841641</v>
      </c>
      <c r="Z85" s="349">
        <f t="shared" ca="1" si="51"/>
        <v>-75352.339373049836</v>
      </c>
      <c r="AA85" s="270"/>
      <c r="AB85" s="270"/>
      <c r="AC85" s="270"/>
      <c r="AD85" s="270"/>
      <c r="AE85" s="270"/>
      <c r="AF85" s="270"/>
      <c r="AG85" s="323"/>
      <c r="AH85" s="323"/>
      <c r="AI85" s="323"/>
      <c r="AJ85" s="323"/>
    </row>
    <row r="86" spans="1:40" ht="53" customHeight="1" x14ac:dyDescent="0.35">
      <c r="B86" s="344">
        <f t="shared" si="56"/>
        <v>80</v>
      </c>
      <c r="C86" s="345">
        <f t="shared" si="52"/>
        <v>0</v>
      </c>
      <c r="D86" s="345">
        <f t="shared" si="39"/>
        <v>1590</v>
      </c>
      <c r="E86" s="345">
        <f t="shared" si="40"/>
        <v>900</v>
      </c>
      <c r="F86" s="345">
        <v>600</v>
      </c>
      <c r="G86" s="345">
        <f t="shared" si="41"/>
        <v>0</v>
      </c>
      <c r="H86" s="345">
        <f t="shared" ca="1" si="57"/>
        <v>71790.46392319999</v>
      </c>
      <c r="I86" s="345">
        <f t="shared" ca="1" si="42"/>
        <v>2871.6185569279996</v>
      </c>
      <c r="J86" s="345">
        <f t="shared" ca="1" si="43"/>
        <v>0</v>
      </c>
      <c r="K86" s="345">
        <f t="shared" ca="1" si="60"/>
        <v>74662.082480127996</v>
      </c>
      <c r="L86" s="278"/>
      <c r="M86" s="346">
        <f t="shared" ca="1" si="61"/>
        <v>0</v>
      </c>
      <c r="N86" s="345">
        <f t="shared" si="44"/>
        <v>0</v>
      </c>
      <c r="O86" s="345">
        <f t="shared" ca="1" si="58"/>
        <v>148005.33186053811</v>
      </c>
      <c r="P86" s="345">
        <f t="shared" ca="1" si="45"/>
        <v>2400</v>
      </c>
      <c r="Q86" s="345">
        <f t="shared" ca="1" si="46"/>
        <v>5400.2665930269059</v>
      </c>
      <c r="R86" s="345">
        <f t="shared" ca="1" si="59"/>
        <v>155805.59845356501</v>
      </c>
      <c r="T86" s="347">
        <f t="shared" ca="1" si="47"/>
        <v>0</v>
      </c>
      <c r="U86" s="347">
        <f t="shared" ca="1" si="54"/>
        <v>0</v>
      </c>
      <c r="V86" s="348">
        <f t="shared" si="48"/>
        <v>0</v>
      </c>
      <c r="W86" s="345">
        <f t="shared" ca="1" si="49"/>
        <v>0</v>
      </c>
      <c r="X86" s="345">
        <f t="shared" si="50"/>
        <v>0</v>
      </c>
      <c r="Y86" s="345">
        <f t="shared" ca="1" si="55"/>
        <v>-1331224.6622572138</v>
      </c>
      <c r="Z86" s="349">
        <f t="shared" ca="1" si="51"/>
        <v>-79873.479735432833</v>
      </c>
      <c r="AA86" s="270"/>
      <c r="AB86" s="270"/>
      <c r="AC86" s="270"/>
      <c r="AD86" s="270"/>
      <c r="AE86" s="270"/>
      <c r="AF86" s="270"/>
      <c r="AG86" s="323"/>
      <c r="AH86" s="323"/>
      <c r="AI86" s="323"/>
      <c r="AJ86" s="323"/>
    </row>
    <row r="87" spans="1:40" ht="53" customHeight="1" x14ac:dyDescent="0.35">
      <c r="B87" s="344">
        <f t="shared" si="56"/>
        <v>81</v>
      </c>
      <c r="C87" s="345">
        <f t="shared" si="52"/>
        <v>0</v>
      </c>
      <c r="D87" s="345">
        <f t="shared" si="39"/>
        <v>1675</v>
      </c>
      <c r="E87" s="345">
        <f t="shared" si="40"/>
        <v>900</v>
      </c>
      <c r="F87" s="345">
        <v>600</v>
      </c>
      <c r="G87" s="345">
        <f t="shared" si="41"/>
        <v>0</v>
      </c>
      <c r="H87" s="345">
        <f t="shared" ca="1" si="57"/>
        <v>71487.082480127996</v>
      </c>
      <c r="I87" s="345">
        <f t="shared" ca="1" si="42"/>
        <v>2859.4832992051197</v>
      </c>
      <c r="J87" s="345">
        <f t="shared" ca="1" si="43"/>
        <v>0</v>
      </c>
      <c r="K87" s="345">
        <f t="shared" ca="1" si="60"/>
        <v>74346.565779333119</v>
      </c>
      <c r="L87" s="278"/>
      <c r="M87" s="346">
        <f t="shared" ca="1" si="61"/>
        <v>0</v>
      </c>
      <c r="N87" s="345">
        <f t="shared" si="44"/>
        <v>0</v>
      </c>
      <c r="O87" s="345">
        <f t="shared" ca="1" si="58"/>
        <v>155805.59845356501</v>
      </c>
      <c r="P87" s="345">
        <f t="shared" ca="1" si="45"/>
        <v>2400</v>
      </c>
      <c r="Q87" s="345">
        <f t="shared" ca="1" si="46"/>
        <v>5790.2799226782508</v>
      </c>
      <c r="R87" s="345">
        <f t="shared" ca="1" si="59"/>
        <v>163995.87837624326</v>
      </c>
      <c r="T87" s="347">
        <f t="shared" ca="1" si="47"/>
        <v>0</v>
      </c>
      <c r="U87" s="347">
        <f t="shared" ca="1" si="54"/>
        <v>0</v>
      </c>
      <c r="V87" s="348">
        <f t="shared" si="48"/>
        <v>0</v>
      </c>
      <c r="W87" s="345">
        <f t="shared" ca="1" si="49"/>
        <v>0</v>
      </c>
      <c r="X87" s="345">
        <f t="shared" si="50"/>
        <v>0</v>
      </c>
      <c r="Y87" s="345">
        <f t="shared" ca="1" si="55"/>
        <v>-1411098.1419926467</v>
      </c>
      <c r="Z87" s="349">
        <f t="shared" ca="1" si="51"/>
        <v>-84665.888519558808</v>
      </c>
      <c r="AA87" s="270"/>
      <c r="AB87" s="270"/>
      <c r="AC87" s="270"/>
      <c r="AD87" s="270"/>
      <c r="AE87" s="270"/>
      <c r="AF87" s="270"/>
      <c r="AG87" s="323"/>
      <c r="AH87" s="323"/>
      <c r="AI87" s="323"/>
      <c r="AJ87" s="323"/>
    </row>
    <row r="88" spans="1:40" ht="53" customHeight="1" x14ac:dyDescent="0.35">
      <c r="B88" s="344">
        <f t="shared" si="56"/>
        <v>82</v>
      </c>
      <c r="C88" s="345">
        <f t="shared" si="52"/>
        <v>0</v>
      </c>
      <c r="D88" s="345">
        <f t="shared" si="39"/>
        <v>1675</v>
      </c>
      <c r="E88" s="345">
        <f t="shared" si="40"/>
        <v>900</v>
      </c>
      <c r="F88" s="345">
        <v>600</v>
      </c>
      <c r="G88" s="345">
        <f t="shared" si="41"/>
        <v>0</v>
      </c>
      <c r="H88" s="345">
        <f t="shared" ca="1" si="57"/>
        <v>71171.565779333119</v>
      </c>
      <c r="I88" s="345">
        <f t="shared" ca="1" si="42"/>
        <v>2846.8626311733246</v>
      </c>
      <c r="J88" s="345">
        <f t="shared" ca="1" si="43"/>
        <v>0</v>
      </c>
      <c r="K88" s="345">
        <f t="shared" ca="1" si="60"/>
        <v>74018.428410506443</v>
      </c>
      <c r="L88" s="278"/>
      <c r="M88" s="346">
        <f t="shared" ca="1" si="61"/>
        <v>0</v>
      </c>
      <c r="N88" s="345">
        <f t="shared" si="44"/>
        <v>0</v>
      </c>
      <c r="O88" s="345">
        <f t="shared" ca="1" si="58"/>
        <v>163995.87837624326</v>
      </c>
      <c r="P88" s="345">
        <f t="shared" ca="1" si="45"/>
        <v>2400</v>
      </c>
      <c r="Q88" s="345">
        <f t="shared" ca="1" si="46"/>
        <v>6199.7939188121636</v>
      </c>
      <c r="R88" s="345">
        <f t="shared" ca="1" si="59"/>
        <v>172595.67229505541</v>
      </c>
      <c r="T88" s="347">
        <f t="shared" ca="1" si="47"/>
        <v>0</v>
      </c>
      <c r="U88" s="347">
        <f t="shared" ca="1" si="54"/>
        <v>0</v>
      </c>
      <c r="V88" s="348">
        <f t="shared" si="48"/>
        <v>0</v>
      </c>
      <c r="W88" s="345">
        <f t="shared" ca="1" si="49"/>
        <v>0</v>
      </c>
      <c r="X88" s="345">
        <f t="shared" si="50"/>
        <v>0</v>
      </c>
      <c r="Y88" s="345">
        <f t="shared" ca="1" si="55"/>
        <v>-1495764.0305122056</v>
      </c>
      <c r="Z88" s="349">
        <f t="shared" ca="1" si="51"/>
        <v>-89745.84183073233</v>
      </c>
      <c r="AA88" s="270"/>
      <c r="AB88" s="270"/>
      <c r="AC88" s="270"/>
      <c r="AD88" s="270"/>
      <c r="AE88" s="270"/>
      <c r="AF88" s="270"/>
      <c r="AG88" s="323"/>
      <c r="AH88" s="323"/>
      <c r="AI88" s="323"/>
      <c r="AJ88" s="323"/>
    </row>
    <row r="89" spans="1:40" ht="53" customHeight="1" x14ac:dyDescent="0.35">
      <c r="B89" s="344">
        <f t="shared" si="56"/>
        <v>83</v>
      </c>
      <c r="C89" s="345">
        <f t="shared" si="52"/>
        <v>0</v>
      </c>
      <c r="D89" s="345">
        <f t="shared" si="39"/>
        <v>1675</v>
      </c>
      <c r="E89" s="345">
        <f t="shared" si="40"/>
        <v>900</v>
      </c>
      <c r="F89" s="345">
        <v>600</v>
      </c>
      <c r="G89" s="345">
        <f t="shared" si="41"/>
        <v>0</v>
      </c>
      <c r="H89" s="345">
        <f t="shared" ca="1" si="57"/>
        <v>70843.428410506443</v>
      </c>
      <c r="I89" s="345">
        <f t="shared" ca="1" si="42"/>
        <v>2833.7371364202577</v>
      </c>
      <c r="J89" s="345">
        <f t="shared" ca="1" si="43"/>
        <v>0</v>
      </c>
      <c r="K89" s="345">
        <f t="shared" ca="1" si="60"/>
        <v>73677.165546926699</v>
      </c>
      <c r="L89" s="278"/>
      <c r="M89" s="346">
        <f t="shared" ca="1" si="61"/>
        <v>0</v>
      </c>
      <c r="N89" s="345">
        <f t="shared" si="44"/>
        <v>0</v>
      </c>
      <c r="O89" s="345">
        <f t="shared" ca="1" si="58"/>
        <v>172595.67229505541</v>
      </c>
      <c r="P89" s="345">
        <f t="shared" ca="1" si="45"/>
        <v>2400</v>
      </c>
      <c r="Q89" s="345">
        <f t="shared" ca="1" si="46"/>
        <v>6629.7836147527705</v>
      </c>
      <c r="R89" s="345">
        <f t="shared" ca="1" si="59"/>
        <v>181625.45590980817</v>
      </c>
      <c r="T89" s="347">
        <f t="shared" ca="1" si="47"/>
        <v>0</v>
      </c>
      <c r="U89" s="347">
        <f t="shared" ca="1" si="54"/>
        <v>0</v>
      </c>
      <c r="V89" s="348">
        <f t="shared" si="48"/>
        <v>0</v>
      </c>
      <c r="W89" s="345">
        <f t="shared" ca="1" si="49"/>
        <v>0</v>
      </c>
      <c r="X89" s="345">
        <f t="shared" si="50"/>
        <v>0</v>
      </c>
      <c r="Y89" s="345">
        <f t="shared" ca="1" si="55"/>
        <v>-1585509.8723429379</v>
      </c>
      <c r="Z89" s="349">
        <f t="shared" ca="1" si="51"/>
        <v>-95130.592340576273</v>
      </c>
      <c r="AA89" s="270"/>
      <c r="AB89" s="270"/>
      <c r="AC89" s="270"/>
      <c r="AD89" s="270"/>
      <c r="AE89" s="270"/>
      <c r="AF89" s="270"/>
      <c r="AG89" s="323"/>
      <c r="AH89" s="323"/>
      <c r="AI89" s="323"/>
      <c r="AJ89" s="323"/>
    </row>
    <row r="90" spans="1:40" s="306" customFormat="1" ht="53" customHeight="1" x14ac:dyDescent="0.35">
      <c r="A90" s="247"/>
      <c r="B90" s="344">
        <f t="shared" si="56"/>
        <v>84</v>
      </c>
      <c r="C90" s="345">
        <f t="shared" si="52"/>
        <v>0</v>
      </c>
      <c r="D90" s="345">
        <f t="shared" si="39"/>
        <v>1935</v>
      </c>
      <c r="E90" s="345">
        <f t="shared" si="40"/>
        <v>900</v>
      </c>
      <c r="F90" s="345">
        <v>600</v>
      </c>
      <c r="G90" s="345">
        <f t="shared" si="41"/>
        <v>0</v>
      </c>
      <c r="H90" s="345">
        <f t="shared" ca="1" si="57"/>
        <v>70242.165546926699</v>
      </c>
      <c r="I90" s="345">
        <f t="shared" ca="1" si="42"/>
        <v>2809.6866218770679</v>
      </c>
      <c r="J90" s="345">
        <f t="shared" ca="1" si="43"/>
        <v>0</v>
      </c>
      <c r="K90" s="345">
        <f t="shared" ca="1" si="60"/>
        <v>73051.852168803773</v>
      </c>
      <c r="L90" s="278"/>
      <c r="M90" s="346">
        <f t="shared" ca="1" si="61"/>
        <v>0</v>
      </c>
      <c r="N90" s="345">
        <f t="shared" si="44"/>
        <v>0</v>
      </c>
      <c r="O90" s="345">
        <f t="shared" ca="1" si="58"/>
        <v>181625.45590980817</v>
      </c>
      <c r="P90" s="345">
        <f t="shared" ca="1" si="45"/>
        <v>2400</v>
      </c>
      <c r="Q90" s="345">
        <f t="shared" ca="1" si="46"/>
        <v>7081.2727954904085</v>
      </c>
      <c r="R90" s="345">
        <f t="shared" ca="1" si="59"/>
        <v>191106.72870529856</v>
      </c>
      <c r="S90" s="247"/>
      <c r="T90" s="347">
        <f t="shared" ca="1" si="47"/>
        <v>0</v>
      </c>
      <c r="U90" s="347">
        <f t="shared" ca="1" si="54"/>
        <v>0</v>
      </c>
      <c r="V90" s="348">
        <f t="shared" si="48"/>
        <v>0</v>
      </c>
      <c r="W90" s="345">
        <f t="shared" ca="1" si="49"/>
        <v>0</v>
      </c>
      <c r="X90" s="345">
        <f t="shared" si="50"/>
        <v>0</v>
      </c>
      <c r="Y90" s="345">
        <f t="shared" ca="1" si="55"/>
        <v>-1680640.4646835141</v>
      </c>
      <c r="Z90" s="349">
        <f t="shared" ca="1" si="51"/>
        <v>-100838.42788101084</v>
      </c>
      <c r="AA90" s="270"/>
      <c r="AB90" s="270"/>
      <c r="AC90" s="270"/>
      <c r="AD90" s="270"/>
      <c r="AE90" s="270"/>
      <c r="AF90" s="270"/>
      <c r="AG90" s="323"/>
      <c r="AH90" s="323"/>
      <c r="AI90" s="323"/>
      <c r="AJ90" s="323"/>
      <c r="AK90" s="247"/>
      <c r="AL90" s="247"/>
      <c r="AM90" s="247"/>
      <c r="AN90" s="247"/>
    </row>
    <row r="91" spans="1:40" ht="53" customHeight="1" x14ac:dyDescent="0.35">
      <c r="B91" s="344">
        <f t="shared" si="56"/>
        <v>85</v>
      </c>
      <c r="C91" s="345">
        <f t="shared" si="52"/>
        <v>0</v>
      </c>
      <c r="D91" s="345">
        <f t="shared" si="39"/>
        <v>1935</v>
      </c>
      <c r="E91" s="345">
        <f t="shared" si="40"/>
        <v>900</v>
      </c>
      <c r="F91" s="345"/>
      <c r="G91" s="345">
        <f t="shared" si="41"/>
        <v>0</v>
      </c>
      <c r="H91" s="345">
        <f t="shared" ca="1" si="57"/>
        <v>70216.852168803773</v>
      </c>
      <c r="I91" s="345">
        <f t="shared" ca="1" si="42"/>
        <v>2808.6740867521507</v>
      </c>
      <c r="J91" s="345">
        <f t="shared" ca="1" si="43"/>
        <v>0</v>
      </c>
      <c r="K91" s="345">
        <f t="shared" ca="1" si="60"/>
        <v>73025.526255555917</v>
      </c>
      <c r="L91" s="278"/>
      <c r="M91" s="346" t="e">
        <f ca="1">IF(R90&gt;=#REF!,#REF!,0)</f>
        <v>#REF!</v>
      </c>
      <c r="N91" s="345">
        <f t="shared" si="44"/>
        <v>0</v>
      </c>
      <c r="O91" s="345" t="e">
        <f t="shared" ca="1" si="58"/>
        <v>#REF!</v>
      </c>
      <c r="P91" s="345" t="e">
        <f t="shared" ca="1" si="45"/>
        <v>#REF!</v>
      </c>
      <c r="Q91" s="345" t="e">
        <f t="shared" ca="1" si="46"/>
        <v>#REF!</v>
      </c>
      <c r="R91" s="345" t="e">
        <f t="shared" ca="1" si="59"/>
        <v>#REF!</v>
      </c>
      <c r="T91" s="347">
        <f t="shared" ca="1" si="47"/>
        <v>0</v>
      </c>
      <c r="U91" s="347">
        <f t="shared" ca="1" si="54"/>
        <v>0</v>
      </c>
      <c r="V91" s="348">
        <f t="shared" si="48"/>
        <v>0</v>
      </c>
      <c r="W91" s="345">
        <f t="shared" ca="1" si="49"/>
        <v>0</v>
      </c>
      <c r="X91" s="345">
        <f t="shared" si="50"/>
        <v>0</v>
      </c>
      <c r="Y91" s="345">
        <f t="shared" ca="1" si="55"/>
        <v>-1781478.8925645249</v>
      </c>
      <c r="Z91" s="349">
        <f t="shared" ca="1" si="51"/>
        <v>-106888.73355387148</v>
      </c>
      <c r="AA91" s="270"/>
      <c r="AB91" s="270"/>
      <c r="AC91" s="270"/>
      <c r="AD91" s="270"/>
      <c r="AE91" s="270"/>
      <c r="AF91" s="270"/>
      <c r="AG91" s="323"/>
      <c r="AH91" s="323"/>
      <c r="AI91" s="323"/>
      <c r="AJ91" s="323"/>
      <c r="AN91" s="306"/>
    </row>
    <row r="92" spans="1:40" s="294" customFormat="1" ht="53" customHeight="1" x14ac:dyDescent="0.35">
      <c r="A92" s="247"/>
      <c r="B92" s="344">
        <f t="shared" si="56"/>
        <v>86</v>
      </c>
      <c r="C92" s="345">
        <f t="shared" si="52"/>
        <v>0</v>
      </c>
      <c r="D92" s="345">
        <f t="shared" si="39"/>
        <v>2025</v>
      </c>
      <c r="E92" s="345">
        <f t="shared" si="40"/>
        <v>900</v>
      </c>
      <c r="F92" s="345"/>
      <c r="G92" s="345">
        <f t="shared" si="41"/>
        <v>0</v>
      </c>
      <c r="H92" s="345">
        <f t="shared" ca="1" si="57"/>
        <v>70100.526255555917</v>
      </c>
      <c r="I92" s="345">
        <f t="shared" ca="1" si="42"/>
        <v>2804.0210502222367</v>
      </c>
      <c r="J92" s="345">
        <f t="shared" ca="1" si="43"/>
        <v>0</v>
      </c>
      <c r="K92" s="345">
        <f t="shared" ca="1" si="60"/>
        <v>72904.547305778149</v>
      </c>
      <c r="L92" s="278"/>
      <c r="M92" s="346" t="e">
        <f t="shared" ref="M92:M106" ca="1" si="62">IF(R91&gt;=AR55,AR55,0)</f>
        <v>#REF!</v>
      </c>
      <c r="N92" s="345">
        <f t="shared" si="44"/>
        <v>0</v>
      </c>
      <c r="O92" s="345" t="e">
        <f t="shared" ca="1" si="58"/>
        <v>#REF!</v>
      </c>
      <c r="P92" s="345" t="e">
        <f t="shared" ca="1" si="45"/>
        <v>#REF!</v>
      </c>
      <c r="Q92" s="345" t="e">
        <f t="shared" ca="1" si="46"/>
        <v>#REF!</v>
      </c>
      <c r="R92" s="345" t="e">
        <f t="shared" ca="1" si="59"/>
        <v>#REF!</v>
      </c>
      <c r="S92" s="247"/>
      <c r="T92" s="347">
        <f t="shared" ca="1" si="47"/>
        <v>0</v>
      </c>
      <c r="U92" s="347">
        <f t="shared" ca="1" si="54"/>
        <v>0</v>
      </c>
      <c r="V92" s="348">
        <f t="shared" si="48"/>
        <v>0</v>
      </c>
      <c r="W92" s="345">
        <f t="shared" ca="1" si="49"/>
        <v>0</v>
      </c>
      <c r="X92" s="345">
        <f t="shared" si="50"/>
        <v>0</v>
      </c>
      <c r="Y92" s="345">
        <f t="shared" ca="1" si="55"/>
        <v>-1888367.6261183964</v>
      </c>
      <c r="Z92" s="349">
        <f t="shared" ca="1" si="51"/>
        <v>-113302.05756710378</v>
      </c>
      <c r="AA92" s="270"/>
      <c r="AB92" s="270"/>
      <c r="AC92" s="270"/>
      <c r="AD92" s="270"/>
      <c r="AE92" s="270"/>
      <c r="AF92" s="270"/>
      <c r="AG92" s="323"/>
      <c r="AH92" s="323"/>
      <c r="AI92" s="323"/>
      <c r="AJ92" s="323"/>
      <c r="AK92" s="306"/>
      <c r="AL92" s="306"/>
      <c r="AM92" s="306"/>
      <c r="AN92" s="247"/>
    </row>
    <row r="93" spans="1:40" ht="53" customHeight="1" x14ac:dyDescent="0.35">
      <c r="B93" s="344">
        <f t="shared" si="56"/>
        <v>87</v>
      </c>
      <c r="C93" s="345">
        <f t="shared" si="52"/>
        <v>0</v>
      </c>
      <c r="D93" s="345">
        <f t="shared" si="39"/>
        <v>2025</v>
      </c>
      <c r="E93" s="345">
        <f t="shared" si="40"/>
        <v>900</v>
      </c>
      <c r="F93" s="345"/>
      <c r="G93" s="345">
        <f t="shared" si="41"/>
        <v>0</v>
      </c>
      <c r="H93" s="345">
        <f t="shared" ca="1" si="57"/>
        <v>69979.547305778149</v>
      </c>
      <c r="I93" s="345">
        <f t="shared" ca="1" si="42"/>
        <v>2799.1818922311259</v>
      </c>
      <c r="J93" s="345">
        <f t="shared" ca="1" si="43"/>
        <v>0</v>
      </c>
      <c r="K93" s="345">
        <f t="shared" ca="1" si="60"/>
        <v>72778.72919800927</v>
      </c>
      <c r="L93" s="278"/>
      <c r="M93" s="346" t="e">
        <f t="shared" ca="1" si="62"/>
        <v>#REF!</v>
      </c>
      <c r="N93" s="345">
        <f t="shared" si="44"/>
        <v>0</v>
      </c>
      <c r="O93" s="345" t="e">
        <f t="shared" ca="1" si="58"/>
        <v>#REF!</v>
      </c>
      <c r="P93" s="345" t="e">
        <f t="shared" ca="1" si="45"/>
        <v>#REF!</v>
      </c>
      <c r="Q93" s="345" t="e">
        <f t="shared" ca="1" si="46"/>
        <v>#REF!</v>
      </c>
      <c r="R93" s="345" t="e">
        <f t="shared" ca="1" si="59"/>
        <v>#REF!</v>
      </c>
      <c r="T93" s="347">
        <f t="shared" ca="1" si="47"/>
        <v>0</v>
      </c>
      <c r="U93" s="347">
        <f t="shared" ca="1" si="54"/>
        <v>0</v>
      </c>
      <c r="V93" s="348">
        <f t="shared" si="48"/>
        <v>0</v>
      </c>
      <c r="W93" s="345">
        <f t="shared" ca="1" si="49"/>
        <v>0</v>
      </c>
      <c r="X93" s="345">
        <f t="shared" si="50"/>
        <v>0</v>
      </c>
      <c r="Y93" s="345">
        <f t="shared" ca="1" si="55"/>
        <v>-2001669.6836855002</v>
      </c>
      <c r="Z93" s="349">
        <f t="shared" ca="1" si="51"/>
        <v>-120100.18102113</v>
      </c>
      <c r="AA93" s="270"/>
      <c r="AB93" s="270"/>
      <c r="AC93" s="270"/>
      <c r="AD93" s="270"/>
      <c r="AE93" s="270"/>
      <c r="AF93" s="270"/>
      <c r="AG93" s="323"/>
      <c r="AH93" s="323"/>
      <c r="AI93" s="323"/>
      <c r="AJ93" s="323"/>
      <c r="AN93" s="294"/>
    </row>
    <row r="94" spans="1:40" ht="53" customHeight="1" x14ac:dyDescent="0.35">
      <c r="B94" s="344">
        <f t="shared" si="56"/>
        <v>88</v>
      </c>
      <c r="C94" s="345">
        <f t="shared" si="52"/>
        <v>0</v>
      </c>
      <c r="D94" s="345">
        <f t="shared" si="39"/>
        <v>2025</v>
      </c>
      <c r="E94" s="345">
        <f t="shared" si="40"/>
        <v>900</v>
      </c>
      <c r="F94" s="345"/>
      <c r="G94" s="345">
        <f t="shared" si="41"/>
        <v>0</v>
      </c>
      <c r="H94" s="345">
        <f t="shared" ca="1" si="57"/>
        <v>69853.72919800927</v>
      </c>
      <c r="I94" s="345">
        <f t="shared" ca="1" si="42"/>
        <v>2794.1491679203709</v>
      </c>
      <c r="J94" s="345">
        <f t="shared" ca="1" si="43"/>
        <v>0</v>
      </c>
      <c r="K94" s="345">
        <f t="shared" ca="1" si="60"/>
        <v>72647.878365929646</v>
      </c>
      <c r="L94" s="278"/>
      <c r="M94" s="346" t="e">
        <f t="shared" ca="1" si="62"/>
        <v>#REF!</v>
      </c>
      <c r="N94" s="345">
        <f t="shared" si="44"/>
        <v>0</v>
      </c>
      <c r="O94" s="345" t="e">
        <f t="shared" ca="1" si="58"/>
        <v>#REF!</v>
      </c>
      <c r="P94" s="345" t="e">
        <f t="shared" ca="1" si="45"/>
        <v>#REF!</v>
      </c>
      <c r="Q94" s="345" t="e">
        <f t="shared" ca="1" si="46"/>
        <v>#REF!</v>
      </c>
      <c r="R94" s="345" t="e">
        <f t="shared" ca="1" si="59"/>
        <v>#REF!</v>
      </c>
      <c r="T94" s="347">
        <f t="shared" ca="1" si="47"/>
        <v>0</v>
      </c>
      <c r="U94" s="347">
        <f t="shared" ca="1" si="54"/>
        <v>0</v>
      </c>
      <c r="V94" s="348">
        <f t="shared" si="48"/>
        <v>0</v>
      </c>
      <c r="W94" s="345">
        <f t="shared" ca="1" si="49"/>
        <v>0</v>
      </c>
      <c r="X94" s="345">
        <f t="shared" si="50"/>
        <v>0</v>
      </c>
      <c r="Y94" s="345">
        <f t="shared" ca="1" si="55"/>
        <v>-2121769.8647066304</v>
      </c>
      <c r="Z94" s="349">
        <f t="shared" ca="1" si="51"/>
        <v>-127306.19188239782</v>
      </c>
      <c r="AA94" s="270"/>
      <c r="AB94" s="270"/>
      <c r="AC94" s="270"/>
      <c r="AD94" s="270"/>
      <c r="AE94" s="270"/>
      <c r="AF94" s="270"/>
      <c r="AG94" s="323"/>
      <c r="AH94" s="323"/>
      <c r="AI94" s="323"/>
      <c r="AJ94" s="323"/>
      <c r="AK94" s="294"/>
      <c r="AL94" s="294"/>
      <c r="AM94" s="294"/>
    </row>
    <row r="95" spans="1:40" s="266" customFormat="1" ht="53" customHeight="1" x14ac:dyDescent="0.35">
      <c r="A95" s="247"/>
      <c r="B95" s="344">
        <f t="shared" si="56"/>
        <v>89</v>
      </c>
      <c r="C95" s="345">
        <f t="shared" si="52"/>
        <v>0</v>
      </c>
      <c r="D95" s="345">
        <f t="shared" si="39"/>
        <v>2025</v>
      </c>
      <c r="E95" s="345">
        <f t="shared" si="40"/>
        <v>900</v>
      </c>
      <c r="F95" s="345"/>
      <c r="G95" s="345">
        <f t="shared" si="41"/>
        <v>0</v>
      </c>
      <c r="H95" s="345">
        <f t="shared" ca="1" si="57"/>
        <v>69722.878365929646</v>
      </c>
      <c r="I95" s="345">
        <f t="shared" ca="1" si="42"/>
        <v>2788.9151346371859</v>
      </c>
      <c r="J95" s="345">
        <f t="shared" ca="1" si="43"/>
        <v>0</v>
      </c>
      <c r="K95" s="345">
        <f t="shared" ca="1" si="60"/>
        <v>72511.793500566826</v>
      </c>
      <c r="L95" s="278"/>
      <c r="M95" s="346" t="e">
        <f t="shared" ca="1" si="62"/>
        <v>#REF!</v>
      </c>
      <c r="N95" s="345">
        <f t="shared" si="44"/>
        <v>0</v>
      </c>
      <c r="O95" s="345" t="e">
        <f t="shared" ca="1" si="58"/>
        <v>#REF!</v>
      </c>
      <c r="P95" s="345" t="e">
        <f t="shared" ca="1" si="45"/>
        <v>#REF!</v>
      </c>
      <c r="Q95" s="345" t="e">
        <f t="shared" ca="1" si="46"/>
        <v>#REF!</v>
      </c>
      <c r="R95" s="345" t="e">
        <f t="shared" ca="1" si="59"/>
        <v>#REF!</v>
      </c>
      <c r="S95" s="247"/>
      <c r="T95" s="347">
        <f t="shared" ca="1" si="47"/>
        <v>0</v>
      </c>
      <c r="U95" s="347">
        <f t="shared" ca="1" si="54"/>
        <v>0</v>
      </c>
      <c r="V95" s="348">
        <f t="shared" si="48"/>
        <v>0</v>
      </c>
      <c r="W95" s="345">
        <f t="shared" ca="1" si="49"/>
        <v>0</v>
      </c>
      <c r="X95" s="345">
        <f t="shared" si="50"/>
        <v>0</v>
      </c>
      <c r="Y95" s="345">
        <f t="shared" ca="1" si="55"/>
        <v>-2249076.0565890283</v>
      </c>
      <c r="Z95" s="349">
        <f t="shared" ca="1" si="51"/>
        <v>-134944.56339534168</v>
      </c>
      <c r="AA95" s="270"/>
      <c r="AB95" s="270"/>
      <c r="AC95" s="270"/>
      <c r="AD95" s="270"/>
      <c r="AE95" s="270"/>
      <c r="AF95" s="270"/>
      <c r="AG95" s="323"/>
      <c r="AH95" s="323"/>
      <c r="AI95" s="323"/>
      <c r="AJ95" s="323"/>
      <c r="AK95" s="247"/>
      <c r="AL95" s="247"/>
      <c r="AM95" s="247"/>
      <c r="AN95" s="247"/>
    </row>
    <row r="96" spans="1:40" ht="53" customHeight="1" x14ac:dyDescent="0.35">
      <c r="B96" s="344">
        <f t="shared" si="56"/>
        <v>90</v>
      </c>
      <c r="C96" s="345">
        <f t="shared" si="52"/>
        <v>0</v>
      </c>
      <c r="D96" s="345">
        <f t="shared" si="39"/>
        <v>2025</v>
      </c>
      <c r="E96" s="345">
        <f t="shared" si="40"/>
        <v>900</v>
      </c>
      <c r="F96" s="345"/>
      <c r="G96" s="345">
        <f t="shared" si="41"/>
        <v>0</v>
      </c>
      <c r="H96" s="345">
        <f t="shared" ca="1" si="57"/>
        <v>69586.793500566826</v>
      </c>
      <c r="I96" s="345">
        <f t="shared" ca="1" si="42"/>
        <v>2783.4717400226732</v>
      </c>
      <c r="J96" s="345">
        <f t="shared" ca="1" si="43"/>
        <v>0</v>
      </c>
      <c r="K96" s="345">
        <f t="shared" ca="1" si="60"/>
        <v>72370.265240589506</v>
      </c>
      <c r="L96" s="278"/>
      <c r="M96" s="346" t="e">
        <f t="shared" ca="1" si="62"/>
        <v>#REF!</v>
      </c>
      <c r="N96" s="345">
        <f t="shared" si="44"/>
        <v>0</v>
      </c>
      <c r="O96" s="345" t="e">
        <f t="shared" ca="1" si="58"/>
        <v>#REF!</v>
      </c>
      <c r="P96" s="345" t="e">
        <f t="shared" ca="1" si="45"/>
        <v>#REF!</v>
      </c>
      <c r="Q96" s="345" t="e">
        <f t="shared" ca="1" si="46"/>
        <v>#REF!</v>
      </c>
      <c r="R96" s="345" t="e">
        <f t="shared" ca="1" si="59"/>
        <v>#REF!</v>
      </c>
      <c r="T96" s="347">
        <f t="shared" ca="1" si="47"/>
        <v>0</v>
      </c>
      <c r="U96" s="347">
        <f t="shared" ca="1" si="54"/>
        <v>0</v>
      </c>
      <c r="V96" s="348">
        <f t="shared" si="48"/>
        <v>0</v>
      </c>
      <c r="W96" s="345">
        <f t="shared" ca="1" si="49"/>
        <v>0</v>
      </c>
      <c r="X96" s="345">
        <f t="shared" si="50"/>
        <v>0</v>
      </c>
      <c r="Y96" s="345">
        <f t="shared" ca="1" si="55"/>
        <v>-2384020.6199843702</v>
      </c>
      <c r="Z96" s="349">
        <f t="shared" ca="1" si="51"/>
        <v>-143041.23719906222</v>
      </c>
      <c r="AA96" s="270"/>
      <c r="AB96" s="270"/>
      <c r="AC96" s="270"/>
      <c r="AD96" s="270"/>
      <c r="AE96" s="270"/>
      <c r="AF96" s="270"/>
      <c r="AG96" s="323"/>
      <c r="AH96" s="323"/>
      <c r="AI96" s="323"/>
      <c r="AJ96" s="323"/>
      <c r="AN96" s="266"/>
    </row>
    <row r="97" spans="1:40" ht="53" customHeight="1" x14ac:dyDescent="0.35">
      <c r="B97" s="344">
        <f t="shared" si="56"/>
        <v>91</v>
      </c>
      <c r="C97" s="345">
        <f t="shared" si="52"/>
        <v>0</v>
      </c>
      <c r="D97" s="345">
        <f t="shared" si="39"/>
        <v>2055</v>
      </c>
      <c r="E97" s="345">
        <f t="shared" si="40"/>
        <v>900</v>
      </c>
      <c r="F97" s="345"/>
      <c r="G97" s="345">
        <f t="shared" si="41"/>
        <v>0</v>
      </c>
      <c r="H97" s="345">
        <f t="shared" ca="1" si="57"/>
        <v>69415.265240589506</v>
      </c>
      <c r="I97" s="345">
        <f t="shared" ca="1" si="42"/>
        <v>2776.6106096235803</v>
      </c>
      <c r="J97" s="345">
        <f t="shared" ca="1" si="43"/>
        <v>0</v>
      </c>
      <c r="K97" s="345">
        <f t="shared" ca="1" si="60"/>
        <v>72191.87585021308</v>
      </c>
      <c r="L97" s="278"/>
      <c r="M97" s="346" t="e">
        <f t="shared" ca="1" si="62"/>
        <v>#REF!</v>
      </c>
      <c r="N97" s="345">
        <f t="shared" si="44"/>
        <v>0</v>
      </c>
      <c r="O97" s="345" t="e">
        <f t="shared" ca="1" si="58"/>
        <v>#REF!</v>
      </c>
      <c r="P97" s="345" t="e">
        <f t="shared" ca="1" si="45"/>
        <v>#REF!</v>
      </c>
      <c r="Q97" s="345" t="e">
        <f t="shared" ca="1" si="46"/>
        <v>#REF!</v>
      </c>
      <c r="R97" s="345" t="e">
        <f t="shared" ca="1" si="59"/>
        <v>#REF!</v>
      </c>
      <c r="T97" s="347">
        <f t="shared" ca="1" si="47"/>
        <v>0</v>
      </c>
      <c r="U97" s="347">
        <f t="shared" ca="1" si="54"/>
        <v>0</v>
      </c>
      <c r="V97" s="348">
        <f t="shared" si="48"/>
        <v>0</v>
      </c>
      <c r="W97" s="345">
        <f t="shared" ca="1" si="49"/>
        <v>0</v>
      </c>
      <c r="X97" s="345">
        <f t="shared" si="50"/>
        <v>0</v>
      </c>
      <c r="Y97" s="345">
        <f t="shared" ca="1" si="55"/>
        <v>-2527061.8571834322</v>
      </c>
      <c r="Z97" s="349">
        <f t="shared" ca="1" si="51"/>
        <v>-151623.71143100594</v>
      </c>
      <c r="AA97" s="270"/>
      <c r="AB97" s="270"/>
      <c r="AC97" s="270"/>
      <c r="AD97" s="270"/>
      <c r="AE97" s="270"/>
      <c r="AF97" s="270"/>
      <c r="AG97" s="323"/>
      <c r="AH97" s="323"/>
      <c r="AI97" s="323"/>
      <c r="AJ97" s="323"/>
      <c r="AK97" s="266"/>
      <c r="AL97" s="266"/>
      <c r="AM97" s="266"/>
    </row>
    <row r="98" spans="1:40" ht="53" customHeight="1" x14ac:dyDescent="0.35">
      <c r="B98" s="344">
        <f t="shared" si="56"/>
        <v>92</v>
      </c>
      <c r="C98" s="345">
        <f t="shared" si="52"/>
        <v>0</v>
      </c>
      <c r="D98" s="345">
        <f t="shared" si="39"/>
        <v>2055</v>
      </c>
      <c r="E98" s="345">
        <f t="shared" si="40"/>
        <v>900</v>
      </c>
      <c r="F98" s="345"/>
      <c r="G98" s="345">
        <f t="shared" si="41"/>
        <v>0</v>
      </c>
      <c r="H98" s="345">
        <f t="shared" ca="1" si="57"/>
        <v>69236.87585021308</v>
      </c>
      <c r="I98" s="345">
        <f t="shared" ca="1" si="42"/>
        <v>2769.4750340085234</v>
      </c>
      <c r="J98" s="345">
        <f t="shared" ca="1" si="43"/>
        <v>0</v>
      </c>
      <c r="K98" s="345">
        <f t="shared" ca="1" si="60"/>
        <v>72006.350884221611</v>
      </c>
      <c r="L98" s="278"/>
      <c r="M98" s="346" t="e">
        <f t="shared" ca="1" si="62"/>
        <v>#REF!</v>
      </c>
      <c r="N98" s="345">
        <f t="shared" si="44"/>
        <v>0</v>
      </c>
      <c r="O98" s="345" t="e">
        <f t="shared" ca="1" si="58"/>
        <v>#REF!</v>
      </c>
      <c r="P98" s="345" t="e">
        <f t="shared" ca="1" si="45"/>
        <v>#REF!</v>
      </c>
      <c r="Q98" s="345" t="e">
        <f t="shared" ca="1" si="46"/>
        <v>#REF!</v>
      </c>
      <c r="R98" s="345" t="e">
        <f t="shared" ca="1" si="59"/>
        <v>#REF!</v>
      </c>
      <c r="T98" s="347">
        <f t="shared" ca="1" si="47"/>
        <v>0</v>
      </c>
      <c r="U98" s="347">
        <f t="shared" ca="1" si="54"/>
        <v>0</v>
      </c>
      <c r="V98" s="348">
        <f t="shared" si="48"/>
        <v>0</v>
      </c>
      <c r="W98" s="345">
        <f t="shared" ca="1" si="49"/>
        <v>0</v>
      </c>
      <c r="X98" s="345">
        <f t="shared" si="50"/>
        <v>0</v>
      </c>
      <c r="Y98" s="345">
        <f t="shared" ca="1" si="55"/>
        <v>-2678685.5686144382</v>
      </c>
      <c r="Z98" s="349">
        <f t="shared" ca="1" si="51"/>
        <v>-160721.13411686628</v>
      </c>
      <c r="AA98" s="270"/>
      <c r="AB98" s="270"/>
      <c r="AC98" s="270"/>
      <c r="AD98" s="270"/>
      <c r="AE98" s="270"/>
      <c r="AF98" s="270"/>
      <c r="AG98" s="323"/>
      <c r="AH98" s="323"/>
      <c r="AI98" s="323"/>
      <c r="AJ98" s="323"/>
    </row>
    <row r="99" spans="1:40" ht="53" customHeight="1" x14ac:dyDescent="0.35">
      <c r="B99" s="344">
        <f t="shared" si="56"/>
        <v>93</v>
      </c>
      <c r="C99" s="345">
        <f t="shared" si="52"/>
        <v>0</v>
      </c>
      <c r="D99" s="345">
        <f t="shared" si="39"/>
        <v>2055</v>
      </c>
      <c r="E99" s="345">
        <f t="shared" si="40"/>
        <v>900</v>
      </c>
      <c r="F99" s="345"/>
      <c r="G99" s="345">
        <f t="shared" si="41"/>
        <v>0</v>
      </c>
      <c r="H99" s="345">
        <f t="shared" ca="1" si="57"/>
        <v>69051.350884221611</v>
      </c>
      <c r="I99" s="345">
        <f t="shared" ca="1" si="42"/>
        <v>2762.0540353688643</v>
      </c>
      <c r="J99" s="345">
        <f t="shared" ca="1" si="43"/>
        <v>0</v>
      </c>
      <c r="K99" s="345">
        <f t="shared" ca="1" si="60"/>
        <v>71813.404919590481</v>
      </c>
      <c r="L99" s="278"/>
      <c r="M99" s="346" t="e">
        <f t="shared" ca="1" si="62"/>
        <v>#REF!</v>
      </c>
      <c r="N99" s="345">
        <f t="shared" si="44"/>
        <v>0</v>
      </c>
      <c r="O99" s="345" t="e">
        <f t="shared" ca="1" si="58"/>
        <v>#REF!</v>
      </c>
      <c r="P99" s="345" t="e">
        <f t="shared" ca="1" si="45"/>
        <v>#REF!</v>
      </c>
      <c r="Q99" s="345" t="e">
        <f t="shared" ca="1" si="46"/>
        <v>#REF!</v>
      </c>
      <c r="R99" s="345" t="e">
        <f t="shared" ca="1" si="59"/>
        <v>#REF!</v>
      </c>
      <c r="T99" s="347">
        <f t="shared" ca="1" si="47"/>
        <v>0</v>
      </c>
      <c r="U99" s="347">
        <f t="shared" ca="1" si="54"/>
        <v>0</v>
      </c>
      <c r="V99" s="348">
        <f t="shared" si="48"/>
        <v>0</v>
      </c>
      <c r="W99" s="345">
        <f t="shared" ca="1" si="49"/>
        <v>0</v>
      </c>
      <c r="X99" s="345">
        <f t="shared" si="50"/>
        <v>0</v>
      </c>
      <c r="Y99" s="345">
        <f t="shared" ca="1" si="55"/>
        <v>-2839406.7027313043</v>
      </c>
      <c r="Z99" s="349">
        <f t="shared" ca="1" si="51"/>
        <v>-170364.40216387826</v>
      </c>
      <c r="AA99" s="270"/>
      <c r="AB99" s="270"/>
      <c r="AC99" s="270"/>
      <c r="AD99" s="270"/>
      <c r="AE99" s="270"/>
      <c r="AF99" s="270"/>
      <c r="AG99" s="323"/>
      <c r="AH99" s="323"/>
      <c r="AI99" s="323"/>
      <c r="AJ99" s="323"/>
    </row>
    <row r="100" spans="1:40" ht="53" customHeight="1" x14ac:dyDescent="0.35">
      <c r="B100" s="344">
        <f t="shared" si="56"/>
        <v>94</v>
      </c>
      <c r="C100" s="345">
        <f t="shared" si="52"/>
        <v>0</v>
      </c>
      <c r="D100" s="345">
        <f t="shared" si="39"/>
        <v>2055</v>
      </c>
      <c r="E100" s="345">
        <f t="shared" si="40"/>
        <v>900</v>
      </c>
      <c r="F100" s="345"/>
      <c r="G100" s="345">
        <f t="shared" si="41"/>
        <v>0</v>
      </c>
      <c r="H100" s="345">
        <f t="shared" ca="1" si="57"/>
        <v>68858.404919590481</v>
      </c>
      <c r="I100" s="345">
        <f t="shared" ca="1" si="42"/>
        <v>2754.3361967836195</v>
      </c>
      <c r="J100" s="345">
        <f t="shared" ca="1" si="43"/>
        <v>0</v>
      </c>
      <c r="K100" s="345">
        <f t="shared" ca="1" si="60"/>
        <v>71612.741116374105</v>
      </c>
      <c r="L100" s="248"/>
      <c r="M100" s="346" t="e">
        <f t="shared" ca="1" si="62"/>
        <v>#REF!</v>
      </c>
      <c r="N100" s="345">
        <f t="shared" si="44"/>
        <v>0</v>
      </c>
      <c r="O100" s="345" t="e">
        <f t="shared" ca="1" si="58"/>
        <v>#REF!</v>
      </c>
      <c r="P100" s="345" t="e">
        <f t="shared" ca="1" si="45"/>
        <v>#REF!</v>
      </c>
      <c r="Q100" s="345" t="e">
        <f t="shared" ca="1" si="46"/>
        <v>#REF!</v>
      </c>
      <c r="R100" s="345" t="e">
        <f t="shared" ca="1" si="59"/>
        <v>#REF!</v>
      </c>
      <c r="T100" s="347">
        <f t="shared" ca="1" si="47"/>
        <v>0</v>
      </c>
      <c r="U100" s="347">
        <f t="shared" ca="1" si="54"/>
        <v>0</v>
      </c>
      <c r="V100" s="348">
        <f t="shared" si="48"/>
        <v>0</v>
      </c>
      <c r="W100" s="345">
        <f t="shared" ca="1" si="49"/>
        <v>0</v>
      </c>
      <c r="X100" s="345">
        <f t="shared" si="50"/>
        <v>0</v>
      </c>
      <c r="Y100" s="345">
        <f t="shared" ca="1" si="55"/>
        <v>-3009771.1048951824</v>
      </c>
      <c r="Z100" s="349">
        <f t="shared" ca="1" si="51"/>
        <v>-180586.26629371094</v>
      </c>
      <c r="AA100" s="270"/>
      <c r="AB100" s="270"/>
      <c r="AC100" s="270"/>
      <c r="AD100" s="270"/>
      <c r="AE100" s="270"/>
      <c r="AF100" s="270"/>
      <c r="AG100" s="323"/>
      <c r="AH100" s="323"/>
      <c r="AI100" s="323"/>
      <c r="AJ100" s="323"/>
    </row>
    <row r="101" spans="1:40" ht="53" customHeight="1" x14ac:dyDescent="0.35">
      <c r="B101" s="344">
        <f t="shared" si="56"/>
        <v>95</v>
      </c>
      <c r="C101" s="345">
        <f t="shared" si="52"/>
        <v>0</v>
      </c>
      <c r="D101" s="345">
        <f t="shared" si="39"/>
        <v>2055</v>
      </c>
      <c r="E101" s="345">
        <f t="shared" si="40"/>
        <v>900</v>
      </c>
      <c r="F101" s="345"/>
      <c r="G101" s="345">
        <f t="shared" si="41"/>
        <v>0</v>
      </c>
      <c r="H101" s="345">
        <f t="shared" ca="1" si="57"/>
        <v>68657.741116374105</v>
      </c>
      <c r="I101" s="345">
        <f t="shared" ca="1" si="42"/>
        <v>2746.3096446549644</v>
      </c>
      <c r="J101" s="345">
        <f t="shared" ca="1" si="43"/>
        <v>0</v>
      </c>
      <c r="K101" s="345">
        <f t="shared" ca="1" si="60"/>
        <v>71404.050761029066</v>
      </c>
      <c r="L101" s="248"/>
      <c r="M101" s="346" t="e">
        <f t="shared" ca="1" si="62"/>
        <v>#REF!</v>
      </c>
      <c r="N101" s="345">
        <f t="shared" si="44"/>
        <v>0</v>
      </c>
      <c r="O101" s="345" t="e">
        <f t="shared" ca="1" si="58"/>
        <v>#REF!</v>
      </c>
      <c r="P101" s="345" t="e">
        <f t="shared" ca="1" si="45"/>
        <v>#REF!</v>
      </c>
      <c r="Q101" s="345" t="e">
        <f t="shared" ca="1" si="46"/>
        <v>#REF!</v>
      </c>
      <c r="R101" s="345" t="e">
        <f t="shared" ca="1" si="59"/>
        <v>#REF!</v>
      </c>
      <c r="T101" s="347">
        <f t="shared" ca="1" si="47"/>
        <v>0</v>
      </c>
      <c r="U101" s="347">
        <f t="shared" ca="1" si="54"/>
        <v>0</v>
      </c>
      <c r="V101" s="348">
        <f t="shared" si="48"/>
        <v>0</v>
      </c>
      <c r="W101" s="345">
        <f t="shared" ca="1" si="49"/>
        <v>0</v>
      </c>
      <c r="X101" s="345">
        <f t="shared" si="50"/>
        <v>0</v>
      </c>
      <c r="Y101" s="345">
        <f t="shared" ca="1" si="55"/>
        <v>-3190357.3711888934</v>
      </c>
      <c r="Z101" s="349">
        <f t="shared" ca="1" si="51"/>
        <v>-191421.4422713336</v>
      </c>
      <c r="AA101" s="270"/>
      <c r="AB101" s="270"/>
      <c r="AC101" s="270"/>
      <c r="AD101" s="270"/>
      <c r="AE101" s="270"/>
      <c r="AF101" s="270"/>
      <c r="AG101" s="323"/>
      <c r="AH101" s="323"/>
      <c r="AI101" s="323"/>
      <c r="AJ101" s="323"/>
    </row>
    <row r="102" spans="1:40" s="306" customFormat="1" ht="53" customHeight="1" x14ac:dyDescent="0.35">
      <c r="A102" s="247"/>
      <c r="B102" s="344">
        <f t="shared" si="56"/>
        <v>96</v>
      </c>
      <c r="C102" s="345">
        <f t="shared" si="52"/>
        <v>0</v>
      </c>
      <c r="D102" s="345">
        <f t="shared" si="39"/>
        <v>2055</v>
      </c>
      <c r="E102" s="345">
        <f t="shared" si="40"/>
        <v>900</v>
      </c>
      <c r="F102" s="345"/>
      <c r="G102" s="345">
        <f t="shared" si="41"/>
        <v>0</v>
      </c>
      <c r="H102" s="345">
        <f t="shared" ca="1" si="57"/>
        <v>68449.050761029066</v>
      </c>
      <c r="I102" s="345">
        <f t="shared" ca="1" si="42"/>
        <v>2737.9620304411628</v>
      </c>
      <c r="J102" s="345">
        <f t="shared" ca="1" si="43"/>
        <v>0</v>
      </c>
      <c r="K102" s="345">
        <f t="shared" ca="1" si="60"/>
        <v>71187.012791470232</v>
      </c>
      <c r="L102" s="248"/>
      <c r="M102" s="346" t="e">
        <f t="shared" ca="1" si="62"/>
        <v>#REF!</v>
      </c>
      <c r="N102" s="345">
        <f t="shared" si="44"/>
        <v>0</v>
      </c>
      <c r="O102" s="345" t="e">
        <f t="shared" ca="1" si="58"/>
        <v>#REF!</v>
      </c>
      <c r="P102" s="345" t="e">
        <f t="shared" ca="1" si="45"/>
        <v>#REF!</v>
      </c>
      <c r="Q102" s="345" t="e">
        <f t="shared" ca="1" si="46"/>
        <v>#REF!</v>
      </c>
      <c r="R102" s="345" t="e">
        <f t="shared" ca="1" si="59"/>
        <v>#REF!</v>
      </c>
      <c r="S102" s="247"/>
      <c r="T102" s="347">
        <f t="shared" ca="1" si="47"/>
        <v>0</v>
      </c>
      <c r="U102" s="347">
        <f t="shared" ca="1" si="54"/>
        <v>0</v>
      </c>
      <c r="V102" s="348">
        <f t="shared" si="48"/>
        <v>0</v>
      </c>
      <c r="W102" s="345">
        <f t="shared" ca="1" si="49"/>
        <v>0</v>
      </c>
      <c r="X102" s="345">
        <f t="shared" si="50"/>
        <v>0</v>
      </c>
      <c r="Y102" s="345">
        <f t="shared" ca="1" si="55"/>
        <v>-3381778.8134602271</v>
      </c>
      <c r="Z102" s="349">
        <f t="shared" ca="1" si="51"/>
        <v>-202906.72880761363</v>
      </c>
      <c r="AA102" s="270"/>
      <c r="AB102" s="270"/>
      <c r="AC102" s="270"/>
      <c r="AD102" s="270"/>
      <c r="AE102" s="270"/>
      <c r="AF102" s="270"/>
      <c r="AG102" s="323"/>
      <c r="AH102" s="323"/>
      <c r="AI102" s="323"/>
      <c r="AJ102" s="323"/>
      <c r="AK102" s="247"/>
      <c r="AL102" s="247"/>
      <c r="AM102" s="247"/>
      <c r="AN102" s="247"/>
    </row>
    <row r="103" spans="1:40" ht="53" customHeight="1" x14ac:dyDescent="0.35">
      <c r="B103" s="344">
        <f t="shared" si="56"/>
        <v>97</v>
      </c>
      <c r="C103" s="345">
        <f t="shared" si="52"/>
        <v>0</v>
      </c>
      <c r="D103" s="345">
        <f t="shared" si="39"/>
        <v>2055</v>
      </c>
      <c r="E103" s="345">
        <f t="shared" si="40"/>
        <v>900</v>
      </c>
      <c r="F103" s="345"/>
      <c r="G103" s="345">
        <f t="shared" si="41"/>
        <v>0</v>
      </c>
      <c r="H103" s="345">
        <f t="shared" ca="1" si="57"/>
        <v>68232.012791470232</v>
      </c>
      <c r="I103" s="345">
        <f t="shared" ca="1" si="42"/>
        <v>2729.2805116588092</v>
      </c>
      <c r="J103" s="345">
        <f t="shared" ca="1" si="43"/>
        <v>0</v>
      </c>
      <c r="K103" s="345">
        <f t="shared" ca="1" si="60"/>
        <v>70961.293303129045</v>
      </c>
      <c r="L103" s="248"/>
      <c r="M103" s="346" t="e">
        <f t="shared" ca="1" si="62"/>
        <v>#REF!</v>
      </c>
      <c r="N103" s="345">
        <f t="shared" si="44"/>
        <v>0</v>
      </c>
      <c r="O103" s="345" t="e">
        <f t="shared" ca="1" si="58"/>
        <v>#REF!</v>
      </c>
      <c r="P103" s="345" t="e">
        <f t="shared" ca="1" si="45"/>
        <v>#REF!</v>
      </c>
      <c r="Q103" s="345" t="e">
        <f t="shared" ca="1" si="46"/>
        <v>#REF!</v>
      </c>
      <c r="R103" s="345" t="e">
        <f t="shared" ca="1" si="59"/>
        <v>#REF!</v>
      </c>
      <c r="T103" s="347">
        <f t="shared" ca="1" si="47"/>
        <v>0</v>
      </c>
      <c r="U103" s="347">
        <f t="shared" ca="1" si="54"/>
        <v>0</v>
      </c>
      <c r="V103" s="348">
        <f t="shared" si="48"/>
        <v>0</v>
      </c>
      <c r="W103" s="345">
        <f t="shared" ca="1" si="49"/>
        <v>0</v>
      </c>
      <c r="X103" s="345">
        <f t="shared" si="50"/>
        <v>0</v>
      </c>
      <c r="Y103" s="345">
        <f t="shared" ca="1" si="55"/>
        <v>-3584685.5422678408</v>
      </c>
      <c r="Z103" s="349">
        <f t="shared" ca="1" si="51"/>
        <v>-215081.13253607045</v>
      </c>
      <c r="AA103" s="270"/>
      <c r="AB103" s="270"/>
      <c r="AC103" s="270"/>
      <c r="AD103" s="270"/>
      <c r="AE103" s="270"/>
      <c r="AF103" s="270"/>
      <c r="AG103" s="323"/>
      <c r="AH103" s="323"/>
      <c r="AI103" s="323"/>
      <c r="AJ103" s="323"/>
      <c r="AN103" s="306"/>
    </row>
    <row r="104" spans="1:40" ht="53" customHeight="1" x14ac:dyDescent="0.35">
      <c r="B104" s="344">
        <f t="shared" si="56"/>
        <v>98</v>
      </c>
      <c r="C104" s="345">
        <f t="shared" si="52"/>
        <v>0</v>
      </c>
      <c r="D104" s="345">
        <f t="shared" si="39"/>
        <v>2055</v>
      </c>
      <c r="E104" s="345">
        <f t="shared" si="40"/>
        <v>900</v>
      </c>
      <c r="F104" s="345"/>
      <c r="G104" s="345">
        <f t="shared" si="41"/>
        <v>0</v>
      </c>
      <c r="H104" s="345">
        <f t="shared" ca="1" si="57"/>
        <v>68006.293303129045</v>
      </c>
      <c r="I104" s="345">
        <f t="shared" ca="1" si="42"/>
        <v>2720.2517321251617</v>
      </c>
      <c r="J104" s="345">
        <f t="shared" ca="1" si="43"/>
        <v>0</v>
      </c>
      <c r="K104" s="345">
        <f t="shared" ca="1" si="60"/>
        <v>70726.54503525421</v>
      </c>
      <c r="L104" s="324"/>
      <c r="M104" s="346" t="e">
        <f t="shared" ca="1" si="62"/>
        <v>#REF!</v>
      </c>
      <c r="N104" s="345">
        <f t="shared" si="44"/>
        <v>0</v>
      </c>
      <c r="O104" s="345" t="e">
        <f t="shared" ca="1" si="58"/>
        <v>#REF!</v>
      </c>
      <c r="P104" s="345" t="e">
        <f t="shared" ca="1" si="45"/>
        <v>#REF!</v>
      </c>
      <c r="Q104" s="345" t="e">
        <f t="shared" ca="1" si="46"/>
        <v>#REF!</v>
      </c>
      <c r="R104" s="345" t="e">
        <f t="shared" ca="1" si="59"/>
        <v>#REF!</v>
      </c>
      <c r="T104" s="347">
        <f t="shared" ca="1" si="47"/>
        <v>0</v>
      </c>
      <c r="U104" s="347">
        <f t="shared" ca="1" si="54"/>
        <v>0</v>
      </c>
      <c r="V104" s="348">
        <f t="shared" si="48"/>
        <v>0</v>
      </c>
      <c r="W104" s="345">
        <f t="shared" ca="1" si="49"/>
        <v>0</v>
      </c>
      <c r="X104" s="345">
        <f t="shared" si="50"/>
        <v>0</v>
      </c>
      <c r="Y104" s="345">
        <f t="shared" ca="1" si="55"/>
        <v>-3799766.6748039112</v>
      </c>
      <c r="Z104" s="349">
        <f t="shared" ca="1" si="51"/>
        <v>-227986.00048823465</v>
      </c>
      <c r="AA104" s="270"/>
      <c r="AB104" s="270"/>
      <c r="AC104" s="270"/>
      <c r="AD104" s="270"/>
      <c r="AE104" s="270"/>
      <c r="AF104" s="270"/>
      <c r="AG104" s="323"/>
      <c r="AH104" s="323"/>
      <c r="AI104" s="323"/>
      <c r="AJ104" s="323"/>
      <c r="AK104" s="306"/>
      <c r="AL104" s="306"/>
      <c r="AM104" s="306"/>
    </row>
    <row r="105" spans="1:40" ht="53" customHeight="1" x14ac:dyDescent="0.35">
      <c r="B105" s="344">
        <f t="shared" si="56"/>
        <v>99</v>
      </c>
      <c r="C105" s="345">
        <f t="shared" si="52"/>
        <v>0</v>
      </c>
      <c r="D105" s="345">
        <f t="shared" si="39"/>
        <v>2055</v>
      </c>
      <c r="E105" s="345">
        <f t="shared" si="40"/>
        <v>900</v>
      </c>
      <c r="F105" s="345"/>
      <c r="G105" s="345">
        <f t="shared" si="41"/>
        <v>0</v>
      </c>
      <c r="H105" s="345">
        <f t="shared" ca="1" si="57"/>
        <v>67771.54503525421</v>
      </c>
      <c r="I105" s="345">
        <f t="shared" ca="1" si="42"/>
        <v>2710.8618014101685</v>
      </c>
      <c r="J105" s="345">
        <f t="shared" ca="1" si="43"/>
        <v>0</v>
      </c>
      <c r="K105" s="345">
        <f t="shared" ca="1" si="60"/>
        <v>70482.406836664377</v>
      </c>
      <c r="L105" s="324"/>
      <c r="M105" s="346" t="e">
        <f t="shared" ca="1" si="62"/>
        <v>#REF!</v>
      </c>
      <c r="N105" s="345">
        <f t="shared" si="44"/>
        <v>0</v>
      </c>
      <c r="O105" s="345" t="e">
        <f t="shared" ca="1" si="58"/>
        <v>#REF!</v>
      </c>
      <c r="P105" s="345" t="e">
        <f t="shared" ca="1" si="45"/>
        <v>#REF!</v>
      </c>
      <c r="Q105" s="345" t="e">
        <f t="shared" ca="1" si="46"/>
        <v>#REF!</v>
      </c>
      <c r="R105" s="345" t="e">
        <f t="shared" ca="1" si="59"/>
        <v>#REF!</v>
      </c>
      <c r="T105" s="347">
        <f t="shared" ca="1" si="47"/>
        <v>0</v>
      </c>
      <c r="U105" s="347">
        <f t="shared" ca="1" si="54"/>
        <v>0</v>
      </c>
      <c r="V105" s="348">
        <f t="shared" si="48"/>
        <v>0</v>
      </c>
      <c r="W105" s="345">
        <f t="shared" ca="1" si="49"/>
        <v>0</v>
      </c>
      <c r="X105" s="345">
        <f t="shared" si="50"/>
        <v>0</v>
      </c>
      <c r="Y105" s="345">
        <f t="shared" ca="1" si="55"/>
        <v>-4027752.6752921459</v>
      </c>
      <c r="Z105" s="349">
        <f t="shared" ca="1" si="51"/>
        <v>-241665.16051752874</v>
      </c>
      <c r="AA105" s="270"/>
      <c r="AB105" s="270"/>
      <c r="AC105" s="270"/>
      <c r="AD105" s="270"/>
      <c r="AE105" s="270"/>
      <c r="AF105" s="270"/>
      <c r="AG105" s="323"/>
      <c r="AH105" s="323"/>
      <c r="AI105" s="323"/>
      <c r="AJ105" s="323"/>
    </row>
    <row r="106" spans="1:40" ht="53" customHeight="1" x14ac:dyDescent="0.35">
      <c r="B106" s="344">
        <f t="shared" si="56"/>
        <v>100</v>
      </c>
      <c r="C106" s="345">
        <f t="shared" si="52"/>
        <v>0</v>
      </c>
      <c r="D106" s="345">
        <f t="shared" si="39"/>
        <v>2055</v>
      </c>
      <c r="E106" s="345">
        <f t="shared" si="40"/>
        <v>900</v>
      </c>
      <c r="F106" s="345"/>
      <c r="G106" s="345">
        <f t="shared" si="41"/>
        <v>0</v>
      </c>
      <c r="H106" s="345">
        <f t="shared" ca="1" si="57"/>
        <v>67527.406836664377</v>
      </c>
      <c r="I106" s="345">
        <f t="shared" ca="1" si="42"/>
        <v>2701.096273466575</v>
      </c>
      <c r="J106" s="345">
        <f t="shared" ca="1" si="43"/>
        <v>0</v>
      </c>
      <c r="K106" s="345">
        <f t="shared" ca="1" si="60"/>
        <v>70228.503110130958</v>
      </c>
      <c r="L106" s="324"/>
      <c r="M106" s="346" t="e">
        <f t="shared" ca="1" si="62"/>
        <v>#REF!</v>
      </c>
      <c r="N106" s="345">
        <f t="shared" si="44"/>
        <v>0</v>
      </c>
      <c r="O106" s="345" t="e">
        <f t="shared" ca="1" si="58"/>
        <v>#REF!</v>
      </c>
      <c r="P106" s="345" t="e">
        <f t="shared" ca="1" si="45"/>
        <v>#REF!</v>
      </c>
      <c r="Q106" s="345" t="e">
        <f t="shared" ca="1" si="46"/>
        <v>#REF!</v>
      </c>
      <c r="R106" s="345" t="e">
        <f t="shared" ca="1" si="59"/>
        <v>#REF!</v>
      </c>
      <c r="T106" s="347">
        <f t="shared" ca="1" si="47"/>
        <v>0</v>
      </c>
      <c r="U106" s="347">
        <f t="shared" ca="1" si="54"/>
        <v>0</v>
      </c>
      <c r="V106" s="348">
        <f t="shared" si="48"/>
        <v>0</v>
      </c>
      <c r="W106" s="345">
        <f t="shared" ca="1" si="49"/>
        <v>0</v>
      </c>
      <c r="X106" s="345">
        <f t="shared" si="50"/>
        <v>0</v>
      </c>
      <c r="Y106" s="345">
        <f t="shared" ca="1" si="55"/>
        <v>-4269417.835809675</v>
      </c>
      <c r="Z106" s="349">
        <f t="shared" ca="1" si="51"/>
        <v>-256165.0701485805</v>
      </c>
      <c r="AA106" s="270"/>
      <c r="AB106" s="270"/>
      <c r="AC106" s="270"/>
      <c r="AD106" s="270"/>
      <c r="AE106" s="270"/>
      <c r="AF106" s="270"/>
      <c r="AG106" s="323"/>
      <c r="AH106" s="323"/>
      <c r="AI106" s="323"/>
      <c r="AJ106" s="323"/>
    </row>
    <row r="108" spans="1:40" ht="53" customHeight="1" x14ac:dyDescent="0.35">
      <c r="B108" s="351" t="s">
        <v>336</v>
      </c>
      <c r="C108" s="351"/>
      <c r="D108" s="351"/>
      <c r="E108" s="351"/>
      <c r="F108" s="351"/>
      <c r="G108" s="351"/>
      <c r="H108" s="351"/>
      <c r="I108" s="351"/>
      <c r="J108" s="351"/>
      <c r="K108" s="351"/>
      <c r="L108" s="351"/>
      <c r="M108" s="351"/>
      <c r="N108" s="351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  <c r="AA108" s="352"/>
      <c r="AB108" s="352"/>
      <c r="AC108" s="352"/>
      <c r="AD108" s="352"/>
      <c r="AE108" s="352"/>
      <c r="AF108" s="352"/>
      <c r="AG108" s="352"/>
      <c r="AH108" s="352"/>
      <c r="AI108" s="352"/>
      <c r="AJ108" s="352"/>
    </row>
    <row r="109" spans="1:40" ht="53" customHeight="1" x14ac:dyDescent="0.35">
      <c r="B109" s="353" t="s">
        <v>214</v>
      </c>
      <c r="C109" s="353"/>
      <c r="D109" s="353"/>
      <c r="E109" s="353"/>
      <c r="F109" s="353"/>
      <c r="G109" s="353"/>
      <c r="H109" s="353"/>
      <c r="I109" s="353"/>
      <c r="J109" s="353"/>
      <c r="K109" s="353"/>
      <c r="L109" s="256"/>
      <c r="M109" s="354" t="s">
        <v>337</v>
      </c>
      <c r="N109" s="354"/>
      <c r="O109" s="354"/>
      <c r="P109" s="354"/>
      <c r="Q109" s="354"/>
      <c r="R109" s="355"/>
      <c r="S109" s="334" t="s">
        <v>338</v>
      </c>
      <c r="T109" s="334"/>
      <c r="U109" s="334"/>
      <c r="V109" s="334"/>
      <c r="W109" s="334"/>
      <c r="X109" s="334"/>
      <c r="Y109" s="334"/>
      <c r="Z109" s="334"/>
      <c r="AA109" s="256"/>
      <c r="AB109" s="256"/>
      <c r="AC109" s="256"/>
      <c r="AD109" s="256"/>
      <c r="AE109" s="256"/>
      <c r="AF109" s="256"/>
      <c r="AG109" s="256"/>
      <c r="AH109" s="256"/>
      <c r="AI109" s="256"/>
      <c r="AJ109" s="256"/>
    </row>
    <row r="110" spans="1:40" ht="53" customHeight="1" x14ac:dyDescent="0.35">
      <c r="B110" s="356" t="s">
        <v>3</v>
      </c>
      <c r="C110" s="357" t="s">
        <v>325</v>
      </c>
      <c r="D110" s="356" t="s">
        <v>222</v>
      </c>
      <c r="E110" s="356" t="s">
        <v>326</v>
      </c>
      <c r="F110" s="356" t="s">
        <v>224</v>
      </c>
      <c r="G110" s="356" t="s">
        <v>225</v>
      </c>
      <c r="H110" s="356" t="s">
        <v>226</v>
      </c>
      <c r="I110" s="356" t="s">
        <v>227</v>
      </c>
      <c r="J110" s="356" t="s">
        <v>327</v>
      </c>
      <c r="K110" s="356" t="s">
        <v>229</v>
      </c>
      <c r="L110" s="273"/>
      <c r="M110" s="339" t="s">
        <v>176</v>
      </c>
      <c r="N110" s="358" t="s">
        <v>231</v>
      </c>
      <c r="O110" s="358" t="s">
        <v>232</v>
      </c>
      <c r="P110" s="358" t="s">
        <v>233</v>
      </c>
      <c r="Q110" s="359" t="s">
        <v>234</v>
      </c>
      <c r="R110" s="358" t="s">
        <v>235</v>
      </c>
      <c r="T110" s="339" t="s">
        <v>230</v>
      </c>
      <c r="U110" s="358" t="s">
        <v>176</v>
      </c>
      <c r="V110" s="356" t="s">
        <v>236</v>
      </c>
      <c r="W110" s="356" t="s">
        <v>237</v>
      </c>
      <c r="X110" s="356" t="s">
        <v>238</v>
      </c>
      <c r="Y110" s="356" t="s">
        <v>239</v>
      </c>
      <c r="Z110" s="360" t="s">
        <v>240</v>
      </c>
      <c r="AA110" s="274"/>
      <c r="AB110" s="274"/>
      <c r="AC110" s="274"/>
      <c r="AD110" s="274"/>
      <c r="AE110" s="274"/>
      <c r="AF110" s="274"/>
      <c r="AG110" s="274"/>
      <c r="AH110" s="274"/>
      <c r="AI110" s="274"/>
      <c r="AJ110" s="274"/>
    </row>
    <row r="111" spans="1:40" ht="53" customHeight="1" x14ac:dyDescent="0.35">
      <c r="B111" s="344">
        <f>AR55</f>
        <v>55</v>
      </c>
      <c r="C111" s="345">
        <f ca="1">VLOOKUP(B111,$B$3:$Z$56,2)</f>
        <v>403.27670802814544</v>
      </c>
      <c r="D111" s="345">
        <f t="shared" ref="D111:D156" si="63">IF(B111&lt;=20,$AL$14,IF(B111&lt;=30,$AL$15,IF(B111&lt;=40,$AL$16,IF(B111&lt;=50,$AL$17,IF(B111&lt;=60,$AL$18,IF(B111&lt;=65,$AL$19,IF(B111&lt;=70,$AL$20,
IF(B111&lt;=73,$AL$21,IF(B111&lt;=75,$AL$22,IF(B111&lt;=78,$AL$23,IF(B111&lt;=80,$AL$24,IF(B111&lt;=83,$AL$25,IF(B111&lt;=85,$AL$26,IF(B111&lt;=90,$AL$27,$AL$28))))))))))))))</f>
        <v>800</v>
      </c>
      <c r="E111" s="345">
        <f t="shared" ref="E111:E156" si="64">IF(B111&lt;=20,$AM$14,IF(B111&lt;=30,$AM$15,IF(B111&lt;=40,$AM$16,IF(B111&lt;=50,$AM$17,IF(B111&lt;=60,$AM$18,IF(B111&lt;=65,$AM$19,IF(B111&lt;=70,$AM$20,
IF(B111&lt;=73,$AM$21,IF(B111&lt;=75,$AM$22,IF(B111&lt;=78,$AM$23,IF(B111&lt;=80,$AM$24,IF(B111&lt;=83,$AM$25,IF(B111&lt;=85,$AM$26,IF(B111&lt;=90,$AM$27,$AM$28))))))))))))))</f>
        <v>600</v>
      </c>
      <c r="F111" s="345">
        <v>600</v>
      </c>
      <c r="G111" s="345">
        <f t="shared" ref="G111:G156" si="65">IF(B111&gt;=$BH$31,0,IF(B111&lt;=35,$BJ$4,IF(B111&lt;=45,$BJ$5,IF(B111&lt;=50,$BJ$6,IF(B111&lt;=55,$BJ$7,IF(B111&lt;=60,$BJ$8,IF(B111&lt;=65,$BJ$9,IF(B111&lt;=70,$BJ$10,$BJ$11)))))))*$BH$37)</f>
        <v>6319.1338000000005</v>
      </c>
      <c r="H111" s="345">
        <f ca="1">$AS$45-C111-D111-E111-F111+G111</f>
        <v>66084.646930106013</v>
      </c>
      <c r="I111" s="345">
        <f t="shared" ref="I111:I156" ca="1" si="66">$AL$8*H111</f>
        <v>2643.3858772042404</v>
      </c>
      <c r="J111" s="345">
        <f t="shared" ref="J111:J156" ca="1" si="67">IF(I111+H111-$AL$35&gt;0,I111+H111-$AL$35,0)</f>
        <v>0</v>
      </c>
      <c r="K111" s="345">
        <f ca="1">H111+I111-J111</f>
        <v>68728.032807310257</v>
      </c>
      <c r="L111" s="278"/>
      <c r="M111" s="346">
        <v>0</v>
      </c>
      <c r="N111" s="345">
        <f t="shared" ref="N111:N156" si="68">IF(B111&lt;$BH$31,IF(B112&lt;=35,$BI$4,IF(B112&lt;=45,$BI$5,IF(B112&lt;=50,$BI$6,IF(B112&lt;=55,$BI$7,IF(B112&lt;=60,$BI$8,IF(B112&lt;=65,$BI$9,IF(B112&lt;=70,$BI$10,$BI$11)))))))*$BH$37,0)</f>
        <v>5362.7665000000006</v>
      </c>
      <c r="O111" s="345">
        <f ca="1">N111+AT64</f>
        <v>5362.7665000000006</v>
      </c>
      <c r="P111" s="345">
        <f t="shared" ref="P111:P156" ca="1" si="69">IF(B111&lt;=55,$AL$5,$AN$6)*(IF(O111&gt;=40000,40000,O111))</f>
        <v>268.13832500000007</v>
      </c>
      <c r="Q111" s="345">
        <f t="shared" ref="Q111:Q156" ca="1" si="70">$AN$7*IF(O111&gt;=40000,O111-40000,0)</f>
        <v>0</v>
      </c>
      <c r="R111" s="345">
        <f ca="1">O111+P111+Q111</f>
        <v>5630.9048250000005</v>
      </c>
      <c r="T111" s="347">
        <f t="shared" ref="T111:T156" ca="1" si="71">IF(J111&gt;=0,J111,0)</f>
        <v>0</v>
      </c>
      <c r="U111" s="361">
        <v>0</v>
      </c>
      <c r="V111" s="348">
        <f t="shared" ref="V111:V156" si="72">IF(B111&gt;=$BH$31,0,IF(B111&lt;=35,$BH$4,IF(B111&lt;=45,$BH$5,IF(B111&lt;=50,$BH$6,IF(B111&lt;=55,$BH$7,IF(B111&lt;=60,$BH$8,IF(B111&lt;=65,$BH$9,IF(B111&lt;=70,$BH$10,$BH$11)))))))*$BH$37)</f>
        <v>9032.1069999999982</v>
      </c>
      <c r="W111" s="345">
        <f t="shared" ref="W111:W156" ca="1" si="73">IF(B111&lt;($BH$57+$BH$30),$BH$56*12,0)</f>
        <v>0</v>
      </c>
      <c r="X111" s="345">
        <f t="shared" ref="X111:X156" si="74">IF(B111&lt;=34,$AN$31,IF(B111&lt;=39,$AN$32,IF(B111&lt;=44,$AN$33,IF(B111&lt;=49,$AN$34,IF(B111&lt;=54,$AN$35,IF(B111&lt;=59,$AN$36,IF(B111&lt;=69,$AN$37,0)))))))</f>
        <v>298</v>
      </c>
      <c r="Y111" s="345">
        <f ca="1">AU64+V111-W111-X111+U111+T111</f>
        <v>-951044.36788723036</v>
      </c>
      <c r="Z111" s="349">
        <f t="shared" ref="Z111:Z156" ca="1" si="75">IF(B111&lt;=55,$AL$3,$AN$3)*(IF(Y111&gt;=20000,20000,Y111))</f>
        <v>-33286.552876053065</v>
      </c>
      <c r="AA111" s="270"/>
      <c r="AB111" s="270"/>
      <c r="AC111" s="270"/>
      <c r="AD111" s="270"/>
      <c r="AE111" s="270"/>
      <c r="AF111" s="270"/>
      <c r="AG111" s="323"/>
      <c r="AH111" s="323"/>
      <c r="AI111" s="323"/>
      <c r="AJ111" s="323"/>
    </row>
    <row r="112" spans="1:40" ht="53" customHeight="1" x14ac:dyDescent="0.35">
      <c r="B112" s="344">
        <f>B111+1</f>
        <v>56</v>
      </c>
      <c r="C112" s="345">
        <f t="shared" ref="C112:C156" ca="1" si="76">IF(B112&gt;=67,$BI$55,C111+(1.0244%*C111))</f>
        <v>407.40787462518574</v>
      </c>
      <c r="D112" s="345">
        <f t="shared" si="63"/>
        <v>800</v>
      </c>
      <c r="E112" s="345">
        <f t="shared" si="64"/>
        <v>600</v>
      </c>
      <c r="F112" s="345">
        <v>600</v>
      </c>
      <c r="G112" s="345">
        <f t="shared" si="65"/>
        <v>6626.665500000001</v>
      </c>
      <c r="H112" s="345">
        <f ca="1">K111-C112-D112-E112-F112+G112</f>
        <v>72947.290432685069</v>
      </c>
      <c r="I112" s="345">
        <f t="shared" ca="1" si="66"/>
        <v>2917.8916173074026</v>
      </c>
      <c r="J112" s="345">
        <f t="shared" ca="1" si="67"/>
        <v>365.18204999246518</v>
      </c>
      <c r="K112" s="345">
        <f ca="1">H112+I112-J112</f>
        <v>75500</v>
      </c>
      <c r="L112" s="278"/>
      <c r="M112" s="346">
        <f t="shared" ref="M112:M129" ca="1" si="77">IF(R111&gt;=BH48,BH48,0)</f>
        <v>0</v>
      </c>
      <c r="N112" s="345">
        <f t="shared" si="68"/>
        <v>5362.7665000000006</v>
      </c>
      <c r="O112" s="345">
        <f ca="1">R111+N112-M112</f>
        <v>10993.671325000001</v>
      </c>
      <c r="P112" s="345">
        <f t="shared" ca="1" si="69"/>
        <v>659.62027950000004</v>
      </c>
      <c r="Q112" s="345">
        <f t="shared" ca="1" si="70"/>
        <v>0</v>
      </c>
      <c r="R112" s="345">
        <f ca="1">IF(O112+P112+Q112&gt;=0,O112+P112+Q112,0)</f>
        <v>11653.291604500002</v>
      </c>
      <c r="T112" s="347">
        <f t="shared" ca="1" si="71"/>
        <v>365.18204999246518</v>
      </c>
      <c r="U112" s="361">
        <f t="shared" ref="U112:U156" ca="1" si="78">IF(AL192&gt;=$BH$48,$BH$48-M112,0)</f>
        <v>0</v>
      </c>
      <c r="V112" s="348">
        <f t="shared" si="72"/>
        <v>6040.1068000000005</v>
      </c>
      <c r="W112" s="345">
        <f t="shared" ca="1" si="73"/>
        <v>0</v>
      </c>
      <c r="X112" s="345">
        <f t="shared" si="74"/>
        <v>298</v>
      </c>
      <c r="Y112" s="345">
        <f t="shared" ref="Y112:Y156" ca="1" si="79">AL192+V112-W112-X112-U112+T112</f>
        <v>-978223.63191329094</v>
      </c>
      <c r="Z112" s="349">
        <f t="shared" ca="1" si="75"/>
        <v>-58693.417914797457</v>
      </c>
      <c r="AA112" s="270"/>
      <c r="AB112" s="270"/>
      <c r="AC112" s="270"/>
      <c r="AD112" s="270"/>
      <c r="AE112" s="270"/>
      <c r="AF112" s="270"/>
      <c r="AG112" s="323"/>
      <c r="AH112" s="323"/>
      <c r="AI112" s="323"/>
      <c r="AJ112" s="323"/>
    </row>
    <row r="113" spans="2:36" ht="53" customHeight="1" x14ac:dyDescent="0.35">
      <c r="B113" s="344">
        <f t="shared" ref="B113:B156" si="80">B112+1</f>
        <v>57</v>
      </c>
      <c r="C113" s="345">
        <f t="shared" ca="1" si="76"/>
        <v>411.58136089284613</v>
      </c>
      <c r="D113" s="345">
        <f t="shared" si="63"/>
        <v>800</v>
      </c>
      <c r="E113" s="345">
        <f t="shared" si="64"/>
        <v>600</v>
      </c>
      <c r="F113" s="345">
        <v>600</v>
      </c>
      <c r="G113" s="345">
        <f t="shared" si="65"/>
        <v>6626.665500000001</v>
      </c>
      <c r="H113" s="345">
        <f t="shared" ref="H113:H156" ca="1" si="81">K112-C113-D113-E113-F113+G113</f>
        <v>79715.084139107159</v>
      </c>
      <c r="I113" s="345">
        <f t="shared" ca="1" si="66"/>
        <v>3188.6033655642864</v>
      </c>
      <c r="J113" s="345">
        <f t="shared" ca="1" si="67"/>
        <v>7403.6875046714413</v>
      </c>
      <c r="K113" s="345">
        <f t="shared" ref="K113:K156" ca="1" si="82">H113+I113-J113</f>
        <v>75500</v>
      </c>
      <c r="L113" s="278"/>
      <c r="M113" s="346">
        <f t="shared" ca="1" si="77"/>
        <v>0</v>
      </c>
      <c r="N113" s="345">
        <f t="shared" si="68"/>
        <v>5362.7665000000006</v>
      </c>
      <c r="O113" s="345">
        <f t="shared" ref="O113:O156" ca="1" si="83">R112+N113-M113</f>
        <v>17016.058104500004</v>
      </c>
      <c r="P113" s="345">
        <f t="shared" ca="1" si="69"/>
        <v>1020.9634862700002</v>
      </c>
      <c r="Q113" s="345">
        <f t="shared" ca="1" si="70"/>
        <v>0</v>
      </c>
      <c r="R113" s="345">
        <f ca="1">IF(O113+P113+Q113&gt;=0,O113+P113+Q113,0)</f>
        <v>18037.021590770004</v>
      </c>
      <c r="T113" s="347">
        <f t="shared" ca="1" si="71"/>
        <v>7403.6875046714413</v>
      </c>
      <c r="U113" s="361">
        <f t="shared" ca="1" si="78"/>
        <v>0</v>
      </c>
      <c r="V113" s="348">
        <f t="shared" si="72"/>
        <v>6040.1068000000005</v>
      </c>
      <c r="W113" s="345">
        <f t="shared" ca="1" si="73"/>
        <v>0</v>
      </c>
      <c r="X113" s="345">
        <f t="shared" si="74"/>
        <v>298</v>
      </c>
      <c r="Y113" s="345">
        <f t="shared" ca="1" si="79"/>
        <v>-1023771.255523417</v>
      </c>
      <c r="Z113" s="349">
        <f t="shared" ca="1" si="75"/>
        <v>-61426.275331405021</v>
      </c>
      <c r="AA113" s="270"/>
      <c r="AB113" s="270"/>
      <c r="AC113" s="270"/>
      <c r="AD113" s="270"/>
      <c r="AE113" s="270"/>
      <c r="AF113" s="270"/>
      <c r="AG113" s="323"/>
      <c r="AH113" s="323"/>
      <c r="AI113" s="323"/>
      <c r="AJ113" s="323"/>
    </row>
    <row r="114" spans="2:36" ht="53" customHeight="1" x14ac:dyDescent="0.35">
      <c r="B114" s="344">
        <f t="shared" si="80"/>
        <v>58</v>
      </c>
      <c r="C114" s="345">
        <f t="shared" ca="1" si="76"/>
        <v>415.79760035383242</v>
      </c>
      <c r="D114" s="345">
        <f t="shared" si="63"/>
        <v>800</v>
      </c>
      <c r="E114" s="345">
        <f t="shared" si="64"/>
        <v>600</v>
      </c>
      <c r="F114" s="345">
        <v>600</v>
      </c>
      <c r="G114" s="345">
        <f t="shared" si="65"/>
        <v>6626.665500000001</v>
      </c>
      <c r="H114" s="345">
        <f t="shared" ca="1" si="81"/>
        <v>79710.867899646168</v>
      </c>
      <c r="I114" s="345">
        <f t="shared" ca="1" si="66"/>
        <v>3188.4347159858467</v>
      </c>
      <c r="J114" s="345">
        <f t="shared" ca="1" si="67"/>
        <v>7399.302615632012</v>
      </c>
      <c r="K114" s="345">
        <f t="shared" ca="1" si="82"/>
        <v>75500</v>
      </c>
      <c r="L114" s="278"/>
      <c r="M114" s="346">
        <f t="shared" ca="1" si="77"/>
        <v>645.15049999999985</v>
      </c>
      <c r="N114" s="345">
        <f t="shared" si="68"/>
        <v>5362.7665000000006</v>
      </c>
      <c r="O114" s="345">
        <f t="shared" ca="1" si="83"/>
        <v>22754.637590770006</v>
      </c>
      <c r="P114" s="345">
        <f t="shared" ca="1" si="69"/>
        <v>1365.2782554462003</v>
      </c>
      <c r="Q114" s="345">
        <f t="shared" ca="1" si="70"/>
        <v>0</v>
      </c>
      <c r="R114" s="345">
        <f t="shared" ref="R114:R156" ca="1" si="84">IF(O114+P114+Q114&gt;=0,O114+P114+Q114,0)</f>
        <v>24119.915846216205</v>
      </c>
      <c r="T114" s="347">
        <f t="shared" ca="1" si="71"/>
        <v>7399.302615632012</v>
      </c>
      <c r="U114" s="361">
        <f t="shared" ca="1" si="78"/>
        <v>0</v>
      </c>
      <c r="V114" s="348">
        <f t="shared" si="72"/>
        <v>6040.1068000000005</v>
      </c>
      <c r="W114" s="345">
        <f t="shared" ca="1" si="73"/>
        <v>0</v>
      </c>
      <c r="X114" s="345">
        <f t="shared" si="74"/>
        <v>298</v>
      </c>
      <c r="Y114" s="345">
        <f t="shared" ca="1" si="79"/>
        <v>-1072056.1214391901</v>
      </c>
      <c r="Z114" s="349">
        <f t="shared" ca="1" si="75"/>
        <v>-64323.367286351408</v>
      </c>
      <c r="AA114" s="270"/>
      <c r="AB114" s="270"/>
      <c r="AC114" s="270"/>
      <c r="AD114" s="270"/>
      <c r="AE114" s="270"/>
      <c r="AF114" s="270"/>
      <c r="AG114" s="323"/>
      <c r="AH114" s="323"/>
      <c r="AI114" s="323"/>
      <c r="AJ114" s="323"/>
    </row>
    <row r="115" spans="2:36" ht="53" customHeight="1" x14ac:dyDescent="0.35">
      <c r="B115" s="344">
        <f t="shared" si="80"/>
        <v>59</v>
      </c>
      <c r="C115" s="345">
        <f t="shared" ca="1" si="76"/>
        <v>420.0570309718571</v>
      </c>
      <c r="D115" s="345">
        <f t="shared" si="63"/>
        <v>800</v>
      </c>
      <c r="E115" s="345">
        <f t="shared" si="64"/>
        <v>600</v>
      </c>
      <c r="F115" s="345">
        <v>600</v>
      </c>
      <c r="G115" s="345">
        <f t="shared" si="65"/>
        <v>6626.665500000001</v>
      </c>
      <c r="H115" s="345">
        <f t="shared" ca="1" si="81"/>
        <v>79706.608469028142</v>
      </c>
      <c r="I115" s="345">
        <f t="shared" ca="1" si="66"/>
        <v>3188.2643387611256</v>
      </c>
      <c r="J115" s="345">
        <f t="shared" ca="1" si="67"/>
        <v>7394.8728077892738</v>
      </c>
      <c r="K115" s="345">
        <f t="shared" ca="1" si="82"/>
        <v>75500</v>
      </c>
      <c r="L115" s="278"/>
      <c r="M115" s="346">
        <f t="shared" ca="1" si="77"/>
        <v>494.48279999999994</v>
      </c>
      <c r="N115" s="345">
        <f t="shared" si="68"/>
        <v>5362.7665000000006</v>
      </c>
      <c r="O115" s="345">
        <f t="shared" ca="1" si="83"/>
        <v>28988.199546216205</v>
      </c>
      <c r="P115" s="345">
        <f t="shared" ca="1" si="69"/>
        <v>1739.2919727729723</v>
      </c>
      <c r="Q115" s="345">
        <f t="shared" ca="1" si="70"/>
        <v>0</v>
      </c>
      <c r="R115" s="345">
        <f t="shared" ca="1" si="84"/>
        <v>30727.491518989176</v>
      </c>
      <c r="T115" s="347">
        <f t="shared" ca="1" si="71"/>
        <v>7394.8728077892738</v>
      </c>
      <c r="U115" s="361">
        <f t="shared" ca="1" si="78"/>
        <v>0</v>
      </c>
      <c r="V115" s="348">
        <f t="shared" si="72"/>
        <v>6040.1068000000005</v>
      </c>
      <c r="W115" s="345">
        <f t="shared" ca="1" si="73"/>
        <v>0</v>
      </c>
      <c r="X115" s="345">
        <f t="shared" si="74"/>
        <v>298</v>
      </c>
      <c r="Y115" s="345">
        <f t="shared" ca="1" si="79"/>
        <v>-1123242.5091177523</v>
      </c>
      <c r="Z115" s="349">
        <f t="shared" ca="1" si="75"/>
        <v>-67394.550547065141</v>
      </c>
      <c r="AA115" s="270"/>
      <c r="AB115" s="270"/>
      <c r="AC115" s="270"/>
      <c r="AD115" s="270"/>
      <c r="AE115" s="270"/>
      <c r="AF115" s="270"/>
      <c r="AG115" s="323"/>
      <c r="AH115" s="323"/>
      <c r="AI115" s="323"/>
      <c r="AJ115" s="323"/>
    </row>
    <row r="116" spans="2:36" ht="53" customHeight="1" x14ac:dyDescent="0.35">
      <c r="B116" s="344">
        <f t="shared" si="80"/>
        <v>60</v>
      </c>
      <c r="C116" s="345">
        <f t="shared" ca="1" si="76"/>
        <v>424.36009519713281</v>
      </c>
      <c r="D116" s="345">
        <f t="shared" si="63"/>
        <v>800</v>
      </c>
      <c r="E116" s="345">
        <f t="shared" si="64"/>
        <v>600</v>
      </c>
      <c r="F116" s="345">
        <v>600</v>
      </c>
      <c r="G116" s="345">
        <f t="shared" si="65"/>
        <v>6626.665500000001</v>
      </c>
      <c r="H116" s="345">
        <f t="shared" ca="1" si="81"/>
        <v>79702.305404802872</v>
      </c>
      <c r="I116" s="345">
        <f t="shared" ca="1" si="66"/>
        <v>3188.0922161921148</v>
      </c>
      <c r="J116" s="345">
        <f t="shared" ca="1" si="67"/>
        <v>7390.3976209949906</v>
      </c>
      <c r="K116" s="345">
        <f t="shared" ca="1" si="82"/>
        <v>75500</v>
      </c>
      <c r="L116" s="278"/>
      <c r="M116" s="346">
        <f t="shared" ca="1" si="77"/>
        <v>451.36670000000004</v>
      </c>
      <c r="N116" s="345">
        <f t="shared" si="68"/>
        <v>5143.8491999999997</v>
      </c>
      <c r="O116" s="345">
        <f t="shared" ca="1" si="83"/>
        <v>35419.974018989175</v>
      </c>
      <c r="P116" s="345">
        <f t="shared" ca="1" si="69"/>
        <v>2125.1984411393505</v>
      </c>
      <c r="Q116" s="345">
        <f t="shared" ca="1" si="70"/>
        <v>0</v>
      </c>
      <c r="R116" s="345">
        <f t="shared" ca="1" si="84"/>
        <v>37545.172460128524</v>
      </c>
      <c r="T116" s="347">
        <f t="shared" ca="1" si="71"/>
        <v>7390.3976209949906</v>
      </c>
      <c r="U116" s="361">
        <f t="shared" ca="1" si="78"/>
        <v>0</v>
      </c>
      <c r="V116" s="348">
        <f t="shared" si="72"/>
        <v>6040.1068000000005</v>
      </c>
      <c r="W116" s="345">
        <f t="shared" ca="1" si="73"/>
        <v>0</v>
      </c>
      <c r="X116" s="345">
        <f t="shared" si="74"/>
        <v>298</v>
      </c>
      <c r="Y116" s="345">
        <f t="shared" ca="1" si="79"/>
        <v>-1177504.5552438225</v>
      </c>
      <c r="Z116" s="349">
        <f t="shared" ca="1" si="75"/>
        <v>-70650.273314629347</v>
      </c>
      <c r="AA116" s="270"/>
      <c r="AB116" s="270"/>
      <c r="AC116" s="270"/>
      <c r="AD116" s="270"/>
      <c r="AE116" s="270"/>
      <c r="AF116" s="270"/>
      <c r="AG116" s="323"/>
      <c r="AH116" s="323"/>
      <c r="AI116" s="323"/>
      <c r="AJ116" s="323"/>
    </row>
    <row r="117" spans="2:36" ht="53" customHeight="1" x14ac:dyDescent="0.35">
      <c r="B117" s="350">
        <f t="shared" si="80"/>
        <v>61</v>
      </c>
      <c r="C117" s="346">
        <f t="shared" ca="1" si="76"/>
        <v>428.70724001233225</v>
      </c>
      <c r="D117" s="346">
        <f t="shared" si="63"/>
        <v>1020</v>
      </c>
      <c r="E117" s="346">
        <f t="shared" si="64"/>
        <v>600</v>
      </c>
      <c r="F117" s="346">
        <v>600</v>
      </c>
      <c r="G117" s="345">
        <f t="shared" si="65"/>
        <v>6750.9483999999993</v>
      </c>
      <c r="H117" s="345">
        <f t="shared" ca="1" si="81"/>
        <v>79602.241159987665</v>
      </c>
      <c r="I117" s="345">
        <f t="shared" ca="1" si="66"/>
        <v>3184.0896463995068</v>
      </c>
      <c r="J117" s="345">
        <f t="shared" ca="1" si="67"/>
        <v>7286.3308063871664</v>
      </c>
      <c r="K117" s="345">
        <f t="shared" ca="1" si="82"/>
        <v>75500</v>
      </c>
      <c r="L117" s="292"/>
      <c r="M117" s="346">
        <f t="shared" ca="1" si="77"/>
        <v>0</v>
      </c>
      <c r="N117" s="345">
        <f t="shared" si="68"/>
        <v>5143.8491999999997</v>
      </c>
      <c r="O117" s="345">
        <f t="shared" ca="1" si="83"/>
        <v>42689.021660128521</v>
      </c>
      <c r="P117" s="345">
        <f t="shared" ca="1" si="69"/>
        <v>2400</v>
      </c>
      <c r="Q117" s="345">
        <f t="shared" ca="1" si="70"/>
        <v>134.45108300642605</v>
      </c>
      <c r="R117" s="345">
        <f t="shared" ca="1" si="84"/>
        <v>45223.472743134946</v>
      </c>
      <c r="S117" s="290"/>
      <c r="T117" s="347">
        <f t="shared" ca="1" si="71"/>
        <v>7286.3308063871664</v>
      </c>
      <c r="U117" s="361">
        <f t="shared" ca="1" si="78"/>
        <v>0</v>
      </c>
      <c r="V117" s="348">
        <f t="shared" si="72"/>
        <v>2209.7613999999999</v>
      </c>
      <c r="W117" s="345">
        <f t="shared" ca="1" si="73"/>
        <v>0</v>
      </c>
      <c r="X117" s="345">
        <f t="shared" si="74"/>
        <v>298</v>
      </c>
      <c r="Y117" s="345">
        <f t="shared" ca="1" si="79"/>
        <v>-1238956.7363520649</v>
      </c>
      <c r="Z117" s="349">
        <f t="shared" ca="1" si="75"/>
        <v>-74337.404181123886</v>
      </c>
      <c r="AA117" s="270"/>
      <c r="AB117" s="270"/>
      <c r="AC117" s="270"/>
      <c r="AD117" s="270"/>
      <c r="AE117" s="270"/>
      <c r="AF117" s="270"/>
      <c r="AG117" s="323"/>
      <c r="AH117" s="323"/>
      <c r="AI117" s="323"/>
      <c r="AJ117" s="323"/>
    </row>
    <row r="118" spans="2:36" ht="53" customHeight="1" x14ac:dyDescent="0.35">
      <c r="B118" s="344">
        <f t="shared" si="80"/>
        <v>62</v>
      </c>
      <c r="C118" s="345">
        <f t="shared" ca="1" si="76"/>
        <v>433.09891697901855</v>
      </c>
      <c r="D118" s="345">
        <f t="shared" si="63"/>
        <v>1020</v>
      </c>
      <c r="E118" s="345">
        <f t="shared" si="64"/>
        <v>600</v>
      </c>
      <c r="F118" s="345">
        <v>600</v>
      </c>
      <c r="G118" s="345">
        <f t="shared" si="65"/>
        <v>6750.9483999999993</v>
      </c>
      <c r="H118" s="345">
        <f t="shared" ca="1" si="81"/>
        <v>79597.849483020982</v>
      </c>
      <c r="I118" s="345">
        <f t="shared" ca="1" si="66"/>
        <v>3183.9139793208392</v>
      </c>
      <c r="J118" s="345">
        <f t="shared" ca="1" si="67"/>
        <v>7281.7634623418271</v>
      </c>
      <c r="K118" s="345">
        <f t="shared" ca="1" si="82"/>
        <v>75500</v>
      </c>
      <c r="L118" s="278"/>
      <c r="M118" s="346">
        <f t="shared" ca="1" si="77"/>
        <v>800</v>
      </c>
      <c r="N118" s="345">
        <f t="shared" si="68"/>
        <v>5143.8491999999997</v>
      </c>
      <c r="O118" s="345">
        <f t="shared" ca="1" si="83"/>
        <v>49567.321943134943</v>
      </c>
      <c r="P118" s="345">
        <f t="shared" ca="1" si="69"/>
        <v>2400</v>
      </c>
      <c r="Q118" s="345">
        <f t="shared" ca="1" si="70"/>
        <v>478.36609715674717</v>
      </c>
      <c r="R118" s="345">
        <f t="shared" ca="1" si="84"/>
        <v>52445.688040291687</v>
      </c>
      <c r="T118" s="347">
        <f t="shared" ca="1" si="71"/>
        <v>7281.7634623418271</v>
      </c>
      <c r="U118" s="361">
        <f t="shared" ca="1" si="78"/>
        <v>0</v>
      </c>
      <c r="V118" s="348">
        <f t="shared" si="72"/>
        <v>2209.7613999999999</v>
      </c>
      <c r="W118" s="345">
        <f t="shared" ca="1" si="73"/>
        <v>0</v>
      </c>
      <c r="X118" s="345">
        <f t="shared" si="74"/>
        <v>298</v>
      </c>
      <c r="Y118" s="345">
        <f t="shared" ca="1" si="79"/>
        <v>-1304100.615670847</v>
      </c>
      <c r="Z118" s="349">
        <f t="shared" ca="1" si="75"/>
        <v>-78246.036940250822</v>
      </c>
      <c r="AA118" s="270"/>
      <c r="AB118" s="270"/>
      <c r="AC118" s="270"/>
      <c r="AD118" s="270"/>
      <c r="AE118" s="270"/>
      <c r="AF118" s="270"/>
      <c r="AG118" s="323"/>
      <c r="AH118" s="323"/>
      <c r="AI118" s="323"/>
      <c r="AJ118" s="323"/>
    </row>
    <row r="119" spans="2:36" ht="53" customHeight="1" x14ac:dyDescent="0.35">
      <c r="B119" s="344">
        <f t="shared" si="80"/>
        <v>63</v>
      </c>
      <c r="C119" s="345">
        <f t="shared" ca="1" si="76"/>
        <v>437.53558228455159</v>
      </c>
      <c r="D119" s="345">
        <f t="shared" si="63"/>
        <v>1020</v>
      </c>
      <c r="E119" s="345">
        <f t="shared" si="64"/>
        <v>600</v>
      </c>
      <c r="F119" s="345">
        <v>600</v>
      </c>
      <c r="G119" s="345">
        <f t="shared" si="65"/>
        <v>6750.9483999999993</v>
      </c>
      <c r="H119" s="345">
        <f t="shared" ca="1" si="81"/>
        <v>79593.412817715449</v>
      </c>
      <c r="I119" s="345">
        <f t="shared" ca="1" si="66"/>
        <v>3183.7365127086182</v>
      </c>
      <c r="J119" s="345">
        <f t="shared" ca="1" si="67"/>
        <v>7277.1493304240721</v>
      </c>
      <c r="K119" s="345">
        <f t="shared" ca="1" si="82"/>
        <v>75500</v>
      </c>
      <c r="L119" s="295"/>
      <c r="M119" s="346">
        <f t="shared" ca="1" si="77"/>
        <v>0</v>
      </c>
      <c r="N119" s="345">
        <f t="shared" si="68"/>
        <v>5143.8491999999997</v>
      </c>
      <c r="O119" s="345">
        <f t="shared" ca="1" si="83"/>
        <v>57589.537240291684</v>
      </c>
      <c r="P119" s="345">
        <f t="shared" ca="1" si="69"/>
        <v>2400</v>
      </c>
      <c r="Q119" s="345">
        <f t="shared" ca="1" si="70"/>
        <v>879.47686201458419</v>
      </c>
      <c r="R119" s="345">
        <f t="shared" ca="1" si="84"/>
        <v>60869.014102306268</v>
      </c>
      <c r="S119" s="294"/>
      <c r="T119" s="347">
        <f t="shared" ca="1" si="71"/>
        <v>7277.1493304240721</v>
      </c>
      <c r="U119" s="361">
        <f t="shared" ca="1" si="78"/>
        <v>0</v>
      </c>
      <c r="V119" s="348">
        <f t="shared" si="72"/>
        <v>2209.7613999999999</v>
      </c>
      <c r="W119" s="345">
        <f t="shared" ca="1" si="73"/>
        <v>0</v>
      </c>
      <c r="X119" s="345">
        <f t="shared" si="74"/>
        <v>298</v>
      </c>
      <c r="Y119" s="345">
        <f t="shared" ca="1" si="79"/>
        <v>-1373157.7418806737</v>
      </c>
      <c r="Z119" s="349">
        <f t="shared" ca="1" si="75"/>
        <v>-82389.464512840423</v>
      </c>
      <c r="AA119" s="270"/>
      <c r="AB119" s="270"/>
      <c r="AC119" s="270"/>
      <c r="AD119" s="270"/>
      <c r="AE119" s="270"/>
      <c r="AF119" s="270"/>
      <c r="AG119" s="323"/>
      <c r="AH119" s="323"/>
      <c r="AI119" s="323"/>
      <c r="AJ119" s="323"/>
    </row>
    <row r="120" spans="2:36" ht="53" customHeight="1" x14ac:dyDescent="0.35">
      <c r="B120" s="344">
        <f t="shared" si="80"/>
        <v>64</v>
      </c>
      <c r="C120" s="345">
        <f t="shared" ca="1" si="76"/>
        <v>442.01769678947454</v>
      </c>
      <c r="D120" s="345">
        <f t="shared" si="63"/>
        <v>1020</v>
      </c>
      <c r="E120" s="345">
        <f t="shared" si="64"/>
        <v>600</v>
      </c>
      <c r="F120" s="345">
        <v>600</v>
      </c>
      <c r="G120" s="345">
        <f t="shared" si="65"/>
        <v>6750.9483999999993</v>
      </c>
      <c r="H120" s="345">
        <f t="shared" ca="1" si="81"/>
        <v>79588.930703210513</v>
      </c>
      <c r="I120" s="345">
        <f t="shared" ca="1" si="66"/>
        <v>3183.5572281284208</v>
      </c>
      <c r="J120" s="345">
        <f t="shared" ca="1" si="67"/>
        <v>7272.4879313389392</v>
      </c>
      <c r="K120" s="345">
        <f t="shared" ca="1" si="82"/>
        <v>75500</v>
      </c>
      <c r="L120" s="278"/>
      <c r="M120" s="346">
        <f t="shared" ca="1" si="77"/>
        <v>817.13759999999991</v>
      </c>
      <c r="N120" s="345">
        <f t="shared" si="68"/>
        <v>5143.8491999999997</v>
      </c>
      <c r="O120" s="345">
        <f t="shared" ca="1" si="83"/>
        <v>65195.72570230627</v>
      </c>
      <c r="P120" s="345">
        <f t="shared" ca="1" si="69"/>
        <v>2400</v>
      </c>
      <c r="Q120" s="345">
        <f t="shared" ca="1" si="70"/>
        <v>1259.7862851153136</v>
      </c>
      <c r="R120" s="345">
        <f t="shared" ca="1" si="84"/>
        <v>68855.511987421589</v>
      </c>
      <c r="S120" s="297"/>
      <c r="T120" s="347">
        <f t="shared" ca="1" si="71"/>
        <v>7272.4879313389392</v>
      </c>
      <c r="U120" s="361">
        <f t="shared" ca="1" si="78"/>
        <v>0</v>
      </c>
      <c r="V120" s="348">
        <f t="shared" si="72"/>
        <v>2209.7613999999999</v>
      </c>
      <c r="W120" s="345">
        <f t="shared" ca="1" si="73"/>
        <v>0</v>
      </c>
      <c r="X120" s="345">
        <f t="shared" si="74"/>
        <v>298</v>
      </c>
      <c r="Y120" s="345">
        <f t="shared" ca="1" si="79"/>
        <v>-1446362.9570621753</v>
      </c>
      <c r="Z120" s="349">
        <f t="shared" ca="1" si="75"/>
        <v>-86781.777423730513</v>
      </c>
      <c r="AA120" s="270"/>
      <c r="AB120" s="270"/>
      <c r="AC120" s="270"/>
      <c r="AD120" s="270"/>
      <c r="AE120" s="270"/>
      <c r="AF120" s="270"/>
      <c r="AG120" s="323"/>
      <c r="AH120" s="323"/>
      <c r="AI120" s="323"/>
      <c r="AJ120" s="323"/>
    </row>
    <row r="121" spans="2:36" ht="53" customHeight="1" x14ac:dyDescent="0.35">
      <c r="B121" s="344">
        <f t="shared" si="80"/>
        <v>65</v>
      </c>
      <c r="C121" s="345">
        <f t="shared" ca="1" si="76"/>
        <v>446.54572607538591</v>
      </c>
      <c r="D121" s="345">
        <f t="shared" si="63"/>
        <v>1020</v>
      </c>
      <c r="E121" s="345">
        <f t="shared" si="64"/>
        <v>600</v>
      </c>
      <c r="F121" s="345">
        <v>600</v>
      </c>
      <c r="G121" s="345">
        <f t="shared" si="65"/>
        <v>0</v>
      </c>
      <c r="H121" s="345">
        <f t="shared" ca="1" si="81"/>
        <v>72833.45427392461</v>
      </c>
      <c r="I121" s="345">
        <f t="shared" ca="1" si="66"/>
        <v>2913.3381709569844</v>
      </c>
      <c r="J121" s="345">
        <f t="shared" ca="1" si="67"/>
        <v>246.7924448815902</v>
      </c>
      <c r="K121" s="345">
        <f t="shared" ca="1" si="82"/>
        <v>75500</v>
      </c>
      <c r="L121" s="278"/>
      <c r="M121" s="346">
        <f t="shared" ca="1" si="77"/>
        <v>0</v>
      </c>
      <c r="N121" s="345">
        <f t="shared" si="68"/>
        <v>0</v>
      </c>
      <c r="O121" s="345">
        <f t="shared" ca="1" si="83"/>
        <v>68855.511987421589</v>
      </c>
      <c r="P121" s="345">
        <f t="shared" ca="1" si="69"/>
        <v>2400</v>
      </c>
      <c r="Q121" s="345">
        <f t="shared" ca="1" si="70"/>
        <v>1442.7755993710796</v>
      </c>
      <c r="R121" s="345">
        <f t="shared" ca="1" si="84"/>
        <v>72698.287586792663</v>
      </c>
      <c r="T121" s="347">
        <f t="shared" ca="1" si="71"/>
        <v>246.7924448815902</v>
      </c>
      <c r="U121" s="361">
        <f t="shared" ca="1" si="78"/>
        <v>0</v>
      </c>
      <c r="V121" s="348">
        <f t="shared" si="72"/>
        <v>0</v>
      </c>
      <c r="W121" s="345">
        <f t="shared" ca="1" si="73"/>
        <v>0</v>
      </c>
      <c r="X121" s="345">
        <f t="shared" si="74"/>
        <v>298</v>
      </c>
      <c r="Y121" s="345">
        <f t="shared" ca="1" si="79"/>
        <v>-1533195.9420410243</v>
      </c>
      <c r="Z121" s="349">
        <f t="shared" ca="1" si="75"/>
        <v>-91991.756522461452</v>
      </c>
      <c r="AA121" s="270"/>
      <c r="AB121" s="270"/>
      <c r="AC121" s="270"/>
      <c r="AD121" s="270"/>
      <c r="AE121" s="270"/>
      <c r="AF121" s="270"/>
      <c r="AG121" s="323"/>
      <c r="AH121" s="323"/>
      <c r="AI121" s="323"/>
      <c r="AJ121" s="323"/>
    </row>
    <row r="122" spans="2:36" ht="53" customHeight="1" x14ac:dyDescent="0.35">
      <c r="B122" s="344">
        <f t="shared" si="80"/>
        <v>66</v>
      </c>
      <c r="C122" s="345">
        <f t="shared" ca="1" si="76"/>
        <v>451.12014049330219</v>
      </c>
      <c r="D122" s="345">
        <f t="shared" si="63"/>
        <v>1100</v>
      </c>
      <c r="E122" s="345">
        <f t="shared" si="64"/>
        <v>600</v>
      </c>
      <c r="F122" s="345">
        <v>600</v>
      </c>
      <c r="G122" s="345">
        <f t="shared" si="65"/>
        <v>0</v>
      </c>
      <c r="H122" s="345">
        <f t="shared" ca="1" si="81"/>
        <v>72748.879859506691</v>
      </c>
      <c r="I122" s="345">
        <f t="shared" ca="1" si="66"/>
        <v>2909.9551943802676</v>
      </c>
      <c r="J122" s="345">
        <f t="shared" ca="1" si="67"/>
        <v>158.8350538869563</v>
      </c>
      <c r="K122" s="345">
        <f t="shared" ca="1" si="82"/>
        <v>75500</v>
      </c>
      <c r="L122" s="278"/>
      <c r="M122" s="346">
        <f t="shared" ca="1" si="77"/>
        <v>188</v>
      </c>
      <c r="N122" s="345">
        <f t="shared" si="68"/>
        <v>0</v>
      </c>
      <c r="O122" s="345">
        <f t="shared" ca="1" si="83"/>
        <v>72510.287586792663</v>
      </c>
      <c r="P122" s="345">
        <f t="shared" ca="1" si="69"/>
        <v>2400</v>
      </c>
      <c r="Q122" s="345">
        <f t="shared" ca="1" si="70"/>
        <v>1625.5143793396333</v>
      </c>
      <c r="R122" s="345">
        <f t="shared" ca="1" si="84"/>
        <v>76535.801966132291</v>
      </c>
      <c r="S122" s="266"/>
      <c r="T122" s="347">
        <f t="shared" ca="1" si="71"/>
        <v>158.8350538869563</v>
      </c>
      <c r="U122" s="361">
        <f t="shared" ca="1" si="78"/>
        <v>0</v>
      </c>
      <c r="V122" s="348">
        <f t="shared" si="72"/>
        <v>0</v>
      </c>
      <c r="W122" s="345">
        <f t="shared" ca="1" si="73"/>
        <v>0</v>
      </c>
      <c r="X122" s="345">
        <f t="shared" si="74"/>
        <v>298</v>
      </c>
      <c r="Y122" s="345">
        <f t="shared" ca="1" si="79"/>
        <v>-1625326.8635095989</v>
      </c>
      <c r="Z122" s="349">
        <f t="shared" ca="1" si="75"/>
        <v>-97519.611810575923</v>
      </c>
      <c r="AA122" s="270"/>
      <c r="AB122" s="270"/>
      <c r="AC122" s="270"/>
      <c r="AD122" s="270"/>
      <c r="AE122" s="270"/>
      <c r="AF122" s="270"/>
      <c r="AG122" s="323"/>
      <c r="AH122" s="323"/>
      <c r="AI122" s="323"/>
      <c r="AJ122" s="323"/>
    </row>
    <row r="123" spans="2:36" ht="53" customHeight="1" x14ac:dyDescent="0.35">
      <c r="B123" s="344">
        <f t="shared" si="80"/>
        <v>67</v>
      </c>
      <c r="C123" s="345">
        <f t="shared" si="76"/>
        <v>0</v>
      </c>
      <c r="D123" s="345">
        <f t="shared" si="63"/>
        <v>1100</v>
      </c>
      <c r="E123" s="345">
        <f t="shared" si="64"/>
        <v>600</v>
      </c>
      <c r="F123" s="345">
        <v>600</v>
      </c>
      <c r="G123" s="345">
        <f t="shared" si="65"/>
        <v>0</v>
      </c>
      <c r="H123" s="345">
        <f t="shared" ca="1" si="81"/>
        <v>73200</v>
      </c>
      <c r="I123" s="345">
        <f t="shared" ca="1" si="66"/>
        <v>2928</v>
      </c>
      <c r="J123" s="345">
        <f t="shared" ca="1" si="67"/>
        <v>628</v>
      </c>
      <c r="K123" s="345">
        <f t="shared" ca="1" si="82"/>
        <v>75500</v>
      </c>
      <c r="L123" s="278"/>
      <c r="M123" s="346">
        <f t="shared" ca="1" si="77"/>
        <v>600</v>
      </c>
      <c r="N123" s="345">
        <f t="shared" si="68"/>
        <v>0</v>
      </c>
      <c r="O123" s="345">
        <f t="shared" ca="1" si="83"/>
        <v>75935.801966132291</v>
      </c>
      <c r="P123" s="345">
        <f t="shared" ca="1" si="69"/>
        <v>2400</v>
      </c>
      <c r="Q123" s="345">
        <f t="shared" ca="1" si="70"/>
        <v>1796.7900983066147</v>
      </c>
      <c r="R123" s="345">
        <f t="shared" ca="1" si="84"/>
        <v>80132.592064438912</v>
      </c>
      <c r="T123" s="347">
        <f t="shared" ca="1" si="71"/>
        <v>628</v>
      </c>
      <c r="U123" s="361">
        <f t="shared" ca="1" si="78"/>
        <v>0</v>
      </c>
      <c r="V123" s="348">
        <f t="shared" si="72"/>
        <v>0</v>
      </c>
      <c r="W123" s="345">
        <f t="shared" ca="1" si="73"/>
        <v>0</v>
      </c>
      <c r="X123" s="345">
        <f t="shared" si="74"/>
        <v>298</v>
      </c>
      <c r="Y123" s="345">
        <f t="shared" ca="1" si="79"/>
        <v>-1722516.4753201748</v>
      </c>
      <c r="Z123" s="349">
        <f t="shared" ca="1" si="75"/>
        <v>-103350.98851921048</v>
      </c>
      <c r="AA123" s="270"/>
      <c r="AB123" s="270"/>
      <c r="AC123" s="270"/>
      <c r="AD123" s="270"/>
      <c r="AE123" s="270"/>
      <c r="AF123" s="270"/>
      <c r="AG123" s="323"/>
      <c r="AH123" s="323"/>
      <c r="AI123" s="323"/>
      <c r="AJ123" s="323"/>
    </row>
    <row r="124" spans="2:36" ht="53" customHeight="1" x14ac:dyDescent="0.35">
      <c r="B124" s="344">
        <f t="shared" si="80"/>
        <v>68</v>
      </c>
      <c r="C124" s="345">
        <f t="shared" si="76"/>
        <v>0</v>
      </c>
      <c r="D124" s="345">
        <f t="shared" si="63"/>
        <v>1100</v>
      </c>
      <c r="E124" s="345">
        <f t="shared" si="64"/>
        <v>600</v>
      </c>
      <c r="F124" s="345">
        <v>600</v>
      </c>
      <c r="G124" s="345">
        <f t="shared" si="65"/>
        <v>0</v>
      </c>
      <c r="H124" s="345">
        <f t="shared" ca="1" si="81"/>
        <v>73200</v>
      </c>
      <c r="I124" s="345">
        <f t="shared" ca="1" si="66"/>
        <v>2928</v>
      </c>
      <c r="J124" s="345">
        <f t="shared" ca="1" si="67"/>
        <v>628</v>
      </c>
      <c r="K124" s="345">
        <f t="shared" ca="1" si="82"/>
        <v>75500</v>
      </c>
      <c r="L124" s="278"/>
      <c r="M124" s="346">
        <f t="shared" ca="1" si="77"/>
        <v>500</v>
      </c>
      <c r="N124" s="345">
        <f t="shared" si="68"/>
        <v>0</v>
      </c>
      <c r="O124" s="345">
        <f t="shared" ca="1" si="83"/>
        <v>79632.592064438912</v>
      </c>
      <c r="P124" s="345">
        <f t="shared" ca="1" si="69"/>
        <v>2400</v>
      </c>
      <c r="Q124" s="345">
        <f t="shared" ca="1" si="70"/>
        <v>1981.6296032219457</v>
      </c>
      <c r="R124" s="345">
        <f t="shared" ca="1" si="84"/>
        <v>84014.221667660851</v>
      </c>
      <c r="T124" s="347">
        <f t="shared" ca="1" si="71"/>
        <v>628</v>
      </c>
      <c r="U124" s="361">
        <f t="shared" ca="1" si="78"/>
        <v>0</v>
      </c>
      <c r="V124" s="348">
        <f t="shared" si="72"/>
        <v>0</v>
      </c>
      <c r="W124" s="345">
        <f t="shared" ca="1" si="73"/>
        <v>0</v>
      </c>
      <c r="X124" s="345">
        <f t="shared" si="74"/>
        <v>298</v>
      </c>
      <c r="Y124" s="345">
        <f t="shared" ca="1" si="79"/>
        <v>-1825537.4638393852</v>
      </c>
      <c r="Z124" s="349">
        <f t="shared" ca="1" si="75"/>
        <v>-109532.24783036311</v>
      </c>
      <c r="AA124" s="270"/>
      <c r="AB124" s="270"/>
      <c r="AC124" s="270"/>
      <c r="AD124" s="270"/>
      <c r="AE124" s="270"/>
      <c r="AF124" s="270"/>
      <c r="AG124" s="323"/>
      <c r="AH124" s="323"/>
      <c r="AI124" s="323"/>
      <c r="AJ124" s="323"/>
    </row>
    <row r="125" spans="2:36" ht="53" customHeight="1" x14ac:dyDescent="0.35">
      <c r="B125" s="344">
        <f t="shared" si="80"/>
        <v>69</v>
      </c>
      <c r="C125" s="345">
        <f t="shared" si="76"/>
        <v>0</v>
      </c>
      <c r="D125" s="345">
        <f t="shared" si="63"/>
        <v>1100</v>
      </c>
      <c r="E125" s="345">
        <f t="shared" si="64"/>
        <v>600</v>
      </c>
      <c r="F125" s="345">
        <v>600</v>
      </c>
      <c r="G125" s="345">
        <f t="shared" si="65"/>
        <v>0</v>
      </c>
      <c r="H125" s="345">
        <f t="shared" ca="1" si="81"/>
        <v>73200</v>
      </c>
      <c r="I125" s="345">
        <f t="shared" ca="1" si="66"/>
        <v>2928</v>
      </c>
      <c r="J125" s="345">
        <f t="shared" ca="1" si="67"/>
        <v>628</v>
      </c>
      <c r="K125" s="345">
        <f t="shared" ca="1" si="82"/>
        <v>75500</v>
      </c>
      <c r="L125" s="278"/>
      <c r="M125" s="346">
        <f t="shared" ca="1" si="77"/>
        <v>0</v>
      </c>
      <c r="N125" s="345">
        <f t="shared" si="68"/>
        <v>0</v>
      </c>
      <c r="O125" s="345">
        <f t="shared" ca="1" si="83"/>
        <v>84014.221667660851</v>
      </c>
      <c r="P125" s="345">
        <f t="shared" ca="1" si="69"/>
        <v>2400</v>
      </c>
      <c r="Q125" s="345">
        <f t="shared" ca="1" si="70"/>
        <v>2200.7110833830425</v>
      </c>
      <c r="R125" s="345">
        <f t="shared" ca="1" si="84"/>
        <v>88614.932751043889</v>
      </c>
      <c r="T125" s="347">
        <f t="shared" ca="1" si="71"/>
        <v>628</v>
      </c>
      <c r="U125" s="361">
        <f t="shared" ca="1" si="78"/>
        <v>0</v>
      </c>
      <c r="V125" s="348">
        <f t="shared" si="72"/>
        <v>0</v>
      </c>
      <c r="W125" s="345">
        <f t="shared" ca="1" si="73"/>
        <v>0</v>
      </c>
      <c r="X125" s="345">
        <f t="shared" si="74"/>
        <v>298</v>
      </c>
      <c r="Y125" s="345">
        <f t="shared" ca="1" si="79"/>
        <v>-1934739.7116697482</v>
      </c>
      <c r="Z125" s="349">
        <f t="shared" ca="1" si="75"/>
        <v>-116084.38270018488</v>
      </c>
      <c r="AA125" s="270"/>
      <c r="AB125" s="270"/>
      <c r="AC125" s="270"/>
      <c r="AD125" s="270"/>
      <c r="AE125" s="270"/>
      <c r="AF125" s="270"/>
      <c r="AG125" s="323"/>
      <c r="AH125" s="323"/>
      <c r="AI125" s="323"/>
      <c r="AJ125" s="323"/>
    </row>
    <row r="126" spans="2:36" ht="53" customHeight="1" x14ac:dyDescent="0.35">
      <c r="B126" s="344">
        <f t="shared" si="80"/>
        <v>70</v>
      </c>
      <c r="C126" s="345">
        <f t="shared" si="76"/>
        <v>0</v>
      </c>
      <c r="D126" s="345">
        <f t="shared" si="63"/>
        <v>1100</v>
      </c>
      <c r="E126" s="345">
        <f t="shared" si="64"/>
        <v>600</v>
      </c>
      <c r="F126" s="345">
        <v>600</v>
      </c>
      <c r="G126" s="345">
        <f t="shared" si="65"/>
        <v>0</v>
      </c>
      <c r="H126" s="345">
        <f t="shared" ca="1" si="81"/>
        <v>73200</v>
      </c>
      <c r="I126" s="345">
        <f t="shared" ca="1" si="66"/>
        <v>2928</v>
      </c>
      <c r="J126" s="345">
        <f t="shared" ca="1" si="67"/>
        <v>628</v>
      </c>
      <c r="K126" s="345">
        <f t="shared" ca="1" si="82"/>
        <v>75500</v>
      </c>
      <c r="L126" s="278"/>
      <c r="M126" s="346">
        <f t="shared" ca="1" si="77"/>
        <v>77</v>
      </c>
      <c r="N126" s="345">
        <f t="shared" si="68"/>
        <v>0</v>
      </c>
      <c r="O126" s="345">
        <f t="shared" ca="1" si="83"/>
        <v>88537.932751043889</v>
      </c>
      <c r="P126" s="345">
        <f t="shared" ca="1" si="69"/>
        <v>2400</v>
      </c>
      <c r="Q126" s="345">
        <f t="shared" ca="1" si="70"/>
        <v>2426.8966375521945</v>
      </c>
      <c r="R126" s="345">
        <f t="shared" ca="1" si="84"/>
        <v>93364.829388596088</v>
      </c>
      <c r="T126" s="347">
        <f t="shared" ca="1" si="71"/>
        <v>628</v>
      </c>
      <c r="U126" s="361">
        <f t="shared" ca="1" si="78"/>
        <v>0</v>
      </c>
      <c r="V126" s="348">
        <f t="shared" si="72"/>
        <v>0</v>
      </c>
      <c r="W126" s="345">
        <f t="shared" ca="1" si="73"/>
        <v>0</v>
      </c>
      <c r="X126" s="345">
        <f t="shared" si="74"/>
        <v>0</v>
      </c>
      <c r="Y126" s="345">
        <f t="shared" ca="1" si="79"/>
        <v>-2050196.094369933</v>
      </c>
      <c r="Z126" s="349">
        <f t="shared" ca="1" si="75"/>
        <v>-123011.76566219598</v>
      </c>
      <c r="AA126" s="270"/>
      <c r="AB126" s="270"/>
      <c r="AC126" s="270"/>
      <c r="AD126" s="270"/>
      <c r="AE126" s="270"/>
      <c r="AF126" s="270"/>
      <c r="AG126" s="323"/>
      <c r="AH126" s="323"/>
      <c r="AI126" s="323"/>
      <c r="AJ126" s="323"/>
    </row>
    <row r="127" spans="2:36" ht="53" customHeight="1" x14ac:dyDescent="0.35">
      <c r="B127" s="344">
        <f t="shared" si="80"/>
        <v>71</v>
      </c>
      <c r="C127" s="345">
        <f t="shared" si="76"/>
        <v>0</v>
      </c>
      <c r="D127" s="345">
        <f t="shared" si="63"/>
        <v>1195</v>
      </c>
      <c r="E127" s="345">
        <f t="shared" si="64"/>
        <v>900</v>
      </c>
      <c r="F127" s="345">
        <v>600</v>
      </c>
      <c r="G127" s="345">
        <f t="shared" si="65"/>
        <v>0</v>
      </c>
      <c r="H127" s="345">
        <f t="shared" ca="1" si="81"/>
        <v>72805</v>
      </c>
      <c r="I127" s="345">
        <f t="shared" ca="1" si="66"/>
        <v>2912.2000000000003</v>
      </c>
      <c r="J127" s="345">
        <f t="shared" ca="1" si="67"/>
        <v>217.19999999999709</v>
      </c>
      <c r="K127" s="345">
        <f t="shared" ca="1" si="82"/>
        <v>75500</v>
      </c>
      <c r="L127" s="278"/>
      <c r="M127" s="346">
        <f t="shared" ca="1" si="77"/>
        <v>60</v>
      </c>
      <c r="N127" s="345">
        <f t="shared" si="68"/>
        <v>0</v>
      </c>
      <c r="O127" s="345">
        <f t="shared" ca="1" si="83"/>
        <v>93304.829388596088</v>
      </c>
      <c r="P127" s="345">
        <f t="shared" ca="1" si="69"/>
        <v>2400</v>
      </c>
      <c r="Q127" s="345">
        <f t="shared" ca="1" si="70"/>
        <v>2665.2414694298045</v>
      </c>
      <c r="R127" s="345">
        <f t="shared" ca="1" si="84"/>
        <v>98370.070858025894</v>
      </c>
      <c r="S127" s="304"/>
      <c r="T127" s="347">
        <f t="shared" ca="1" si="71"/>
        <v>217.19999999999709</v>
      </c>
      <c r="U127" s="361">
        <f t="shared" ca="1" si="78"/>
        <v>0</v>
      </c>
      <c r="V127" s="348">
        <f t="shared" si="72"/>
        <v>0</v>
      </c>
      <c r="W127" s="345">
        <f t="shared" ca="1" si="73"/>
        <v>0</v>
      </c>
      <c r="X127" s="345">
        <f t="shared" si="74"/>
        <v>0</v>
      </c>
      <c r="Y127" s="345">
        <f t="shared" ca="1" si="79"/>
        <v>-2172990.6600321289</v>
      </c>
      <c r="Z127" s="349">
        <f t="shared" ca="1" si="75"/>
        <v>-130379.43960192773</v>
      </c>
      <c r="AA127" s="270"/>
      <c r="AB127" s="270"/>
      <c r="AC127" s="270"/>
      <c r="AD127" s="270"/>
      <c r="AE127" s="270"/>
      <c r="AF127" s="270"/>
      <c r="AG127" s="323"/>
      <c r="AH127" s="323"/>
      <c r="AI127" s="323"/>
      <c r="AJ127" s="323"/>
    </row>
    <row r="128" spans="2:36" ht="53" customHeight="1" x14ac:dyDescent="0.35">
      <c r="B128" s="344">
        <f t="shared" si="80"/>
        <v>72</v>
      </c>
      <c r="C128" s="345">
        <f t="shared" si="76"/>
        <v>0</v>
      </c>
      <c r="D128" s="345">
        <f t="shared" si="63"/>
        <v>1195</v>
      </c>
      <c r="E128" s="345">
        <f t="shared" si="64"/>
        <v>900</v>
      </c>
      <c r="F128" s="345">
        <v>600</v>
      </c>
      <c r="G128" s="345">
        <f t="shared" si="65"/>
        <v>0</v>
      </c>
      <c r="H128" s="345">
        <f t="shared" ca="1" si="81"/>
        <v>72805</v>
      </c>
      <c r="I128" s="345">
        <f t="shared" ca="1" si="66"/>
        <v>2912.2000000000003</v>
      </c>
      <c r="J128" s="345">
        <f t="shared" ca="1" si="67"/>
        <v>217.19999999999709</v>
      </c>
      <c r="K128" s="345">
        <f t="shared" ca="1" si="82"/>
        <v>75500</v>
      </c>
      <c r="L128" s="278"/>
      <c r="M128" s="346">
        <f t="shared" ca="1" si="77"/>
        <v>90</v>
      </c>
      <c r="N128" s="345">
        <f t="shared" si="68"/>
        <v>0</v>
      </c>
      <c r="O128" s="345">
        <f t="shared" ca="1" si="83"/>
        <v>98280.070858025894</v>
      </c>
      <c r="P128" s="345">
        <f t="shared" ca="1" si="69"/>
        <v>2400</v>
      </c>
      <c r="Q128" s="345">
        <f t="shared" ca="1" si="70"/>
        <v>2914.0035429012951</v>
      </c>
      <c r="R128" s="345">
        <f t="shared" ca="1" si="84"/>
        <v>103594.07440092719</v>
      </c>
      <c r="T128" s="347">
        <f t="shared" ca="1" si="71"/>
        <v>217.19999999999709</v>
      </c>
      <c r="U128" s="361">
        <f t="shared" ca="1" si="78"/>
        <v>0</v>
      </c>
      <c r="V128" s="348">
        <f t="shared" si="72"/>
        <v>0</v>
      </c>
      <c r="W128" s="345">
        <f t="shared" ca="1" si="73"/>
        <v>0</v>
      </c>
      <c r="X128" s="345">
        <f t="shared" si="74"/>
        <v>0</v>
      </c>
      <c r="Y128" s="345">
        <f t="shared" ca="1" si="79"/>
        <v>-2303152.8996340563</v>
      </c>
      <c r="Z128" s="349">
        <f t="shared" ca="1" si="75"/>
        <v>-138189.17397804337</v>
      </c>
      <c r="AA128" s="270"/>
      <c r="AB128" s="270"/>
      <c r="AC128" s="270"/>
      <c r="AD128" s="270"/>
      <c r="AE128" s="270"/>
      <c r="AF128" s="270"/>
      <c r="AG128" s="323"/>
      <c r="AH128" s="323"/>
      <c r="AI128" s="323"/>
      <c r="AJ128" s="323"/>
    </row>
    <row r="129" spans="2:39" ht="53" customHeight="1" x14ac:dyDescent="0.35">
      <c r="B129" s="344">
        <f t="shared" si="80"/>
        <v>73</v>
      </c>
      <c r="C129" s="345">
        <f t="shared" si="76"/>
        <v>0</v>
      </c>
      <c r="D129" s="345">
        <f t="shared" si="63"/>
        <v>1195</v>
      </c>
      <c r="E129" s="345">
        <f t="shared" si="64"/>
        <v>900</v>
      </c>
      <c r="F129" s="345">
        <v>600</v>
      </c>
      <c r="G129" s="345">
        <f t="shared" si="65"/>
        <v>0</v>
      </c>
      <c r="H129" s="345">
        <f t="shared" ca="1" si="81"/>
        <v>72805</v>
      </c>
      <c r="I129" s="345">
        <f t="shared" ca="1" si="66"/>
        <v>2912.2000000000003</v>
      </c>
      <c r="J129" s="345">
        <f t="shared" ca="1" si="67"/>
        <v>217.19999999999709</v>
      </c>
      <c r="K129" s="345">
        <f t="shared" ca="1" si="82"/>
        <v>75500</v>
      </c>
      <c r="L129" s="307"/>
      <c r="M129" s="346">
        <f t="shared" ca="1" si="77"/>
        <v>0</v>
      </c>
      <c r="N129" s="345">
        <f t="shared" si="68"/>
        <v>0</v>
      </c>
      <c r="O129" s="345">
        <f t="shared" ca="1" si="83"/>
        <v>103594.07440092719</v>
      </c>
      <c r="P129" s="345">
        <f t="shared" ca="1" si="69"/>
        <v>2400</v>
      </c>
      <c r="Q129" s="345">
        <f t="shared" ca="1" si="70"/>
        <v>3179.7037200463596</v>
      </c>
      <c r="R129" s="345">
        <f t="shared" ca="1" si="84"/>
        <v>109173.77812097354</v>
      </c>
      <c r="S129" s="306"/>
      <c r="T129" s="347">
        <f t="shared" ca="1" si="71"/>
        <v>217.19999999999709</v>
      </c>
      <c r="U129" s="361">
        <f t="shared" ca="1" si="78"/>
        <v>0</v>
      </c>
      <c r="V129" s="348">
        <f t="shared" si="72"/>
        <v>0</v>
      </c>
      <c r="W129" s="345">
        <f t="shared" ca="1" si="73"/>
        <v>0</v>
      </c>
      <c r="X129" s="345">
        <f t="shared" si="74"/>
        <v>0</v>
      </c>
      <c r="Y129" s="345">
        <f t="shared" ca="1" si="79"/>
        <v>-2441124.8736120993</v>
      </c>
      <c r="Z129" s="349">
        <f t="shared" ca="1" si="75"/>
        <v>-146467.49241672596</v>
      </c>
      <c r="AA129" s="270"/>
      <c r="AB129" s="270"/>
      <c r="AC129" s="270"/>
      <c r="AD129" s="270"/>
      <c r="AE129" s="270"/>
      <c r="AF129" s="270"/>
      <c r="AG129" s="323"/>
      <c r="AH129" s="323"/>
      <c r="AI129" s="323"/>
      <c r="AJ129" s="323"/>
    </row>
    <row r="130" spans="2:39" ht="53" customHeight="1" x14ac:dyDescent="0.35">
      <c r="B130" s="344">
        <f t="shared" si="80"/>
        <v>74</v>
      </c>
      <c r="C130" s="345">
        <f t="shared" si="76"/>
        <v>0</v>
      </c>
      <c r="D130" s="345">
        <f t="shared" si="63"/>
        <v>1320</v>
      </c>
      <c r="E130" s="345">
        <f t="shared" si="64"/>
        <v>900</v>
      </c>
      <c r="F130" s="345">
        <v>600</v>
      </c>
      <c r="G130" s="345">
        <f t="shared" si="65"/>
        <v>0</v>
      </c>
      <c r="H130" s="345">
        <f t="shared" ca="1" si="81"/>
        <v>72680</v>
      </c>
      <c r="I130" s="345">
        <f t="shared" ca="1" si="66"/>
        <v>2907.2000000000003</v>
      </c>
      <c r="J130" s="345">
        <f t="shared" ca="1" si="67"/>
        <v>87.19999999999709</v>
      </c>
      <c r="K130" s="345">
        <f t="shared" ca="1" si="82"/>
        <v>75500</v>
      </c>
      <c r="L130" s="278"/>
      <c r="M130" s="346">
        <f t="shared" ref="M130:M141" ca="1" si="85">IF(R129&gt;=AR43,AR43,0)</f>
        <v>0</v>
      </c>
      <c r="N130" s="345">
        <f t="shared" si="68"/>
        <v>0</v>
      </c>
      <c r="O130" s="345">
        <f t="shared" ca="1" si="83"/>
        <v>109173.77812097354</v>
      </c>
      <c r="P130" s="345">
        <f t="shared" ca="1" si="69"/>
        <v>2400</v>
      </c>
      <c r="Q130" s="345">
        <f t="shared" ca="1" si="70"/>
        <v>3458.6889060486774</v>
      </c>
      <c r="R130" s="345">
        <f t="shared" ca="1" si="84"/>
        <v>115032.46702702221</v>
      </c>
      <c r="T130" s="347">
        <f t="shared" ca="1" si="71"/>
        <v>87.19999999999709</v>
      </c>
      <c r="U130" s="361">
        <f t="shared" ca="1" si="78"/>
        <v>0</v>
      </c>
      <c r="V130" s="348">
        <f t="shared" si="72"/>
        <v>0</v>
      </c>
      <c r="W130" s="345">
        <f t="shared" ca="1" si="73"/>
        <v>0</v>
      </c>
      <c r="X130" s="345">
        <f t="shared" si="74"/>
        <v>0</v>
      </c>
      <c r="Y130" s="345">
        <f t="shared" ca="1" si="79"/>
        <v>-2587505.1660288251</v>
      </c>
      <c r="Z130" s="349">
        <f t="shared" ca="1" si="75"/>
        <v>-155250.30996172951</v>
      </c>
      <c r="AA130" s="270"/>
      <c r="AB130" s="270"/>
      <c r="AC130" s="270"/>
      <c r="AD130" s="270"/>
      <c r="AE130" s="270"/>
      <c r="AF130" s="270"/>
      <c r="AG130" s="323"/>
      <c r="AH130" s="323"/>
      <c r="AI130" s="323"/>
      <c r="AJ130" s="323"/>
    </row>
    <row r="131" spans="2:39" ht="53" customHeight="1" x14ac:dyDescent="0.35">
      <c r="B131" s="344">
        <f t="shared" si="80"/>
        <v>75</v>
      </c>
      <c r="C131" s="345">
        <f t="shared" si="76"/>
        <v>0</v>
      </c>
      <c r="D131" s="345">
        <f t="shared" si="63"/>
        <v>1320</v>
      </c>
      <c r="E131" s="345">
        <f t="shared" si="64"/>
        <v>900</v>
      </c>
      <c r="F131" s="345">
        <v>600</v>
      </c>
      <c r="G131" s="345">
        <f t="shared" si="65"/>
        <v>0</v>
      </c>
      <c r="H131" s="345">
        <f t="shared" ca="1" si="81"/>
        <v>72680</v>
      </c>
      <c r="I131" s="345">
        <f t="shared" ca="1" si="66"/>
        <v>2907.2000000000003</v>
      </c>
      <c r="J131" s="345">
        <f t="shared" ca="1" si="67"/>
        <v>87.19999999999709</v>
      </c>
      <c r="K131" s="345">
        <f t="shared" ca="1" si="82"/>
        <v>75500</v>
      </c>
      <c r="L131" s="278"/>
      <c r="M131" s="346">
        <f t="shared" ca="1" si="85"/>
        <v>65</v>
      </c>
      <c r="N131" s="345">
        <f t="shared" si="68"/>
        <v>0</v>
      </c>
      <c r="O131" s="345">
        <f t="shared" ca="1" si="83"/>
        <v>114967.46702702221</v>
      </c>
      <c r="P131" s="345">
        <f t="shared" ca="1" si="69"/>
        <v>2400</v>
      </c>
      <c r="Q131" s="345">
        <f t="shared" ca="1" si="70"/>
        <v>3748.3733513511106</v>
      </c>
      <c r="R131" s="345">
        <f t="shared" ca="1" si="84"/>
        <v>121115.84037837332</v>
      </c>
      <c r="T131" s="347">
        <f t="shared" ca="1" si="71"/>
        <v>87.19999999999709</v>
      </c>
      <c r="U131" s="361">
        <f t="shared" ca="1" si="78"/>
        <v>0</v>
      </c>
      <c r="V131" s="348">
        <f t="shared" si="72"/>
        <v>0</v>
      </c>
      <c r="W131" s="345">
        <f t="shared" ca="1" si="73"/>
        <v>0</v>
      </c>
      <c r="X131" s="345">
        <f t="shared" si="74"/>
        <v>0</v>
      </c>
      <c r="Y131" s="345">
        <f t="shared" ca="1" si="79"/>
        <v>-2742668.2759905546</v>
      </c>
      <c r="Z131" s="349">
        <f t="shared" ca="1" si="75"/>
        <v>-164560.09655943327</v>
      </c>
      <c r="AA131" s="270"/>
      <c r="AB131" s="270"/>
      <c r="AC131" s="270"/>
      <c r="AD131" s="270"/>
      <c r="AE131" s="270"/>
      <c r="AF131" s="270"/>
      <c r="AG131" s="323"/>
      <c r="AH131" s="323"/>
      <c r="AI131" s="323"/>
      <c r="AJ131" s="323"/>
    </row>
    <row r="132" spans="2:39" ht="53" customHeight="1" x14ac:dyDescent="0.35">
      <c r="B132" s="344">
        <f t="shared" si="80"/>
        <v>76</v>
      </c>
      <c r="C132" s="345">
        <f t="shared" si="76"/>
        <v>0</v>
      </c>
      <c r="D132" s="345">
        <f t="shared" si="63"/>
        <v>1530</v>
      </c>
      <c r="E132" s="345">
        <f t="shared" si="64"/>
        <v>900</v>
      </c>
      <c r="F132" s="345">
        <v>600</v>
      </c>
      <c r="G132" s="345">
        <f t="shared" si="65"/>
        <v>0</v>
      </c>
      <c r="H132" s="345">
        <f t="shared" ca="1" si="81"/>
        <v>72470</v>
      </c>
      <c r="I132" s="345">
        <f t="shared" ca="1" si="66"/>
        <v>2898.8</v>
      </c>
      <c r="J132" s="345">
        <f t="shared" ca="1" si="67"/>
        <v>0</v>
      </c>
      <c r="K132" s="345">
        <f t="shared" ca="1" si="82"/>
        <v>75368.800000000003</v>
      </c>
      <c r="L132" s="278"/>
      <c r="M132" s="346">
        <f t="shared" ca="1" si="85"/>
        <v>55</v>
      </c>
      <c r="N132" s="345">
        <f t="shared" si="68"/>
        <v>0</v>
      </c>
      <c r="O132" s="345">
        <f t="shared" ca="1" si="83"/>
        <v>121060.84037837332</v>
      </c>
      <c r="P132" s="345">
        <f t="shared" ca="1" si="69"/>
        <v>2400</v>
      </c>
      <c r="Q132" s="345">
        <f t="shared" ca="1" si="70"/>
        <v>4053.0420189186661</v>
      </c>
      <c r="R132" s="345">
        <f t="shared" ca="1" si="84"/>
        <v>127513.88239729199</v>
      </c>
      <c r="T132" s="347">
        <f t="shared" ca="1" si="71"/>
        <v>0</v>
      </c>
      <c r="U132" s="361">
        <f t="shared" ca="1" si="78"/>
        <v>0</v>
      </c>
      <c r="V132" s="348">
        <f t="shared" si="72"/>
        <v>0</v>
      </c>
      <c r="W132" s="345">
        <f t="shared" ca="1" si="73"/>
        <v>0</v>
      </c>
      <c r="X132" s="345">
        <f t="shared" si="74"/>
        <v>0</v>
      </c>
      <c r="Y132" s="345">
        <f t="shared" ca="1" si="79"/>
        <v>-2907228.3725499879</v>
      </c>
      <c r="Z132" s="349">
        <f t="shared" ca="1" si="75"/>
        <v>-174433.70235299927</v>
      </c>
      <c r="AA132" s="270"/>
      <c r="AB132" s="270"/>
      <c r="AC132" s="270"/>
      <c r="AD132" s="270"/>
      <c r="AE132" s="270"/>
      <c r="AF132" s="270"/>
      <c r="AG132" s="323"/>
      <c r="AH132" s="323"/>
      <c r="AI132" s="323"/>
      <c r="AJ132" s="323"/>
    </row>
    <row r="133" spans="2:39" ht="53" customHeight="1" x14ac:dyDescent="0.35">
      <c r="B133" s="344">
        <f t="shared" si="80"/>
        <v>77</v>
      </c>
      <c r="C133" s="345">
        <f t="shared" si="76"/>
        <v>0</v>
      </c>
      <c r="D133" s="345">
        <f t="shared" si="63"/>
        <v>1530</v>
      </c>
      <c r="E133" s="345">
        <f t="shared" si="64"/>
        <v>900</v>
      </c>
      <c r="F133" s="345">
        <v>600</v>
      </c>
      <c r="G133" s="345">
        <f t="shared" si="65"/>
        <v>0</v>
      </c>
      <c r="H133" s="345">
        <f t="shared" ca="1" si="81"/>
        <v>72338.8</v>
      </c>
      <c r="I133" s="345">
        <f t="shared" ca="1" si="66"/>
        <v>2893.5520000000001</v>
      </c>
      <c r="J133" s="345">
        <f t="shared" ca="1" si="67"/>
        <v>0</v>
      </c>
      <c r="K133" s="345">
        <f t="shared" ca="1" si="82"/>
        <v>75232.351999999999</v>
      </c>
      <c r="L133" s="278"/>
      <c r="M133" s="346">
        <f t="shared" ca="1" si="85"/>
        <v>65</v>
      </c>
      <c r="N133" s="345">
        <f t="shared" si="68"/>
        <v>0</v>
      </c>
      <c r="O133" s="345">
        <f t="shared" ca="1" si="83"/>
        <v>127448.88239729199</v>
      </c>
      <c r="P133" s="345">
        <f t="shared" ca="1" si="69"/>
        <v>2400</v>
      </c>
      <c r="Q133" s="345">
        <f t="shared" ca="1" si="70"/>
        <v>4372.4441198646</v>
      </c>
      <c r="R133" s="345">
        <f t="shared" ca="1" si="84"/>
        <v>134221.32651715659</v>
      </c>
      <c r="T133" s="347">
        <f t="shared" ca="1" si="71"/>
        <v>0</v>
      </c>
      <c r="U133" s="361">
        <f t="shared" ca="1" si="78"/>
        <v>0</v>
      </c>
      <c r="V133" s="348">
        <f t="shared" si="72"/>
        <v>0</v>
      </c>
      <c r="W133" s="345">
        <f t="shared" ca="1" si="73"/>
        <v>0</v>
      </c>
      <c r="X133" s="345">
        <f t="shared" si="74"/>
        <v>0</v>
      </c>
      <c r="Y133" s="345">
        <f t="shared" ca="1" si="79"/>
        <v>-3081662.0749029871</v>
      </c>
      <c r="Z133" s="349">
        <f t="shared" ca="1" si="75"/>
        <v>-184899.72449417922</v>
      </c>
      <c r="AA133" s="270"/>
      <c r="AB133" s="270"/>
      <c r="AC133" s="270"/>
      <c r="AD133" s="270"/>
      <c r="AE133" s="270"/>
      <c r="AF133" s="270"/>
      <c r="AG133" s="323"/>
      <c r="AH133" s="323"/>
      <c r="AI133" s="323"/>
      <c r="AJ133" s="323"/>
    </row>
    <row r="134" spans="2:39" ht="53" customHeight="1" x14ac:dyDescent="0.35">
      <c r="B134" s="344">
        <f t="shared" si="80"/>
        <v>78</v>
      </c>
      <c r="C134" s="345">
        <f t="shared" si="76"/>
        <v>0</v>
      </c>
      <c r="D134" s="345">
        <f t="shared" si="63"/>
        <v>1530</v>
      </c>
      <c r="E134" s="345">
        <f t="shared" si="64"/>
        <v>900</v>
      </c>
      <c r="F134" s="345">
        <v>600</v>
      </c>
      <c r="G134" s="345">
        <f t="shared" si="65"/>
        <v>0</v>
      </c>
      <c r="H134" s="345">
        <f t="shared" ca="1" si="81"/>
        <v>72202.351999999999</v>
      </c>
      <c r="I134" s="345">
        <f t="shared" ca="1" si="66"/>
        <v>2888.0940799999998</v>
      </c>
      <c r="J134" s="345">
        <f t="shared" ca="1" si="67"/>
        <v>0</v>
      </c>
      <c r="K134" s="345">
        <f t="shared" ca="1" si="82"/>
        <v>75090.446079999994</v>
      </c>
      <c r="L134" s="278"/>
      <c r="M134" s="346">
        <f t="shared" ca="1" si="85"/>
        <v>75</v>
      </c>
      <c r="N134" s="345">
        <f t="shared" si="68"/>
        <v>0</v>
      </c>
      <c r="O134" s="345">
        <f t="shared" ca="1" si="83"/>
        <v>134146.32651715659</v>
      </c>
      <c r="P134" s="345">
        <f t="shared" ca="1" si="69"/>
        <v>2400</v>
      </c>
      <c r="Q134" s="345">
        <f t="shared" ca="1" si="70"/>
        <v>4707.3163258578297</v>
      </c>
      <c r="R134" s="345">
        <f t="shared" ca="1" si="84"/>
        <v>141253.64284301442</v>
      </c>
      <c r="T134" s="347">
        <f t="shared" ca="1" si="71"/>
        <v>0</v>
      </c>
      <c r="U134" s="361">
        <f t="shared" ca="1" si="78"/>
        <v>0</v>
      </c>
      <c r="V134" s="348">
        <f t="shared" si="72"/>
        <v>0</v>
      </c>
      <c r="W134" s="345">
        <f t="shared" ca="1" si="73"/>
        <v>0</v>
      </c>
      <c r="X134" s="345">
        <f t="shared" si="74"/>
        <v>0</v>
      </c>
      <c r="Y134" s="345">
        <f t="shared" ca="1" si="79"/>
        <v>-3266561.7993971664</v>
      </c>
      <c r="Z134" s="349">
        <f t="shared" ca="1" si="75"/>
        <v>-195993.70796382998</v>
      </c>
      <c r="AA134" s="270"/>
      <c r="AB134" s="270"/>
      <c r="AC134" s="270"/>
      <c r="AD134" s="270"/>
      <c r="AE134" s="270"/>
      <c r="AF134" s="270"/>
      <c r="AG134" s="323"/>
      <c r="AH134" s="323"/>
      <c r="AI134" s="323"/>
      <c r="AJ134" s="323"/>
    </row>
    <row r="135" spans="2:39" ht="53" customHeight="1" x14ac:dyDescent="0.35">
      <c r="B135" s="344">
        <f t="shared" si="80"/>
        <v>79</v>
      </c>
      <c r="C135" s="345">
        <f t="shared" si="76"/>
        <v>0</v>
      </c>
      <c r="D135" s="345">
        <f t="shared" si="63"/>
        <v>1590</v>
      </c>
      <c r="E135" s="345">
        <f t="shared" si="64"/>
        <v>900</v>
      </c>
      <c r="F135" s="345">
        <v>600</v>
      </c>
      <c r="G135" s="345">
        <f t="shared" si="65"/>
        <v>0</v>
      </c>
      <c r="H135" s="345">
        <f t="shared" ca="1" si="81"/>
        <v>72000.446079999994</v>
      </c>
      <c r="I135" s="345">
        <f t="shared" ca="1" si="66"/>
        <v>2880.0178431999998</v>
      </c>
      <c r="J135" s="345">
        <f t="shared" ca="1" si="67"/>
        <v>0</v>
      </c>
      <c r="K135" s="345">
        <f t="shared" ca="1" si="82"/>
        <v>74880.46392319999</v>
      </c>
      <c r="L135" s="278"/>
      <c r="M135" s="346">
        <f t="shared" ca="1" si="85"/>
        <v>90</v>
      </c>
      <c r="N135" s="345">
        <f t="shared" si="68"/>
        <v>0</v>
      </c>
      <c r="O135" s="345">
        <f t="shared" ca="1" si="83"/>
        <v>141163.64284301442</v>
      </c>
      <c r="P135" s="345">
        <f t="shared" ca="1" si="69"/>
        <v>2400</v>
      </c>
      <c r="Q135" s="345">
        <f t="shared" ca="1" si="70"/>
        <v>5058.1821421507211</v>
      </c>
      <c r="R135" s="345">
        <f t="shared" ca="1" si="84"/>
        <v>148621.82498516515</v>
      </c>
      <c r="T135" s="347">
        <f t="shared" ca="1" si="71"/>
        <v>0</v>
      </c>
      <c r="U135" s="361">
        <f t="shared" ca="1" si="78"/>
        <v>0</v>
      </c>
      <c r="V135" s="348">
        <f t="shared" si="72"/>
        <v>0</v>
      </c>
      <c r="W135" s="345">
        <f t="shared" ca="1" si="73"/>
        <v>0</v>
      </c>
      <c r="X135" s="345">
        <f t="shared" si="74"/>
        <v>0</v>
      </c>
      <c r="Y135" s="345">
        <f t="shared" ca="1" si="79"/>
        <v>-3462555.5073609962</v>
      </c>
      <c r="Z135" s="349">
        <f t="shared" ca="1" si="75"/>
        <v>-207753.33044165975</v>
      </c>
      <c r="AA135" s="270"/>
      <c r="AB135" s="270"/>
      <c r="AC135" s="270"/>
      <c r="AD135" s="270"/>
      <c r="AE135" s="270"/>
      <c r="AF135" s="270"/>
      <c r="AG135" s="323"/>
      <c r="AH135" s="323"/>
      <c r="AI135" s="323"/>
      <c r="AJ135" s="323"/>
    </row>
    <row r="136" spans="2:39" ht="53" customHeight="1" x14ac:dyDescent="0.35">
      <c r="B136" s="344">
        <f t="shared" si="80"/>
        <v>80</v>
      </c>
      <c r="C136" s="345">
        <f t="shared" si="76"/>
        <v>0</v>
      </c>
      <c r="D136" s="345">
        <f t="shared" si="63"/>
        <v>1590</v>
      </c>
      <c r="E136" s="345">
        <f t="shared" si="64"/>
        <v>900</v>
      </c>
      <c r="F136" s="345">
        <v>600</v>
      </c>
      <c r="G136" s="345">
        <f t="shared" si="65"/>
        <v>0</v>
      </c>
      <c r="H136" s="345">
        <f t="shared" ca="1" si="81"/>
        <v>71790.46392319999</v>
      </c>
      <c r="I136" s="345">
        <f t="shared" ca="1" si="66"/>
        <v>2871.6185569279996</v>
      </c>
      <c r="J136" s="345">
        <f t="shared" ca="1" si="67"/>
        <v>0</v>
      </c>
      <c r="K136" s="345">
        <f t="shared" ca="1" si="82"/>
        <v>74662.082480127996</v>
      </c>
      <c r="L136" s="278"/>
      <c r="M136" s="346">
        <f t="shared" ca="1" si="85"/>
        <v>0</v>
      </c>
      <c r="N136" s="345">
        <f t="shared" si="68"/>
        <v>0</v>
      </c>
      <c r="O136" s="345">
        <f t="shared" ca="1" si="83"/>
        <v>148621.82498516515</v>
      </c>
      <c r="P136" s="345">
        <f t="shared" ca="1" si="69"/>
        <v>2400</v>
      </c>
      <c r="Q136" s="345">
        <f t="shared" ca="1" si="70"/>
        <v>5431.0912492582574</v>
      </c>
      <c r="R136" s="345">
        <f t="shared" ca="1" si="84"/>
        <v>156452.91623442341</v>
      </c>
      <c r="T136" s="347">
        <f t="shared" ca="1" si="71"/>
        <v>0</v>
      </c>
      <c r="U136" s="361">
        <f t="shared" ca="1" si="78"/>
        <v>0</v>
      </c>
      <c r="V136" s="348">
        <f t="shared" si="72"/>
        <v>0</v>
      </c>
      <c r="W136" s="345">
        <f t="shared" ca="1" si="73"/>
        <v>0</v>
      </c>
      <c r="X136" s="345">
        <f t="shared" si="74"/>
        <v>0</v>
      </c>
      <c r="Y136" s="345">
        <f t="shared" ca="1" si="79"/>
        <v>-3670308.837802656</v>
      </c>
      <c r="Z136" s="349">
        <f t="shared" ca="1" si="75"/>
        <v>-220218.53026815935</v>
      </c>
      <c r="AA136" s="270"/>
      <c r="AB136" s="270"/>
      <c r="AC136" s="270"/>
      <c r="AD136" s="270"/>
      <c r="AE136" s="270"/>
      <c r="AF136" s="270"/>
      <c r="AG136" s="323"/>
      <c r="AH136" s="323"/>
      <c r="AI136" s="323"/>
      <c r="AJ136" s="323"/>
    </row>
    <row r="137" spans="2:39" ht="53" customHeight="1" x14ac:dyDescent="0.35">
      <c r="B137" s="344">
        <f t="shared" si="80"/>
        <v>81</v>
      </c>
      <c r="C137" s="345">
        <f t="shared" si="76"/>
        <v>0</v>
      </c>
      <c r="D137" s="345">
        <f t="shared" si="63"/>
        <v>1675</v>
      </c>
      <c r="E137" s="345">
        <f t="shared" si="64"/>
        <v>900</v>
      </c>
      <c r="F137" s="345">
        <v>600</v>
      </c>
      <c r="G137" s="345">
        <f t="shared" si="65"/>
        <v>0</v>
      </c>
      <c r="H137" s="345">
        <f t="shared" ca="1" si="81"/>
        <v>71487.082480127996</v>
      </c>
      <c r="I137" s="345">
        <f t="shared" ca="1" si="66"/>
        <v>2859.4832992051197</v>
      </c>
      <c r="J137" s="345">
        <f t="shared" ca="1" si="67"/>
        <v>0</v>
      </c>
      <c r="K137" s="345">
        <f t="shared" ca="1" si="82"/>
        <v>74346.565779333119</v>
      </c>
      <c r="L137" s="278"/>
      <c r="M137" s="346">
        <f t="shared" ca="1" si="85"/>
        <v>0</v>
      </c>
      <c r="N137" s="345">
        <f t="shared" si="68"/>
        <v>0</v>
      </c>
      <c r="O137" s="345">
        <f t="shared" ca="1" si="83"/>
        <v>156452.91623442341</v>
      </c>
      <c r="P137" s="345">
        <f t="shared" ca="1" si="69"/>
        <v>2400</v>
      </c>
      <c r="Q137" s="345">
        <f t="shared" ca="1" si="70"/>
        <v>5822.6458117211705</v>
      </c>
      <c r="R137" s="345">
        <f t="shared" ca="1" si="84"/>
        <v>164675.56204614457</v>
      </c>
      <c r="T137" s="347">
        <f t="shared" ca="1" si="71"/>
        <v>0</v>
      </c>
      <c r="U137" s="361">
        <f t="shared" ca="1" si="78"/>
        <v>0</v>
      </c>
      <c r="V137" s="348">
        <f t="shared" si="72"/>
        <v>0</v>
      </c>
      <c r="W137" s="345">
        <f t="shared" ca="1" si="73"/>
        <v>0</v>
      </c>
      <c r="X137" s="345">
        <f t="shared" si="74"/>
        <v>0</v>
      </c>
      <c r="Y137" s="345">
        <f t="shared" ca="1" si="79"/>
        <v>-3890527.3680708152</v>
      </c>
      <c r="Z137" s="349">
        <f t="shared" ca="1" si="75"/>
        <v>-233431.64208424892</v>
      </c>
      <c r="AA137" s="270"/>
      <c r="AB137" s="270"/>
      <c r="AC137" s="270"/>
      <c r="AD137" s="270"/>
      <c r="AE137" s="270"/>
      <c r="AF137" s="270"/>
      <c r="AG137" s="323"/>
      <c r="AH137" s="323"/>
      <c r="AI137" s="323"/>
      <c r="AJ137" s="323"/>
      <c r="AK137" s="249"/>
    </row>
    <row r="138" spans="2:39" ht="53" customHeight="1" x14ac:dyDescent="0.35">
      <c r="B138" s="344">
        <f t="shared" si="80"/>
        <v>82</v>
      </c>
      <c r="C138" s="345">
        <f t="shared" si="76"/>
        <v>0</v>
      </c>
      <c r="D138" s="345">
        <f t="shared" si="63"/>
        <v>1675</v>
      </c>
      <c r="E138" s="345">
        <f t="shared" si="64"/>
        <v>900</v>
      </c>
      <c r="F138" s="345">
        <v>600</v>
      </c>
      <c r="G138" s="345">
        <f t="shared" si="65"/>
        <v>0</v>
      </c>
      <c r="H138" s="345">
        <f t="shared" ca="1" si="81"/>
        <v>71171.565779333119</v>
      </c>
      <c r="I138" s="345">
        <f t="shared" ca="1" si="66"/>
        <v>2846.8626311733246</v>
      </c>
      <c r="J138" s="345">
        <f t="shared" ca="1" si="67"/>
        <v>0</v>
      </c>
      <c r="K138" s="345">
        <f t="shared" ca="1" si="82"/>
        <v>74018.428410506443</v>
      </c>
      <c r="L138" s="278"/>
      <c r="M138" s="346">
        <f t="shared" ca="1" si="85"/>
        <v>0</v>
      </c>
      <c r="N138" s="345">
        <f t="shared" si="68"/>
        <v>0</v>
      </c>
      <c r="O138" s="345">
        <f t="shared" ca="1" si="83"/>
        <v>164675.56204614457</v>
      </c>
      <c r="P138" s="345">
        <f t="shared" ca="1" si="69"/>
        <v>2400</v>
      </c>
      <c r="Q138" s="345">
        <f t="shared" ca="1" si="70"/>
        <v>6233.7781023072284</v>
      </c>
      <c r="R138" s="345">
        <f t="shared" ca="1" si="84"/>
        <v>173309.3401484518</v>
      </c>
      <c r="T138" s="347">
        <f t="shared" ca="1" si="71"/>
        <v>0</v>
      </c>
      <c r="U138" s="361">
        <f t="shared" ca="1" si="78"/>
        <v>0</v>
      </c>
      <c r="V138" s="348">
        <f t="shared" si="72"/>
        <v>0</v>
      </c>
      <c r="W138" s="345">
        <f t="shared" ca="1" si="73"/>
        <v>0</v>
      </c>
      <c r="X138" s="345">
        <f t="shared" si="74"/>
        <v>0</v>
      </c>
      <c r="Y138" s="345">
        <f t="shared" ca="1" si="79"/>
        <v>-4123959.0101550641</v>
      </c>
      <c r="Z138" s="349">
        <f t="shared" ca="1" si="75"/>
        <v>-247437.54060930383</v>
      </c>
      <c r="AA138" s="270"/>
      <c r="AB138" s="270"/>
      <c r="AC138" s="270"/>
      <c r="AD138" s="270"/>
      <c r="AE138" s="270"/>
      <c r="AF138" s="270"/>
      <c r="AG138" s="323"/>
      <c r="AH138" s="323"/>
      <c r="AI138" s="323"/>
      <c r="AJ138" s="323"/>
      <c r="AK138" s="249"/>
    </row>
    <row r="139" spans="2:39" ht="53" customHeight="1" x14ac:dyDescent="0.35">
      <c r="B139" s="344">
        <f t="shared" si="80"/>
        <v>83</v>
      </c>
      <c r="C139" s="345">
        <f t="shared" si="76"/>
        <v>0</v>
      </c>
      <c r="D139" s="345">
        <f t="shared" si="63"/>
        <v>1675</v>
      </c>
      <c r="E139" s="345">
        <f t="shared" si="64"/>
        <v>900</v>
      </c>
      <c r="F139" s="345">
        <v>600</v>
      </c>
      <c r="G139" s="345">
        <f t="shared" si="65"/>
        <v>0</v>
      </c>
      <c r="H139" s="345">
        <f t="shared" ca="1" si="81"/>
        <v>70843.428410506443</v>
      </c>
      <c r="I139" s="345">
        <f t="shared" ca="1" si="66"/>
        <v>2833.7371364202577</v>
      </c>
      <c r="J139" s="345">
        <f t="shared" ca="1" si="67"/>
        <v>0</v>
      </c>
      <c r="K139" s="345">
        <f t="shared" ca="1" si="82"/>
        <v>73677.165546926699</v>
      </c>
      <c r="L139" s="278"/>
      <c r="M139" s="346">
        <f t="shared" ca="1" si="85"/>
        <v>0</v>
      </c>
      <c r="N139" s="345">
        <f t="shared" si="68"/>
        <v>0</v>
      </c>
      <c r="O139" s="345">
        <f t="shared" ca="1" si="83"/>
        <v>173309.3401484518</v>
      </c>
      <c r="P139" s="345">
        <f t="shared" ca="1" si="69"/>
        <v>2400</v>
      </c>
      <c r="Q139" s="345">
        <f t="shared" ca="1" si="70"/>
        <v>6665.4670074225905</v>
      </c>
      <c r="R139" s="345">
        <f t="shared" ca="1" si="84"/>
        <v>182374.80715587438</v>
      </c>
      <c r="T139" s="347">
        <f t="shared" ca="1" si="71"/>
        <v>0</v>
      </c>
      <c r="U139" s="361">
        <f t="shared" ca="1" si="78"/>
        <v>0</v>
      </c>
      <c r="V139" s="348">
        <f t="shared" si="72"/>
        <v>0</v>
      </c>
      <c r="W139" s="345">
        <f t="shared" ca="1" si="73"/>
        <v>0</v>
      </c>
      <c r="X139" s="345">
        <f t="shared" si="74"/>
        <v>0</v>
      </c>
      <c r="Y139" s="345">
        <f t="shared" ca="1" si="79"/>
        <v>-4371396.5507643679</v>
      </c>
      <c r="Z139" s="349">
        <f t="shared" ca="1" si="75"/>
        <v>-262283.79304586205</v>
      </c>
      <c r="AA139" s="270"/>
      <c r="AB139" s="270"/>
      <c r="AC139" s="270"/>
      <c r="AD139" s="270"/>
      <c r="AE139" s="270"/>
      <c r="AF139" s="270"/>
      <c r="AG139" s="323"/>
      <c r="AH139" s="323"/>
      <c r="AI139" s="323"/>
      <c r="AJ139" s="323"/>
      <c r="AK139" s="249"/>
    </row>
    <row r="140" spans="2:39" ht="53" customHeight="1" x14ac:dyDescent="0.35">
      <c r="B140" s="344">
        <f t="shared" si="80"/>
        <v>84</v>
      </c>
      <c r="C140" s="345">
        <f t="shared" si="76"/>
        <v>0</v>
      </c>
      <c r="D140" s="345">
        <f t="shared" si="63"/>
        <v>1935</v>
      </c>
      <c r="E140" s="345">
        <f t="shared" si="64"/>
        <v>900</v>
      </c>
      <c r="F140" s="345">
        <v>600</v>
      </c>
      <c r="G140" s="345">
        <f t="shared" si="65"/>
        <v>0</v>
      </c>
      <c r="H140" s="345">
        <f t="shared" ca="1" si="81"/>
        <v>70242.165546926699</v>
      </c>
      <c r="I140" s="345">
        <f t="shared" ca="1" si="66"/>
        <v>2809.6866218770679</v>
      </c>
      <c r="J140" s="345">
        <f t="shared" ca="1" si="67"/>
        <v>0</v>
      </c>
      <c r="K140" s="345">
        <f t="shared" ca="1" si="82"/>
        <v>73051.852168803773</v>
      </c>
      <c r="L140" s="278"/>
      <c r="M140" s="346">
        <f t="shared" ca="1" si="85"/>
        <v>0</v>
      </c>
      <c r="N140" s="345">
        <f t="shared" si="68"/>
        <v>0</v>
      </c>
      <c r="O140" s="345">
        <f t="shared" ca="1" si="83"/>
        <v>182374.80715587438</v>
      </c>
      <c r="P140" s="345">
        <f t="shared" ca="1" si="69"/>
        <v>2400</v>
      </c>
      <c r="Q140" s="345">
        <f t="shared" ca="1" si="70"/>
        <v>7118.7403577937193</v>
      </c>
      <c r="R140" s="345">
        <f t="shared" ca="1" si="84"/>
        <v>191893.54751366811</v>
      </c>
      <c r="T140" s="347">
        <f t="shared" ca="1" si="71"/>
        <v>0</v>
      </c>
      <c r="U140" s="361">
        <f t="shared" ca="1" si="78"/>
        <v>0</v>
      </c>
      <c r="V140" s="348">
        <f t="shared" si="72"/>
        <v>0</v>
      </c>
      <c r="W140" s="345">
        <f t="shared" ca="1" si="73"/>
        <v>0</v>
      </c>
      <c r="X140" s="345">
        <f t="shared" si="74"/>
        <v>0</v>
      </c>
      <c r="Y140" s="345">
        <f t="shared" ca="1" si="79"/>
        <v>-4633680.3438102296</v>
      </c>
      <c r="Z140" s="349">
        <f t="shared" ca="1" si="75"/>
        <v>-278020.82062861376</v>
      </c>
      <c r="AA140" s="270"/>
      <c r="AB140" s="270"/>
      <c r="AC140" s="270"/>
      <c r="AD140" s="270"/>
      <c r="AE140" s="270"/>
      <c r="AF140" s="270"/>
      <c r="AG140" s="323"/>
      <c r="AH140" s="323"/>
      <c r="AI140" s="323"/>
      <c r="AJ140" s="323"/>
    </row>
    <row r="141" spans="2:39" ht="53" customHeight="1" x14ac:dyDescent="0.35">
      <c r="B141" s="344">
        <f t="shared" si="80"/>
        <v>85</v>
      </c>
      <c r="C141" s="345">
        <f t="shared" si="76"/>
        <v>0</v>
      </c>
      <c r="D141" s="345">
        <f t="shared" si="63"/>
        <v>1935</v>
      </c>
      <c r="E141" s="345">
        <f t="shared" si="64"/>
        <v>900</v>
      </c>
      <c r="F141" s="345"/>
      <c r="G141" s="345">
        <f t="shared" si="65"/>
        <v>0</v>
      </c>
      <c r="H141" s="345">
        <f t="shared" ca="1" si="81"/>
        <v>70216.852168803773</v>
      </c>
      <c r="I141" s="345">
        <f t="shared" ca="1" si="66"/>
        <v>2808.6740867521507</v>
      </c>
      <c r="J141" s="345">
        <f t="shared" ca="1" si="67"/>
        <v>0</v>
      </c>
      <c r="K141" s="345">
        <f t="shared" ca="1" si="82"/>
        <v>73025.526255555917</v>
      </c>
      <c r="L141" s="278"/>
      <c r="M141" s="346">
        <f t="shared" ca="1" si="85"/>
        <v>0</v>
      </c>
      <c r="N141" s="345">
        <f t="shared" si="68"/>
        <v>0</v>
      </c>
      <c r="O141" s="345">
        <f t="shared" ca="1" si="83"/>
        <v>191893.54751366811</v>
      </c>
      <c r="P141" s="345">
        <f t="shared" ca="1" si="69"/>
        <v>2400</v>
      </c>
      <c r="Q141" s="345">
        <f t="shared" ca="1" si="70"/>
        <v>7594.6773756834054</v>
      </c>
      <c r="R141" s="345">
        <f t="shared" ca="1" si="84"/>
        <v>201888.22488935152</v>
      </c>
      <c r="T141" s="347">
        <f t="shared" ca="1" si="71"/>
        <v>0</v>
      </c>
      <c r="U141" s="361">
        <f t="shared" ca="1" si="78"/>
        <v>0</v>
      </c>
      <c r="V141" s="348">
        <f t="shared" si="72"/>
        <v>0</v>
      </c>
      <c r="W141" s="345">
        <f t="shared" ca="1" si="73"/>
        <v>0</v>
      </c>
      <c r="X141" s="345">
        <f t="shared" si="74"/>
        <v>0</v>
      </c>
      <c r="Y141" s="345">
        <f t="shared" ca="1" si="79"/>
        <v>-4911701.1644388437</v>
      </c>
      <c r="Z141" s="349">
        <f t="shared" ca="1" si="75"/>
        <v>-294702.0698663306</v>
      </c>
      <c r="AA141" s="270"/>
      <c r="AB141" s="270"/>
      <c r="AC141" s="270"/>
      <c r="AD141" s="270"/>
      <c r="AE141" s="270"/>
      <c r="AF141" s="270"/>
      <c r="AG141" s="323"/>
      <c r="AH141" s="323"/>
      <c r="AI141" s="323"/>
      <c r="AJ141" s="323"/>
      <c r="AK141" s="362" t="s">
        <v>234</v>
      </c>
      <c r="AL141" s="336" t="s">
        <v>241</v>
      </c>
      <c r="AM141" s="335"/>
    </row>
    <row r="142" spans="2:39" ht="53" customHeight="1" x14ac:dyDescent="0.35">
      <c r="B142" s="344">
        <f t="shared" si="80"/>
        <v>86</v>
      </c>
      <c r="C142" s="345">
        <f t="shared" si="76"/>
        <v>0</v>
      </c>
      <c r="D142" s="345">
        <f t="shared" si="63"/>
        <v>2025</v>
      </c>
      <c r="E142" s="345">
        <f t="shared" si="64"/>
        <v>900</v>
      </c>
      <c r="F142" s="345"/>
      <c r="G142" s="345">
        <f t="shared" si="65"/>
        <v>0</v>
      </c>
      <c r="H142" s="345">
        <f t="shared" ca="1" si="81"/>
        <v>70100.526255555917</v>
      </c>
      <c r="I142" s="345">
        <f t="shared" ca="1" si="66"/>
        <v>2804.0210502222367</v>
      </c>
      <c r="J142" s="345">
        <f t="shared" ca="1" si="67"/>
        <v>0</v>
      </c>
      <c r="K142" s="345">
        <f t="shared" ca="1" si="82"/>
        <v>72904.547305778149</v>
      </c>
      <c r="L142" s="278"/>
      <c r="M142" s="346" t="e">
        <f ca="1">IF(R141&gt;=#REF!,#REF!,0)</f>
        <v>#REF!</v>
      </c>
      <c r="N142" s="345">
        <f t="shared" si="68"/>
        <v>0</v>
      </c>
      <c r="O142" s="345" t="e">
        <f t="shared" ca="1" si="83"/>
        <v>#REF!</v>
      </c>
      <c r="P142" s="345" t="e">
        <f t="shared" ca="1" si="69"/>
        <v>#REF!</v>
      </c>
      <c r="Q142" s="345" t="e">
        <f t="shared" ca="1" si="70"/>
        <v>#REF!</v>
      </c>
      <c r="R142" s="345" t="e">
        <f t="shared" ca="1" si="84"/>
        <v>#REF!</v>
      </c>
      <c r="T142" s="347">
        <f t="shared" ca="1" si="71"/>
        <v>0</v>
      </c>
      <c r="U142" s="361">
        <f t="shared" ca="1" si="78"/>
        <v>0</v>
      </c>
      <c r="V142" s="348">
        <f t="shared" si="72"/>
        <v>0</v>
      </c>
      <c r="W142" s="345">
        <f t="shared" ca="1" si="73"/>
        <v>0</v>
      </c>
      <c r="X142" s="345">
        <f t="shared" si="74"/>
        <v>0</v>
      </c>
      <c r="Y142" s="345">
        <f t="shared" ca="1" si="79"/>
        <v>-5206403.2343051741</v>
      </c>
      <c r="Z142" s="349">
        <f t="shared" ca="1" si="75"/>
        <v>-312384.19405831042</v>
      </c>
      <c r="AA142" s="270"/>
      <c r="AB142" s="270"/>
      <c r="AC142" s="270"/>
      <c r="AD142" s="270"/>
      <c r="AE142" s="270"/>
      <c r="AF142" s="270"/>
      <c r="AG142" s="323"/>
      <c r="AH142" s="323"/>
      <c r="AI142" s="323"/>
      <c r="AJ142" s="323"/>
      <c r="AK142" s="363">
        <f t="shared" ref="AK142:AK187" ca="1" si="86">$AL$4*IF(Y61&gt;=20000,Y61-20000,0)</f>
        <v>0</v>
      </c>
      <c r="AL142" s="345">
        <f t="shared" ref="AL142:AL187" ca="1" si="87">Y61+Z61+AK142</f>
        <v>-406627.30665573641</v>
      </c>
    </row>
    <row r="143" spans="2:39" ht="53" customHeight="1" x14ac:dyDescent="0.35">
      <c r="B143" s="344">
        <f t="shared" si="80"/>
        <v>87</v>
      </c>
      <c r="C143" s="345">
        <f t="shared" si="76"/>
        <v>0</v>
      </c>
      <c r="D143" s="345">
        <f t="shared" si="63"/>
        <v>2025</v>
      </c>
      <c r="E143" s="345">
        <f t="shared" si="64"/>
        <v>900</v>
      </c>
      <c r="F143" s="345"/>
      <c r="G143" s="345">
        <f t="shared" si="65"/>
        <v>0</v>
      </c>
      <c r="H143" s="345">
        <f t="shared" ca="1" si="81"/>
        <v>69979.547305778149</v>
      </c>
      <c r="I143" s="345">
        <f t="shared" ca="1" si="66"/>
        <v>2799.1818922311259</v>
      </c>
      <c r="J143" s="345">
        <f t="shared" ca="1" si="67"/>
        <v>0</v>
      </c>
      <c r="K143" s="345">
        <f t="shared" ca="1" si="82"/>
        <v>72778.72919800927</v>
      </c>
      <c r="L143" s="278"/>
      <c r="M143" s="346" t="e">
        <f t="shared" ref="M143:M156" ca="1" si="88">IF(R142&gt;=AR55,AR55,0)</f>
        <v>#REF!</v>
      </c>
      <c r="N143" s="345">
        <f t="shared" si="68"/>
        <v>0</v>
      </c>
      <c r="O143" s="345" t="e">
        <f t="shared" ca="1" si="83"/>
        <v>#REF!</v>
      </c>
      <c r="P143" s="345" t="e">
        <f t="shared" ca="1" si="69"/>
        <v>#REF!</v>
      </c>
      <c r="Q143" s="345" t="e">
        <f t="shared" ca="1" si="70"/>
        <v>#REF!</v>
      </c>
      <c r="R143" s="345" t="e">
        <f t="shared" ca="1" si="84"/>
        <v>#REF!</v>
      </c>
      <c r="T143" s="347">
        <f t="shared" ca="1" si="71"/>
        <v>0</v>
      </c>
      <c r="U143" s="361">
        <f t="shared" ca="1" si="78"/>
        <v>0</v>
      </c>
      <c r="V143" s="348">
        <f t="shared" si="72"/>
        <v>0</v>
      </c>
      <c r="W143" s="345">
        <f t="shared" ca="1" si="73"/>
        <v>0</v>
      </c>
      <c r="X143" s="345">
        <f t="shared" si="74"/>
        <v>0</v>
      </c>
      <c r="Y143" s="345">
        <f t="shared" ca="1" si="79"/>
        <v>-5518787.4283634843</v>
      </c>
      <c r="Z143" s="349">
        <f t="shared" ca="1" si="75"/>
        <v>-331127.24570180906</v>
      </c>
      <c r="AA143" s="270"/>
      <c r="AB143" s="270"/>
      <c r="AC143" s="270"/>
      <c r="AD143" s="270"/>
      <c r="AE143" s="270"/>
      <c r="AF143" s="270"/>
      <c r="AG143" s="323"/>
      <c r="AH143" s="323"/>
      <c r="AI143" s="323"/>
      <c r="AJ143" s="323"/>
      <c r="AK143" s="363">
        <f t="shared" ca="1" si="86"/>
        <v>0</v>
      </c>
      <c r="AL143" s="345">
        <f t="shared" ca="1" si="87"/>
        <v>-424551.2188740886</v>
      </c>
    </row>
    <row r="144" spans="2:39" ht="53" customHeight="1" x14ac:dyDescent="0.35">
      <c r="B144" s="344">
        <f t="shared" si="80"/>
        <v>88</v>
      </c>
      <c r="C144" s="345">
        <f t="shared" si="76"/>
        <v>0</v>
      </c>
      <c r="D144" s="345">
        <f t="shared" si="63"/>
        <v>2025</v>
      </c>
      <c r="E144" s="345">
        <f t="shared" si="64"/>
        <v>900</v>
      </c>
      <c r="F144" s="345"/>
      <c r="G144" s="345">
        <f t="shared" si="65"/>
        <v>0</v>
      </c>
      <c r="H144" s="345">
        <f t="shared" ca="1" si="81"/>
        <v>69853.72919800927</v>
      </c>
      <c r="I144" s="345">
        <f t="shared" ca="1" si="66"/>
        <v>2794.1491679203709</v>
      </c>
      <c r="J144" s="345">
        <f t="shared" ca="1" si="67"/>
        <v>0</v>
      </c>
      <c r="K144" s="345">
        <f t="shared" ca="1" si="82"/>
        <v>72647.878365929646</v>
      </c>
      <c r="L144" s="278"/>
      <c r="M144" s="346" t="e">
        <f t="shared" ca="1" si="88"/>
        <v>#REF!</v>
      </c>
      <c r="N144" s="345">
        <f t="shared" si="68"/>
        <v>0</v>
      </c>
      <c r="O144" s="345" t="e">
        <f t="shared" ca="1" si="83"/>
        <v>#REF!</v>
      </c>
      <c r="P144" s="345" t="e">
        <f t="shared" ca="1" si="69"/>
        <v>#REF!</v>
      </c>
      <c r="Q144" s="345" t="e">
        <f t="shared" ca="1" si="70"/>
        <v>#REF!</v>
      </c>
      <c r="R144" s="345" t="e">
        <f t="shared" ca="1" si="84"/>
        <v>#REF!</v>
      </c>
      <c r="T144" s="347">
        <f t="shared" ca="1" si="71"/>
        <v>0</v>
      </c>
      <c r="U144" s="361">
        <f t="shared" ca="1" si="78"/>
        <v>0</v>
      </c>
      <c r="V144" s="348">
        <f t="shared" si="72"/>
        <v>0</v>
      </c>
      <c r="W144" s="345">
        <f t="shared" ca="1" si="73"/>
        <v>0</v>
      </c>
      <c r="X144" s="345">
        <f t="shared" si="74"/>
        <v>0</v>
      </c>
      <c r="Y144" s="345">
        <f t="shared" ca="1" si="79"/>
        <v>-5849914.6740652937</v>
      </c>
      <c r="Z144" s="349">
        <f t="shared" ca="1" si="75"/>
        <v>-350994.88044391759</v>
      </c>
      <c r="AA144" s="270"/>
      <c r="AB144" s="270"/>
      <c r="AC144" s="270"/>
      <c r="AD144" s="270"/>
      <c r="AE144" s="270"/>
      <c r="AF144" s="270"/>
      <c r="AG144" s="323"/>
      <c r="AH144" s="323"/>
      <c r="AI144" s="323"/>
      <c r="AJ144" s="323"/>
      <c r="AK144" s="363">
        <f t="shared" ca="1" si="86"/>
        <v>0</v>
      </c>
      <c r="AL144" s="345">
        <f t="shared" ca="1" si="87"/>
        <v>-436089.75004358217</v>
      </c>
    </row>
    <row r="145" spans="1:40" ht="53" customHeight="1" x14ac:dyDescent="0.35">
      <c r="B145" s="344">
        <f t="shared" si="80"/>
        <v>89</v>
      </c>
      <c r="C145" s="345">
        <f t="shared" si="76"/>
        <v>0</v>
      </c>
      <c r="D145" s="345">
        <f t="shared" si="63"/>
        <v>2025</v>
      </c>
      <c r="E145" s="345">
        <f t="shared" si="64"/>
        <v>900</v>
      </c>
      <c r="F145" s="345"/>
      <c r="G145" s="345">
        <f t="shared" si="65"/>
        <v>0</v>
      </c>
      <c r="H145" s="345">
        <f t="shared" ca="1" si="81"/>
        <v>69722.878365929646</v>
      </c>
      <c r="I145" s="345">
        <f t="shared" ca="1" si="66"/>
        <v>2788.9151346371859</v>
      </c>
      <c r="J145" s="345">
        <f t="shared" ca="1" si="67"/>
        <v>0</v>
      </c>
      <c r="K145" s="345">
        <f t="shared" ca="1" si="82"/>
        <v>72511.793500566826</v>
      </c>
      <c r="L145" s="278"/>
      <c r="M145" s="346" t="e">
        <f t="shared" ca="1" si="88"/>
        <v>#REF!</v>
      </c>
      <c r="N145" s="345">
        <f t="shared" si="68"/>
        <v>0</v>
      </c>
      <c r="O145" s="345" t="e">
        <f t="shared" ca="1" si="83"/>
        <v>#REF!</v>
      </c>
      <c r="P145" s="345" t="e">
        <f t="shared" ca="1" si="69"/>
        <v>#REF!</v>
      </c>
      <c r="Q145" s="345" t="e">
        <f t="shared" ca="1" si="70"/>
        <v>#REF!</v>
      </c>
      <c r="R145" s="345" t="e">
        <f t="shared" ca="1" si="84"/>
        <v>#REF!</v>
      </c>
      <c r="T145" s="347">
        <f t="shared" ca="1" si="71"/>
        <v>0</v>
      </c>
      <c r="U145" s="361">
        <f t="shared" ca="1" si="78"/>
        <v>0</v>
      </c>
      <c r="V145" s="348">
        <f t="shared" si="72"/>
        <v>0</v>
      </c>
      <c r="W145" s="345">
        <f t="shared" ca="1" si="73"/>
        <v>0</v>
      </c>
      <c r="X145" s="345">
        <f t="shared" si="74"/>
        <v>0</v>
      </c>
      <c r="Y145" s="345">
        <f t="shared" ca="1" si="79"/>
        <v>-6200909.5545092113</v>
      </c>
      <c r="Z145" s="349">
        <f t="shared" ca="1" si="75"/>
        <v>-372054.57327055268</v>
      </c>
      <c r="AA145" s="270"/>
      <c r="AB145" s="270"/>
      <c r="AC145" s="270"/>
      <c r="AD145" s="270"/>
      <c r="AE145" s="270"/>
      <c r="AF145" s="270"/>
      <c r="AG145" s="323"/>
      <c r="AH145" s="323"/>
      <c r="AI145" s="323"/>
      <c r="AJ145" s="323"/>
      <c r="AK145" s="363">
        <f t="shared" ca="1" si="86"/>
        <v>0</v>
      </c>
      <c r="AL145" s="345">
        <f t="shared" ca="1" si="87"/>
        <v>-448325.24106562714</v>
      </c>
    </row>
    <row r="146" spans="1:40" s="290" customFormat="1" ht="53" customHeight="1" x14ac:dyDescent="0.35">
      <c r="A146" s="247"/>
      <c r="B146" s="344">
        <f t="shared" si="80"/>
        <v>90</v>
      </c>
      <c r="C146" s="345">
        <f t="shared" si="76"/>
        <v>0</v>
      </c>
      <c r="D146" s="345">
        <f t="shared" si="63"/>
        <v>2025</v>
      </c>
      <c r="E146" s="345">
        <f t="shared" si="64"/>
        <v>900</v>
      </c>
      <c r="F146" s="345"/>
      <c r="G146" s="345">
        <f t="shared" si="65"/>
        <v>0</v>
      </c>
      <c r="H146" s="345">
        <f t="shared" ca="1" si="81"/>
        <v>69586.793500566826</v>
      </c>
      <c r="I146" s="345">
        <f t="shared" ca="1" si="66"/>
        <v>2783.4717400226732</v>
      </c>
      <c r="J146" s="345">
        <f t="shared" ca="1" si="67"/>
        <v>0</v>
      </c>
      <c r="K146" s="345">
        <f t="shared" ca="1" si="82"/>
        <v>72370.265240589506</v>
      </c>
      <c r="L146" s="278"/>
      <c r="M146" s="346" t="e">
        <f t="shared" ca="1" si="88"/>
        <v>#REF!</v>
      </c>
      <c r="N146" s="345">
        <f t="shared" si="68"/>
        <v>0</v>
      </c>
      <c r="O146" s="345" t="e">
        <f t="shared" ca="1" si="83"/>
        <v>#REF!</v>
      </c>
      <c r="P146" s="345" t="e">
        <f t="shared" ca="1" si="69"/>
        <v>#REF!</v>
      </c>
      <c r="Q146" s="345" t="e">
        <f t="shared" ca="1" si="70"/>
        <v>#REF!</v>
      </c>
      <c r="R146" s="345" t="e">
        <f t="shared" ca="1" si="84"/>
        <v>#REF!</v>
      </c>
      <c r="S146" s="247"/>
      <c r="T146" s="347">
        <f t="shared" ca="1" si="71"/>
        <v>0</v>
      </c>
      <c r="U146" s="361">
        <f t="shared" ca="1" si="78"/>
        <v>0</v>
      </c>
      <c r="V146" s="348">
        <f t="shared" si="72"/>
        <v>0</v>
      </c>
      <c r="W146" s="345">
        <f t="shared" ca="1" si="73"/>
        <v>0</v>
      </c>
      <c r="X146" s="345">
        <f t="shared" si="74"/>
        <v>0</v>
      </c>
      <c r="Y146" s="345">
        <f t="shared" ca="1" si="79"/>
        <v>-6572964.1277797641</v>
      </c>
      <c r="Z146" s="349">
        <f t="shared" ca="1" si="75"/>
        <v>-394377.84766678582</v>
      </c>
      <c r="AA146" s="270"/>
      <c r="AB146" s="270"/>
      <c r="AC146" s="270"/>
      <c r="AD146" s="270"/>
      <c r="AE146" s="270"/>
      <c r="AF146" s="270"/>
      <c r="AG146" s="323"/>
      <c r="AH146" s="323"/>
      <c r="AI146" s="323"/>
      <c r="AJ146" s="323"/>
      <c r="AK146" s="363">
        <f t="shared" ca="1" si="86"/>
        <v>0</v>
      </c>
      <c r="AL146" s="345">
        <f t="shared" ca="1" si="87"/>
        <v>-461299.55714530818</v>
      </c>
      <c r="AM146" s="247"/>
      <c r="AN146" s="247"/>
    </row>
    <row r="147" spans="1:40" ht="53" customHeight="1" x14ac:dyDescent="0.35">
      <c r="B147" s="344">
        <f t="shared" si="80"/>
        <v>91</v>
      </c>
      <c r="C147" s="345">
        <f t="shared" si="76"/>
        <v>0</v>
      </c>
      <c r="D147" s="345">
        <f t="shared" si="63"/>
        <v>2055</v>
      </c>
      <c r="E147" s="345">
        <f t="shared" si="64"/>
        <v>900</v>
      </c>
      <c r="F147" s="345"/>
      <c r="G147" s="345">
        <f t="shared" si="65"/>
        <v>0</v>
      </c>
      <c r="H147" s="345">
        <f t="shared" ca="1" si="81"/>
        <v>69415.265240589506</v>
      </c>
      <c r="I147" s="345">
        <f t="shared" ca="1" si="66"/>
        <v>2776.6106096235803</v>
      </c>
      <c r="J147" s="345">
        <f t="shared" ca="1" si="67"/>
        <v>0</v>
      </c>
      <c r="K147" s="345">
        <f t="shared" ca="1" si="82"/>
        <v>72191.87585021308</v>
      </c>
      <c r="L147" s="278"/>
      <c r="M147" s="346" t="e">
        <f t="shared" ca="1" si="88"/>
        <v>#REF!</v>
      </c>
      <c r="N147" s="345">
        <f t="shared" si="68"/>
        <v>0</v>
      </c>
      <c r="O147" s="345" t="e">
        <f t="shared" ca="1" si="83"/>
        <v>#REF!</v>
      </c>
      <c r="P147" s="345" t="e">
        <f t="shared" ca="1" si="69"/>
        <v>#REF!</v>
      </c>
      <c r="Q147" s="345" t="e">
        <f t="shared" ca="1" si="70"/>
        <v>#REF!</v>
      </c>
      <c r="R147" s="345" t="e">
        <f t="shared" ca="1" si="84"/>
        <v>#REF!</v>
      </c>
      <c r="T147" s="347">
        <f t="shared" ca="1" si="71"/>
        <v>0</v>
      </c>
      <c r="U147" s="361">
        <f t="shared" ca="1" si="78"/>
        <v>0</v>
      </c>
      <c r="V147" s="348">
        <f t="shared" si="72"/>
        <v>0</v>
      </c>
      <c r="W147" s="345">
        <f t="shared" ca="1" si="73"/>
        <v>0</v>
      </c>
      <c r="X147" s="345">
        <f t="shared" si="74"/>
        <v>0</v>
      </c>
      <c r="Y147" s="345">
        <f t="shared" ca="1" si="79"/>
        <v>-6967341.9754465502</v>
      </c>
      <c r="Z147" s="349">
        <f t="shared" ca="1" si="75"/>
        <v>-418040.51852679299</v>
      </c>
      <c r="AA147" s="270"/>
      <c r="AB147" s="270"/>
      <c r="AC147" s="270"/>
      <c r="AD147" s="270"/>
      <c r="AE147" s="270"/>
      <c r="AF147" s="270"/>
      <c r="AG147" s="323"/>
      <c r="AH147" s="323"/>
      <c r="AI147" s="323"/>
      <c r="AJ147" s="323"/>
      <c r="AK147" s="363">
        <f t="shared" ca="1" si="86"/>
        <v>0</v>
      </c>
      <c r="AL147" s="345">
        <f t="shared" ca="1" si="87"/>
        <v>-475057.07588777196</v>
      </c>
      <c r="AN147" s="290"/>
    </row>
    <row r="148" spans="1:40" ht="53" customHeight="1" x14ac:dyDescent="0.35">
      <c r="B148" s="344">
        <f t="shared" si="80"/>
        <v>92</v>
      </c>
      <c r="C148" s="345">
        <f t="shared" si="76"/>
        <v>0</v>
      </c>
      <c r="D148" s="345">
        <f t="shared" si="63"/>
        <v>2055</v>
      </c>
      <c r="E148" s="345">
        <f t="shared" si="64"/>
        <v>900</v>
      </c>
      <c r="F148" s="345"/>
      <c r="G148" s="345">
        <f t="shared" si="65"/>
        <v>0</v>
      </c>
      <c r="H148" s="345">
        <f t="shared" ca="1" si="81"/>
        <v>69236.87585021308</v>
      </c>
      <c r="I148" s="345">
        <f t="shared" ca="1" si="66"/>
        <v>2769.4750340085234</v>
      </c>
      <c r="J148" s="345">
        <f t="shared" ca="1" si="67"/>
        <v>0</v>
      </c>
      <c r="K148" s="345">
        <f t="shared" ca="1" si="82"/>
        <v>72006.350884221611</v>
      </c>
      <c r="L148" s="278"/>
      <c r="M148" s="346" t="e">
        <f t="shared" ca="1" si="88"/>
        <v>#REF!</v>
      </c>
      <c r="N148" s="345">
        <f t="shared" si="68"/>
        <v>0</v>
      </c>
      <c r="O148" s="345" t="e">
        <f t="shared" ca="1" si="83"/>
        <v>#REF!</v>
      </c>
      <c r="P148" s="345" t="e">
        <f t="shared" ca="1" si="69"/>
        <v>#REF!</v>
      </c>
      <c r="Q148" s="345" t="e">
        <f t="shared" ca="1" si="70"/>
        <v>#REF!</v>
      </c>
      <c r="R148" s="345" t="e">
        <f t="shared" ca="1" si="84"/>
        <v>#REF!</v>
      </c>
      <c r="T148" s="347">
        <f t="shared" ca="1" si="71"/>
        <v>0</v>
      </c>
      <c r="U148" s="361">
        <f t="shared" ca="1" si="78"/>
        <v>0</v>
      </c>
      <c r="V148" s="348">
        <f t="shared" si="72"/>
        <v>0</v>
      </c>
      <c r="W148" s="345">
        <f t="shared" ca="1" si="73"/>
        <v>0</v>
      </c>
      <c r="X148" s="345">
        <f t="shared" si="74"/>
        <v>0</v>
      </c>
      <c r="Y148" s="345">
        <f t="shared" ca="1" si="79"/>
        <v>-7385382.4939733427</v>
      </c>
      <c r="Z148" s="349">
        <f t="shared" ca="1" si="75"/>
        <v>-443122.94963840052</v>
      </c>
      <c r="AA148" s="270"/>
      <c r="AB148" s="270"/>
      <c r="AC148" s="270"/>
      <c r="AD148" s="270"/>
      <c r="AE148" s="270"/>
      <c r="AF148" s="270"/>
      <c r="AG148" s="323"/>
      <c r="AH148" s="323"/>
      <c r="AI148" s="323"/>
      <c r="AJ148" s="323"/>
      <c r="AK148" s="363">
        <f t="shared" ca="1" si="86"/>
        <v>0</v>
      </c>
      <c r="AL148" s="346">
        <f t="shared" ca="1" si="87"/>
        <v>-493810.52270226786</v>
      </c>
      <c r="AM148" s="290"/>
    </row>
    <row r="149" spans="1:40" ht="53" customHeight="1" x14ac:dyDescent="0.35">
      <c r="B149" s="344">
        <f t="shared" si="80"/>
        <v>93</v>
      </c>
      <c r="C149" s="345">
        <f t="shared" si="76"/>
        <v>0</v>
      </c>
      <c r="D149" s="345">
        <f t="shared" si="63"/>
        <v>2055</v>
      </c>
      <c r="E149" s="345">
        <f t="shared" si="64"/>
        <v>900</v>
      </c>
      <c r="F149" s="345"/>
      <c r="G149" s="345">
        <f t="shared" si="65"/>
        <v>0</v>
      </c>
      <c r="H149" s="345">
        <f t="shared" ca="1" si="81"/>
        <v>69051.350884221611</v>
      </c>
      <c r="I149" s="345">
        <f t="shared" ca="1" si="66"/>
        <v>2762.0540353688643</v>
      </c>
      <c r="J149" s="345">
        <f t="shared" ca="1" si="67"/>
        <v>0</v>
      </c>
      <c r="K149" s="345">
        <f t="shared" ca="1" si="82"/>
        <v>71813.404919590481</v>
      </c>
      <c r="L149" s="278"/>
      <c r="M149" s="346" t="e">
        <f t="shared" ca="1" si="88"/>
        <v>#REF!</v>
      </c>
      <c r="N149" s="345">
        <f t="shared" si="68"/>
        <v>0</v>
      </c>
      <c r="O149" s="345" t="e">
        <f t="shared" ca="1" si="83"/>
        <v>#REF!</v>
      </c>
      <c r="P149" s="345" t="e">
        <f t="shared" ca="1" si="69"/>
        <v>#REF!</v>
      </c>
      <c r="Q149" s="345" t="e">
        <f t="shared" ca="1" si="70"/>
        <v>#REF!</v>
      </c>
      <c r="R149" s="345" t="e">
        <f t="shared" ca="1" si="84"/>
        <v>#REF!</v>
      </c>
      <c r="T149" s="347">
        <f t="shared" ca="1" si="71"/>
        <v>0</v>
      </c>
      <c r="U149" s="361">
        <f t="shared" ca="1" si="78"/>
        <v>0</v>
      </c>
      <c r="V149" s="348">
        <f t="shared" si="72"/>
        <v>0</v>
      </c>
      <c r="W149" s="345">
        <f t="shared" ca="1" si="73"/>
        <v>0</v>
      </c>
      <c r="X149" s="345">
        <f t="shared" si="74"/>
        <v>0</v>
      </c>
      <c r="Y149" s="345">
        <f t="shared" ca="1" si="79"/>
        <v>-7828505.4436117429</v>
      </c>
      <c r="Z149" s="349">
        <f t="shared" ca="1" si="75"/>
        <v>-469710.32661670458</v>
      </c>
      <c r="AA149" s="270"/>
      <c r="AB149" s="270"/>
      <c r="AC149" s="270"/>
      <c r="AD149" s="270"/>
      <c r="AE149" s="270"/>
      <c r="AF149" s="270"/>
      <c r="AG149" s="323"/>
      <c r="AH149" s="323"/>
      <c r="AI149" s="323"/>
      <c r="AJ149" s="323"/>
      <c r="AK149" s="363">
        <f t="shared" ca="1" si="86"/>
        <v>0</v>
      </c>
      <c r="AL149" s="345">
        <f t="shared" ca="1" si="87"/>
        <v>-513694.01771032158</v>
      </c>
    </row>
    <row r="150" spans="1:40" ht="53" customHeight="1" x14ac:dyDescent="0.35">
      <c r="B150" s="344">
        <f t="shared" si="80"/>
        <v>94</v>
      </c>
      <c r="C150" s="345">
        <f t="shared" si="76"/>
        <v>0</v>
      </c>
      <c r="D150" s="345">
        <f t="shared" si="63"/>
        <v>2055</v>
      </c>
      <c r="E150" s="345">
        <f t="shared" si="64"/>
        <v>900</v>
      </c>
      <c r="F150" s="345"/>
      <c r="G150" s="345">
        <f t="shared" si="65"/>
        <v>0</v>
      </c>
      <c r="H150" s="345">
        <f t="shared" ca="1" si="81"/>
        <v>68858.404919590481</v>
      </c>
      <c r="I150" s="345">
        <f t="shared" ca="1" si="66"/>
        <v>2754.3361967836195</v>
      </c>
      <c r="J150" s="345">
        <f t="shared" ca="1" si="67"/>
        <v>0</v>
      </c>
      <c r="K150" s="345">
        <f t="shared" ca="1" si="82"/>
        <v>71612.741116374105</v>
      </c>
      <c r="L150" s="248"/>
      <c r="M150" s="346" t="e">
        <f t="shared" ca="1" si="88"/>
        <v>#REF!</v>
      </c>
      <c r="N150" s="345">
        <f t="shared" si="68"/>
        <v>0</v>
      </c>
      <c r="O150" s="345" t="e">
        <f t="shared" ca="1" si="83"/>
        <v>#REF!</v>
      </c>
      <c r="P150" s="345" t="e">
        <f t="shared" ca="1" si="69"/>
        <v>#REF!</v>
      </c>
      <c r="Q150" s="345" t="e">
        <f t="shared" ca="1" si="70"/>
        <v>#REF!</v>
      </c>
      <c r="R150" s="345" t="e">
        <f t="shared" ca="1" si="84"/>
        <v>#REF!</v>
      </c>
      <c r="T150" s="347">
        <f t="shared" ca="1" si="71"/>
        <v>0</v>
      </c>
      <c r="U150" s="361">
        <f t="shared" ca="1" si="78"/>
        <v>0</v>
      </c>
      <c r="V150" s="348">
        <f t="shared" si="72"/>
        <v>0</v>
      </c>
      <c r="W150" s="345">
        <f t="shared" ca="1" si="73"/>
        <v>0</v>
      </c>
      <c r="X150" s="345">
        <f t="shared" si="74"/>
        <v>0</v>
      </c>
      <c r="Y150" s="345">
        <f t="shared" ca="1" si="79"/>
        <v>-8298215.7702284474</v>
      </c>
      <c r="Z150" s="349">
        <f t="shared" ca="1" si="75"/>
        <v>-497892.9462137068</v>
      </c>
      <c r="AA150" s="270"/>
      <c r="AB150" s="270"/>
      <c r="AC150" s="270"/>
      <c r="AD150" s="270"/>
      <c r="AE150" s="270"/>
      <c r="AF150" s="270"/>
      <c r="AG150" s="323"/>
      <c r="AH150" s="323"/>
      <c r="AI150" s="323"/>
      <c r="AJ150" s="323"/>
      <c r="AK150" s="363">
        <f t="shared" ca="1" si="86"/>
        <v>0</v>
      </c>
      <c r="AL150" s="345">
        <f t="shared" ca="1" si="87"/>
        <v>-534775.41339869134</v>
      </c>
    </row>
    <row r="151" spans="1:40" ht="53" customHeight="1" x14ac:dyDescent="0.35">
      <c r="B151" s="344">
        <f t="shared" si="80"/>
        <v>95</v>
      </c>
      <c r="C151" s="345">
        <f t="shared" si="76"/>
        <v>0</v>
      </c>
      <c r="D151" s="345">
        <f t="shared" si="63"/>
        <v>2055</v>
      </c>
      <c r="E151" s="345">
        <f t="shared" si="64"/>
        <v>900</v>
      </c>
      <c r="F151" s="345"/>
      <c r="G151" s="345">
        <f t="shared" si="65"/>
        <v>0</v>
      </c>
      <c r="H151" s="345">
        <f t="shared" ca="1" si="81"/>
        <v>68657.741116374105</v>
      </c>
      <c r="I151" s="345">
        <f t="shared" ca="1" si="66"/>
        <v>2746.3096446549644</v>
      </c>
      <c r="J151" s="345">
        <f t="shared" ca="1" si="67"/>
        <v>0</v>
      </c>
      <c r="K151" s="345">
        <f t="shared" ca="1" si="82"/>
        <v>71404.050761029066</v>
      </c>
      <c r="L151" s="248"/>
      <c r="M151" s="346" t="e">
        <f t="shared" ca="1" si="88"/>
        <v>#REF!</v>
      </c>
      <c r="N151" s="345">
        <f t="shared" si="68"/>
        <v>0</v>
      </c>
      <c r="O151" s="345" t="e">
        <f t="shared" ca="1" si="83"/>
        <v>#REF!</v>
      </c>
      <c r="P151" s="345" t="e">
        <f t="shared" ca="1" si="69"/>
        <v>#REF!</v>
      </c>
      <c r="Q151" s="345" t="e">
        <f t="shared" ca="1" si="70"/>
        <v>#REF!</v>
      </c>
      <c r="R151" s="345" t="e">
        <f t="shared" ca="1" si="84"/>
        <v>#REF!</v>
      </c>
      <c r="T151" s="347">
        <f t="shared" ca="1" si="71"/>
        <v>0</v>
      </c>
      <c r="U151" s="361">
        <f t="shared" ca="1" si="78"/>
        <v>0</v>
      </c>
      <c r="V151" s="348">
        <f t="shared" si="72"/>
        <v>0</v>
      </c>
      <c r="W151" s="345">
        <f t="shared" ca="1" si="73"/>
        <v>0</v>
      </c>
      <c r="X151" s="345">
        <f t="shared" si="74"/>
        <v>0</v>
      </c>
      <c r="Y151" s="345">
        <f t="shared" ca="1" si="79"/>
        <v>-8796108.7164421547</v>
      </c>
      <c r="Z151" s="349">
        <f t="shared" ca="1" si="75"/>
        <v>-527766.52298652928</v>
      </c>
      <c r="AA151" s="270"/>
      <c r="AB151" s="270"/>
      <c r="AC151" s="270"/>
      <c r="AD151" s="270"/>
      <c r="AE151" s="270"/>
      <c r="AF151" s="270"/>
      <c r="AG151" s="323"/>
      <c r="AH151" s="323"/>
      <c r="AI151" s="323"/>
      <c r="AJ151" s="323"/>
      <c r="AK151" s="363">
        <f t="shared" ca="1" si="86"/>
        <v>0</v>
      </c>
      <c r="AL151" s="345">
        <f t="shared" ca="1" si="87"/>
        <v>-557126.63391139358</v>
      </c>
    </row>
    <row r="152" spans="1:40" ht="53" customHeight="1" x14ac:dyDescent="0.35">
      <c r="B152" s="344">
        <f t="shared" si="80"/>
        <v>96</v>
      </c>
      <c r="C152" s="345">
        <f t="shared" si="76"/>
        <v>0</v>
      </c>
      <c r="D152" s="345">
        <f t="shared" si="63"/>
        <v>2055</v>
      </c>
      <c r="E152" s="345">
        <f t="shared" si="64"/>
        <v>900</v>
      </c>
      <c r="F152" s="345"/>
      <c r="G152" s="345">
        <f t="shared" si="65"/>
        <v>0</v>
      </c>
      <c r="H152" s="345">
        <f t="shared" ca="1" si="81"/>
        <v>68449.050761029066</v>
      </c>
      <c r="I152" s="345">
        <f t="shared" ca="1" si="66"/>
        <v>2737.9620304411628</v>
      </c>
      <c r="J152" s="345">
        <f t="shared" ca="1" si="67"/>
        <v>0</v>
      </c>
      <c r="K152" s="345">
        <f t="shared" ca="1" si="82"/>
        <v>71187.012791470232</v>
      </c>
      <c r="L152" s="248"/>
      <c r="M152" s="346" t="e">
        <f t="shared" ca="1" si="88"/>
        <v>#REF!</v>
      </c>
      <c r="N152" s="345">
        <f t="shared" si="68"/>
        <v>0</v>
      </c>
      <c r="O152" s="345" t="e">
        <f t="shared" ca="1" si="83"/>
        <v>#REF!</v>
      </c>
      <c r="P152" s="345" t="e">
        <f t="shared" ca="1" si="69"/>
        <v>#REF!</v>
      </c>
      <c r="Q152" s="345" t="e">
        <f t="shared" ca="1" si="70"/>
        <v>#REF!</v>
      </c>
      <c r="R152" s="345" t="e">
        <f t="shared" ca="1" si="84"/>
        <v>#REF!</v>
      </c>
      <c r="T152" s="347">
        <f t="shared" ca="1" si="71"/>
        <v>0</v>
      </c>
      <c r="U152" s="361">
        <f t="shared" ca="1" si="78"/>
        <v>0</v>
      </c>
      <c r="V152" s="348">
        <f t="shared" si="72"/>
        <v>0</v>
      </c>
      <c r="W152" s="345">
        <f t="shared" ca="1" si="73"/>
        <v>0</v>
      </c>
      <c r="X152" s="345">
        <f t="shared" si="74"/>
        <v>0</v>
      </c>
      <c r="Y152" s="345">
        <f t="shared" ca="1" si="79"/>
        <v>-9323875.2394286841</v>
      </c>
      <c r="Z152" s="349">
        <f t="shared" ca="1" si="75"/>
        <v>-559432.51436572103</v>
      </c>
      <c r="AA152" s="270"/>
      <c r="AB152" s="270"/>
      <c r="AC152" s="270"/>
      <c r="AD152" s="270"/>
      <c r="AE152" s="270"/>
      <c r="AF152" s="270"/>
      <c r="AG152" s="323"/>
      <c r="AH152" s="323"/>
      <c r="AI152" s="323"/>
      <c r="AJ152" s="323"/>
      <c r="AK152" s="363">
        <f t="shared" ca="1" si="86"/>
        <v>0</v>
      </c>
      <c r="AL152" s="345">
        <f t="shared" ca="1" si="87"/>
        <v>-590608.51195450267</v>
      </c>
    </row>
    <row r="153" spans="1:40" ht="53" customHeight="1" x14ac:dyDescent="0.35">
      <c r="B153" s="344">
        <f t="shared" si="80"/>
        <v>97</v>
      </c>
      <c r="C153" s="345">
        <f t="shared" si="76"/>
        <v>0</v>
      </c>
      <c r="D153" s="345">
        <f t="shared" si="63"/>
        <v>2055</v>
      </c>
      <c r="E153" s="345">
        <f t="shared" si="64"/>
        <v>900</v>
      </c>
      <c r="F153" s="345"/>
      <c r="G153" s="345">
        <f t="shared" si="65"/>
        <v>0</v>
      </c>
      <c r="H153" s="345">
        <f t="shared" ca="1" si="81"/>
        <v>68232.012791470232</v>
      </c>
      <c r="I153" s="345">
        <f t="shared" ca="1" si="66"/>
        <v>2729.2805116588092</v>
      </c>
      <c r="J153" s="345">
        <f t="shared" ca="1" si="67"/>
        <v>0</v>
      </c>
      <c r="K153" s="345">
        <f t="shared" ca="1" si="82"/>
        <v>70961.293303129045</v>
      </c>
      <c r="L153" s="248"/>
      <c r="M153" s="346" t="e">
        <f t="shared" ca="1" si="88"/>
        <v>#REF!</v>
      </c>
      <c r="N153" s="345">
        <f t="shared" si="68"/>
        <v>0</v>
      </c>
      <c r="O153" s="345" t="e">
        <f t="shared" ca="1" si="83"/>
        <v>#REF!</v>
      </c>
      <c r="P153" s="345" t="e">
        <f t="shared" ca="1" si="69"/>
        <v>#REF!</v>
      </c>
      <c r="Q153" s="345" t="e">
        <f t="shared" ca="1" si="70"/>
        <v>#REF!</v>
      </c>
      <c r="R153" s="345" t="e">
        <f t="shared" ca="1" si="84"/>
        <v>#REF!</v>
      </c>
      <c r="T153" s="347">
        <f t="shared" ca="1" si="71"/>
        <v>0</v>
      </c>
      <c r="U153" s="361">
        <f t="shared" ca="1" si="78"/>
        <v>0</v>
      </c>
      <c r="V153" s="348">
        <f t="shared" si="72"/>
        <v>0</v>
      </c>
      <c r="W153" s="345">
        <f t="shared" ca="1" si="73"/>
        <v>0</v>
      </c>
      <c r="X153" s="345">
        <f t="shared" si="74"/>
        <v>0</v>
      </c>
      <c r="Y153" s="345">
        <f t="shared" ca="1" si="79"/>
        <v>-9883307.7537944056</v>
      </c>
      <c r="Z153" s="349">
        <f t="shared" ca="1" si="75"/>
        <v>-592998.46522766433</v>
      </c>
      <c r="AA153" s="270"/>
      <c r="AB153" s="270"/>
      <c r="AC153" s="270"/>
      <c r="AD153" s="270"/>
      <c r="AE153" s="270"/>
      <c r="AF153" s="270"/>
      <c r="AG153" s="323"/>
      <c r="AH153" s="323"/>
      <c r="AI153" s="323"/>
      <c r="AJ153" s="323"/>
      <c r="AK153" s="363">
        <f t="shared" ca="1" si="86"/>
        <v>0</v>
      </c>
      <c r="AL153" s="345">
        <f t="shared" ca="1" si="87"/>
        <v>-626192.53751465259</v>
      </c>
    </row>
    <row r="154" spans="1:40" ht="53" customHeight="1" x14ac:dyDescent="0.35">
      <c r="B154" s="344">
        <f t="shared" si="80"/>
        <v>98</v>
      </c>
      <c r="C154" s="345">
        <f t="shared" si="76"/>
        <v>0</v>
      </c>
      <c r="D154" s="345">
        <f t="shared" si="63"/>
        <v>2055</v>
      </c>
      <c r="E154" s="345">
        <f t="shared" si="64"/>
        <v>900</v>
      </c>
      <c r="F154" s="345"/>
      <c r="G154" s="345">
        <f t="shared" si="65"/>
        <v>0</v>
      </c>
      <c r="H154" s="345">
        <f t="shared" ca="1" si="81"/>
        <v>68006.293303129045</v>
      </c>
      <c r="I154" s="345">
        <f t="shared" ca="1" si="66"/>
        <v>2720.2517321251617</v>
      </c>
      <c r="J154" s="345">
        <f t="shared" ca="1" si="67"/>
        <v>0</v>
      </c>
      <c r="K154" s="345">
        <f t="shared" ca="1" si="82"/>
        <v>70726.54503525421</v>
      </c>
      <c r="L154" s="324"/>
      <c r="M154" s="346" t="e">
        <f t="shared" ca="1" si="88"/>
        <v>#REF!</v>
      </c>
      <c r="N154" s="345">
        <f t="shared" si="68"/>
        <v>0</v>
      </c>
      <c r="O154" s="345" t="e">
        <f t="shared" ca="1" si="83"/>
        <v>#REF!</v>
      </c>
      <c r="P154" s="345" t="e">
        <f t="shared" ca="1" si="69"/>
        <v>#REF!</v>
      </c>
      <c r="Q154" s="345" t="e">
        <f t="shared" ca="1" si="70"/>
        <v>#REF!</v>
      </c>
      <c r="R154" s="345" t="e">
        <f t="shared" ca="1" si="84"/>
        <v>#REF!</v>
      </c>
      <c r="T154" s="347">
        <f t="shared" ca="1" si="71"/>
        <v>0</v>
      </c>
      <c r="U154" s="361">
        <f t="shared" ca="1" si="78"/>
        <v>0</v>
      </c>
      <c r="V154" s="348">
        <f t="shared" si="72"/>
        <v>0</v>
      </c>
      <c r="W154" s="345">
        <f t="shared" ca="1" si="73"/>
        <v>0</v>
      </c>
      <c r="X154" s="345">
        <f t="shared" si="74"/>
        <v>0</v>
      </c>
      <c r="Y154" s="345">
        <f t="shared" ca="1" si="79"/>
        <v>-10476306.219022069</v>
      </c>
      <c r="Z154" s="349">
        <f t="shared" ca="1" si="75"/>
        <v>-628578.37314132415</v>
      </c>
      <c r="AA154" s="270"/>
      <c r="AB154" s="270"/>
      <c r="AC154" s="270"/>
      <c r="AD154" s="270"/>
      <c r="AE154" s="270"/>
      <c r="AF154" s="270"/>
      <c r="AG154" s="323"/>
      <c r="AH154" s="323"/>
      <c r="AI154" s="323"/>
      <c r="AJ154" s="323"/>
      <c r="AK154" s="363">
        <f t="shared" ca="1" si="86"/>
        <v>0</v>
      </c>
      <c r="AL154" s="345">
        <f t="shared" ca="1" si="87"/>
        <v>-663414.28976553178</v>
      </c>
    </row>
    <row r="155" spans="1:40" ht="53" customHeight="1" x14ac:dyDescent="0.35">
      <c r="B155" s="344">
        <f t="shared" si="80"/>
        <v>99</v>
      </c>
      <c r="C155" s="345">
        <f t="shared" si="76"/>
        <v>0</v>
      </c>
      <c r="D155" s="345">
        <f t="shared" si="63"/>
        <v>2055</v>
      </c>
      <c r="E155" s="345">
        <f t="shared" si="64"/>
        <v>900</v>
      </c>
      <c r="F155" s="345"/>
      <c r="G155" s="345">
        <f t="shared" si="65"/>
        <v>0</v>
      </c>
      <c r="H155" s="345">
        <f t="shared" ca="1" si="81"/>
        <v>67771.54503525421</v>
      </c>
      <c r="I155" s="345">
        <f t="shared" ca="1" si="66"/>
        <v>2710.8618014101685</v>
      </c>
      <c r="J155" s="345">
        <f t="shared" ca="1" si="67"/>
        <v>0</v>
      </c>
      <c r="K155" s="345">
        <f t="shared" ca="1" si="82"/>
        <v>70482.406836664377</v>
      </c>
      <c r="L155" s="324"/>
      <c r="M155" s="346" t="e">
        <f t="shared" ca="1" si="88"/>
        <v>#REF!</v>
      </c>
      <c r="N155" s="345">
        <f t="shared" si="68"/>
        <v>0</v>
      </c>
      <c r="O155" s="345" t="e">
        <f t="shared" ca="1" si="83"/>
        <v>#REF!</v>
      </c>
      <c r="P155" s="345" t="e">
        <f t="shared" ca="1" si="69"/>
        <v>#REF!</v>
      </c>
      <c r="Q155" s="345" t="e">
        <f t="shared" ca="1" si="70"/>
        <v>#REF!</v>
      </c>
      <c r="R155" s="345" t="e">
        <f t="shared" ca="1" si="84"/>
        <v>#REF!</v>
      </c>
      <c r="T155" s="347">
        <f t="shared" ca="1" si="71"/>
        <v>0</v>
      </c>
      <c r="U155" s="361">
        <f t="shared" ca="1" si="78"/>
        <v>0</v>
      </c>
      <c r="V155" s="348">
        <f t="shared" si="72"/>
        <v>0</v>
      </c>
      <c r="W155" s="345">
        <f t="shared" ca="1" si="73"/>
        <v>0</v>
      </c>
      <c r="X155" s="345">
        <f t="shared" si="74"/>
        <v>0</v>
      </c>
      <c r="Y155" s="345">
        <f t="shared" ca="1" si="79"/>
        <v>-11104884.592163393</v>
      </c>
      <c r="Z155" s="349">
        <f t="shared" ca="1" si="75"/>
        <v>-666293.07552980352</v>
      </c>
      <c r="AA155" s="270"/>
      <c r="AB155" s="270"/>
      <c r="AC155" s="270"/>
      <c r="AD155" s="270"/>
      <c r="AE155" s="270"/>
      <c r="AF155" s="270"/>
      <c r="AG155" s="323"/>
      <c r="AH155" s="323"/>
      <c r="AI155" s="323"/>
      <c r="AJ155" s="323"/>
      <c r="AK155" s="363">
        <f t="shared" ca="1" si="86"/>
        <v>0</v>
      </c>
      <c r="AL155" s="345">
        <f t="shared" ca="1" si="87"/>
        <v>-702869.34715146373</v>
      </c>
    </row>
    <row r="156" spans="1:40" ht="53" customHeight="1" x14ac:dyDescent="0.35">
      <c r="B156" s="344">
        <f t="shared" si="80"/>
        <v>100</v>
      </c>
      <c r="C156" s="345">
        <f t="shared" si="76"/>
        <v>0</v>
      </c>
      <c r="D156" s="345">
        <f t="shared" si="63"/>
        <v>2055</v>
      </c>
      <c r="E156" s="345">
        <f t="shared" si="64"/>
        <v>900</v>
      </c>
      <c r="F156" s="345"/>
      <c r="G156" s="345">
        <f t="shared" si="65"/>
        <v>0</v>
      </c>
      <c r="H156" s="345">
        <f t="shared" ca="1" si="81"/>
        <v>67527.406836664377</v>
      </c>
      <c r="I156" s="345">
        <f t="shared" ca="1" si="66"/>
        <v>2701.096273466575</v>
      </c>
      <c r="J156" s="345">
        <f t="shared" ca="1" si="67"/>
        <v>0</v>
      </c>
      <c r="K156" s="345">
        <f t="shared" ca="1" si="82"/>
        <v>70228.503110130958</v>
      </c>
      <c r="L156" s="324"/>
      <c r="M156" s="346" t="e">
        <f t="shared" ca="1" si="88"/>
        <v>#REF!</v>
      </c>
      <c r="N156" s="345">
        <f t="shared" si="68"/>
        <v>0</v>
      </c>
      <c r="O156" s="345" t="e">
        <f t="shared" ca="1" si="83"/>
        <v>#REF!</v>
      </c>
      <c r="P156" s="345" t="e">
        <f t="shared" ca="1" si="69"/>
        <v>#REF!</v>
      </c>
      <c r="Q156" s="345" t="e">
        <f t="shared" ca="1" si="70"/>
        <v>#REF!</v>
      </c>
      <c r="R156" s="345" t="e">
        <f t="shared" ca="1" si="84"/>
        <v>#REF!</v>
      </c>
      <c r="T156" s="347">
        <f t="shared" ca="1" si="71"/>
        <v>0</v>
      </c>
      <c r="U156" s="361">
        <f t="shared" ca="1" si="78"/>
        <v>0</v>
      </c>
      <c r="V156" s="348">
        <f t="shared" si="72"/>
        <v>0</v>
      </c>
      <c r="W156" s="345">
        <f t="shared" ca="1" si="73"/>
        <v>0</v>
      </c>
      <c r="X156" s="345">
        <f t="shared" si="74"/>
        <v>0</v>
      </c>
      <c r="Y156" s="345">
        <f t="shared" ca="1" si="79"/>
        <v>-11771177.667693198</v>
      </c>
      <c r="Z156" s="349">
        <f t="shared" ca="1" si="75"/>
        <v>-706270.66006159189</v>
      </c>
      <c r="AA156" s="270"/>
      <c r="AB156" s="270"/>
      <c r="AC156" s="270"/>
      <c r="AD156" s="270"/>
      <c r="AE156" s="270"/>
      <c r="AF156" s="270"/>
      <c r="AG156" s="323"/>
      <c r="AH156" s="323"/>
      <c r="AI156" s="323"/>
      <c r="AJ156" s="323"/>
      <c r="AK156" s="363">
        <f t="shared" ca="1" si="86"/>
        <v>0</v>
      </c>
      <c r="AL156" s="345">
        <f t="shared" ca="1" si="87"/>
        <v>-744691.70798055152</v>
      </c>
    </row>
    <row r="157" spans="1:40" ht="53" customHeight="1" x14ac:dyDescent="0.35">
      <c r="B157" s="321"/>
      <c r="C157" s="270"/>
      <c r="D157" s="270"/>
      <c r="E157" s="270"/>
      <c r="F157" s="270"/>
      <c r="G157" s="270"/>
      <c r="H157" s="270"/>
      <c r="I157" s="270"/>
      <c r="J157" s="329"/>
      <c r="K157" s="270"/>
      <c r="L157" s="324"/>
      <c r="M157" s="329"/>
      <c r="N157" s="270"/>
      <c r="O157" s="270"/>
      <c r="P157" s="270"/>
      <c r="Q157" s="270"/>
      <c r="R157" s="270"/>
      <c r="T157" s="270"/>
      <c r="U157" s="270"/>
      <c r="V157" s="270"/>
      <c r="W157" s="270"/>
      <c r="X157" s="270"/>
      <c r="Y157" s="270"/>
      <c r="Z157" s="270"/>
      <c r="AA157" s="270"/>
      <c r="AB157" s="270"/>
      <c r="AC157" s="270"/>
      <c r="AD157" s="270"/>
      <c r="AE157" s="270"/>
      <c r="AF157" s="270"/>
      <c r="AG157" s="270"/>
      <c r="AH157" s="270"/>
      <c r="AI157" s="270"/>
      <c r="AJ157" s="270"/>
      <c r="AK157" s="363">
        <f t="shared" ca="1" si="86"/>
        <v>0</v>
      </c>
      <c r="AL157" s="345">
        <f t="shared" ca="1" si="87"/>
        <v>-788707.53045938467</v>
      </c>
    </row>
    <row r="158" spans="1:40" ht="53" customHeight="1" x14ac:dyDescent="0.35">
      <c r="B158" s="321"/>
      <c r="C158" s="270"/>
      <c r="D158" s="270"/>
      <c r="E158" s="270"/>
      <c r="F158" s="270"/>
      <c r="G158" s="270"/>
      <c r="H158" s="270"/>
      <c r="I158" s="270"/>
      <c r="J158" s="329"/>
      <c r="K158" s="270"/>
      <c r="L158" s="324"/>
      <c r="M158" s="329"/>
      <c r="N158" s="270"/>
      <c r="O158" s="270"/>
      <c r="P158" s="270"/>
      <c r="Q158" s="270"/>
      <c r="R158" s="270"/>
      <c r="T158" s="270"/>
      <c r="U158" s="270"/>
      <c r="V158" s="270"/>
      <c r="W158" s="270"/>
      <c r="X158" s="270"/>
      <c r="Y158" s="270"/>
      <c r="Z158" s="270"/>
      <c r="AA158" s="270"/>
      <c r="AB158" s="270"/>
      <c r="AC158" s="270"/>
      <c r="AD158" s="270"/>
      <c r="AE158" s="270"/>
      <c r="AF158" s="270"/>
      <c r="AG158" s="270"/>
      <c r="AH158" s="270"/>
      <c r="AI158" s="270"/>
      <c r="AJ158" s="270"/>
      <c r="AK158" s="363">
        <f t="shared" ca="1" si="86"/>
        <v>0</v>
      </c>
      <c r="AL158" s="345">
        <f t="shared" ca="1" si="87"/>
        <v>-835799.75028694782</v>
      </c>
    </row>
    <row r="159" spans="1:40" ht="53" customHeight="1" x14ac:dyDescent="0.35">
      <c r="B159" s="321"/>
      <c r="C159" s="270"/>
      <c r="D159" s="270"/>
      <c r="E159" s="270"/>
      <c r="F159" s="270"/>
      <c r="G159" s="270"/>
      <c r="H159" s="270"/>
      <c r="I159" s="270"/>
      <c r="J159" s="329"/>
      <c r="K159" s="270"/>
      <c r="L159" s="324"/>
      <c r="M159" s="329"/>
      <c r="N159" s="270"/>
      <c r="O159" s="270"/>
      <c r="P159" s="270"/>
      <c r="Q159" s="270"/>
      <c r="R159" s="270"/>
      <c r="T159" s="270"/>
      <c r="U159" s="270"/>
      <c r="V159" s="270"/>
      <c r="W159" s="270"/>
      <c r="X159" s="270"/>
      <c r="Y159" s="270"/>
      <c r="Z159" s="270"/>
      <c r="AA159" s="270"/>
      <c r="AB159" s="270"/>
      <c r="AC159" s="270"/>
      <c r="AD159" s="270"/>
      <c r="AE159" s="270"/>
      <c r="AF159" s="270"/>
      <c r="AG159" s="270"/>
      <c r="AH159" s="270"/>
      <c r="AI159" s="270"/>
      <c r="AJ159" s="270"/>
      <c r="AK159" s="363">
        <f t="shared" ca="1" si="86"/>
        <v>0</v>
      </c>
      <c r="AL159" s="345">
        <f t="shared" ca="1" si="87"/>
        <v>-885717.50330416474</v>
      </c>
    </row>
    <row r="160" spans="1:40" ht="53" customHeight="1" x14ac:dyDescent="0.35">
      <c r="B160" s="330" t="s">
        <v>339</v>
      </c>
      <c r="C160" s="330"/>
      <c r="D160" s="330"/>
      <c r="E160" s="330"/>
      <c r="F160" s="330"/>
      <c r="G160" s="330"/>
      <c r="H160" s="330"/>
      <c r="I160" s="330"/>
      <c r="J160" s="330"/>
      <c r="K160" s="330"/>
      <c r="L160" s="330"/>
      <c r="M160" s="330"/>
      <c r="N160" s="330"/>
      <c r="O160" s="330"/>
      <c r="P160" s="330"/>
      <c r="Q160" s="330"/>
      <c r="R160" s="330"/>
      <c r="S160" s="330"/>
      <c r="T160" s="330"/>
      <c r="U160" s="330"/>
      <c r="V160" s="330"/>
      <c r="W160" s="330"/>
      <c r="X160" s="330"/>
      <c r="Y160" s="330"/>
      <c r="Z160" s="330"/>
      <c r="AA160" s="252"/>
      <c r="AB160" s="252"/>
      <c r="AC160" s="252"/>
      <c r="AD160" s="252"/>
      <c r="AE160" s="252"/>
      <c r="AF160" s="252"/>
      <c r="AG160" s="252"/>
      <c r="AH160" s="252"/>
      <c r="AI160" s="252"/>
      <c r="AJ160" s="252"/>
      <c r="AK160" s="363">
        <f t="shared" ca="1" si="86"/>
        <v>0</v>
      </c>
      <c r="AL160" s="345">
        <f t="shared" ca="1" si="87"/>
        <v>-938630.32150241465</v>
      </c>
    </row>
    <row r="161" spans="2:38" ht="53" customHeight="1" x14ac:dyDescent="0.35">
      <c r="B161" s="353" t="s">
        <v>214</v>
      </c>
      <c r="C161" s="353"/>
      <c r="D161" s="353"/>
      <c r="E161" s="353"/>
      <c r="F161" s="353"/>
      <c r="G161" s="353"/>
      <c r="H161" s="353"/>
      <c r="I161" s="353"/>
      <c r="J161" s="353"/>
      <c r="K161" s="353"/>
      <c r="L161" s="256"/>
      <c r="M161" s="354" t="s">
        <v>340</v>
      </c>
      <c r="N161" s="354"/>
      <c r="O161" s="354"/>
      <c r="P161" s="354"/>
      <c r="Q161" s="354"/>
      <c r="R161" s="354"/>
      <c r="S161" s="333"/>
      <c r="T161" s="334" t="s">
        <v>341</v>
      </c>
      <c r="U161" s="334"/>
      <c r="V161" s="334"/>
      <c r="W161" s="334"/>
      <c r="X161" s="334"/>
      <c r="Y161" s="334"/>
      <c r="Z161" s="334"/>
      <c r="AA161" s="256"/>
      <c r="AB161" s="256"/>
      <c r="AC161" s="256"/>
      <c r="AD161" s="256"/>
      <c r="AE161" s="256"/>
      <c r="AF161" s="256"/>
      <c r="AG161" s="256"/>
      <c r="AH161" s="256"/>
      <c r="AI161" s="256"/>
      <c r="AJ161" s="256"/>
      <c r="AK161" s="363">
        <f t="shared" ca="1" si="86"/>
        <v>0</v>
      </c>
      <c r="AL161" s="345">
        <f t="shared" ca="1" si="87"/>
        <v>-994855.70879255957</v>
      </c>
    </row>
    <row r="162" spans="2:38" ht="53" customHeight="1" x14ac:dyDescent="0.35">
      <c r="B162" s="356" t="s">
        <v>3</v>
      </c>
      <c r="C162" s="357" t="s">
        <v>325</v>
      </c>
      <c r="D162" s="356" t="s">
        <v>222</v>
      </c>
      <c r="E162" s="356" t="s">
        <v>326</v>
      </c>
      <c r="F162" s="356" t="s">
        <v>224</v>
      </c>
      <c r="G162" s="356" t="s">
        <v>225</v>
      </c>
      <c r="H162" s="356" t="s">
        <v>226</v>
      </c>
      <c r="I162" s="356" t="s">
        <v>227</v>
      </c>
      <c r="J162" s="356" t="s">
        <v>327</v>
      </c>
      <c r="K162" s="356" t="s">
        <v>229</v>
      </c>
      <c r="L162" s="273"/>
      <c r="M162" s="266" t="s">
        <v>342</v>
      </c>
      <c r="N162" s="358" t="s">
        <v>231</v>
      </c>
      <c r="O162" s="358" t="s">
        <v>232</v>
      </c>
      <c r="P162" s="358" t="s">
        <v>233</v>
      </c>
      <c r="Q162" s="359" t="s">
        <v>234</v>
      </c>
      <c r="R162" s="358" t="s">
        <v>235</v>
      </c>
      <c r="T162" s="364" t="s">
        <v>342</v>
      </c>
      <c r="U162" s="358" t="s">
        <v>236</v>
      </c>
      <c r="V162" s="358" t="s">
        <v>237</v>
      </c>
      <c r="W162" s="365" t="s">
        <v>238</v>
      </c>
      <c r="X162" s="356" t="s">
        <v>239</v>
      </c>
      <c r="Y162" s="356" t="s">
        <v>240</v>
      </c>
      <c r="Z162" s="366" t="s">
        <v>234</v>
      </c>
      <c r="AA162" s="367"/>
      <c r="AB162" s="367"/>
      <c r="AC162" s="367"/>
      <c r="AD162" s="367"/>
      <c r="AE162" s="367"/>
      <c r="AF162" s="367"/>
      <c r="AG162" s="367"/>
      <c r="AH162" s="367"/>
      <c r="AI162" s="367"/>
      <c r="AJ162" s="367"/>
      <c r="AK162" s="363">
        <f t="shared" ca="1" si="86"/>
        <v>0</v>
      </c>
      <c r="AL162" s="345">
        <f t="shared" ca="1" si="87"/>
        <v>-1054454.6193201132</v>
      </c>
    </row>
    <row r="163" spans="2:38" ht="53" customHeight="1" x14ac:dyDescent="0.35">
      <c r="B163" s="344">
        <f>AR55</f>
        <v>55</v>
      </c>
      <c r="C163" s="345">
        <f ca="1">VLOOKUP(B163,$B$3:$Z$56,2)</f>
        <v>403.27670802814544</v>
      </c>
      <c r="D163" s="345">
        <f t="shared" ref="D163:D208" si="89">IF(B163&lt;=20,$AL$14,IF(B163&lt;=30,$AL$15,IF(B163&lt;=40,$AL$16,IF(B163&lt;=50,$AL$17,IF(B163&lt;=60,$AL$18,IF(B163&lt;=65,$AL$19,IF(B163&lt;=70,$AL$20,
IF(B163&lt;=73,$AL$21,IF(B163&lt;=75,$AL$22,IF(B163&lt;=78,$AL$23,IF(B163&lt;=80,$AL$24,IF(B163&lt;=83,$AL$25,IF(B163&lt;=85,$AL$26,IF(B163&lt;=90,$AL$27,$AL$28))))))))))))))</f>
        <v>800</v>
      </c>
      <c r="E163" s="345">
        <f t="shared" ref="E163:E208" si="90">IF(B163&lt;=20,$AM$14,IF(B163&lt;=30,$AM$15,IF(B163&lt;=40,$AM$16,IF(B163&lt;=50,$AM$17,IF(B163&lt;=60,$AM$18,IF(B163&lt;=65,$AM$19,IF(B163&lt;=70,$AM$20,
IF(B163&lt;=73,$AM$21,IF(B163&lt;=75,$AM$22,IF(B163&lt;=78,$AM$23,IF(B163&lt;=80,$AM$24,IF(B163&lt;=83,$AM$25,IF(B163&lt;=85,$AM$26,IF(B163&lt;=90,$AM$27,$AM$28))))))))))))))</f>
        <v>600</v>
      </c>
      <c r="F163" s="345">
        <v>600</v>
      </c>
      <c r="G163" s="345">
        <f t="shared" ref="G163:G208" si="91">IF(B163&gt;=$BH$31,0,IF(B163&lt;=35,$BJ$4,IF(B163&lt;=45,$BJ$5,IF(B163&lt;=50,$BJ$6,IF(B163&lt;=55,$BJ$7,IF(B163&lt;=60,$BJ$8,IF(B163&lt;=65,$BJ$9,IF(B163&lt;=70,$BJ$10,$BJ$11)))))))*$BH$37)</f>
        <v>6319.1338000000005</v>
      </c>
      <c r="H163" s="345">
        <f ca="1">$AS$45-C163-D163-E163-F163+G163</f>
        <v>66084.646930106013</v>
      </c>
      <c r="I163" s="345">
        <f t="shared" ref="I163:I208" ca="1" si="92">$AL$8*H163</f>
        <v>2643.3858772042404</v>
      </c>
      <c r="J163" s="345">
        <f t="shared" ref="J163:J208" ca="1" si="93">IF(I163+H163-$AL$35&gt;0,I163+H163-$AL$35,0)</f>
        <v>0</v>
      </c>
      <c r="K163" s="345">
        <f ca="1">H163+I163-J163</f>
        <v>68728.032807310257</v>
      </c>
      <c r="L163" s="278"/>
      <c r="M163" s="346">
        <v>0</v>
      </c>
      <c r="N163" s="345">
        <f t="shared" ref="N163:N208" si="94">IF(B163&lt;$BH$31,IF(B164&lt;=35,$BI$4,IF(B164&lt;=45,$BI$5,IF(B164&lt;=50,$BI$6,IF(B164&lt;=55,$BI$7,IF(B164&lt;=60,$BI$8,IF(B164&lt;=65,$BI$9,IF(B164&lt;=70,$BI$10,$BI$11)))))))*$BH$37,0)</f>
        <v>5362.7665000000006</v>
      </c>
      <c r="O163" s="345">
        <f ca="1">N163-M163+AT75</f>
        <v>-173089.49846512824</v>
      </c>
      <c r="P163" s="345">
        <f t="shared" ref="P163:P208" ca="1" si="95">IF(B163&lt;=55,$AL$5,$AN$6)*(IF(O163&gt;=40000,40000,O163))</f>
        <v>-8654.4749232564118</v>
      </c>
      <c r="Q163" s="345">
        <f t="shared" ref="Q163:Q208" ca="1" si="96">$AN$7*IF(O163&gt;=40000,O163-40000,0)</f>
        <v>0</v>
      </c>
      <c r="R163" s="345">
        <f t="shared" ref="R163:R208" ca="1" si="97">O163+P163+Q163</f>
        <v>-181743.97338838465</v>
      </c>
      <c r="T163" s="368">
        <v>0</v>
      </c>
      <c r="U163" s="369">
        <f t="shared" ref="U163:U208" si="98">IF(B163&gt;=$BH$31,0,IF(B163&lt;=35,$BH$4,IF(B163&lt;=45,$BH$5,IF(B163&lt;=50,$BH$6,IF(B163&lt;=55,$BH$7,IF(B163&lt;=60,$BH$8,IF(B163&lt;=65,$BH$9,IF(B163&lt;=70,$BH$10,$BH$11)))))))*$BH$37)</f>
        <v>9032.1069999999982</v>
      </c>
      <c r="V163" s="369">
        <f t="shared" ref="V163:V208" ca="1" si="99">IF(B163&lt;($BH$57+$BH$30),$BH$56*12,0)</f>
        <v>0</v>
      </c>
      <c r="W163" s="348">
        <f t="shared" ref="W163:W208" si="100">IF(B163&lt;=34,$AN$31,IF(B163&lt;=39,$AN$32,IF(B163&lt;=44,$AN$33,IF(B163&lt;=49,$AN$34,IF(B163&lt;=54,$AN$35,IF(B163&lt;=59,$AN$36,IF(B163&lt;=69,$AN$37,0)))))))</f>
        <v>298</v>
      </c>
      <c r="X163" s="345">
        <f ca="1">U163-V163-W163+AU75</f>
        <v>-113711.85936280013</v>
      </c>
      <c r="Y163" s="345">
        <f t="shared" ref="Y163:Y208" ca="1" si="101">IF(B163&lt;=55,$AL$3,$AN$3)*(IF(X163&gt;=20000,20000,X163))</f>
        <v>-3979.9150776980046</v>
      </c>
      <c r="Z163" s="349">
        <f t="shared" ref="Z163:Z208" ca="1" si="102">$AL$4*IF(X163&gt;=20000,X163-20000,X163)</f>
        <v>-2842.7964840700033</v>
      </c>
      <c r="AA163" s="270"/>
      <c r="AB163" s="270"/>
      <c r="AC163" s="270"/>
      <c r="AD163" s="270"/>
      <c r="AE163" s="270"/>
      <c r="AF163" s="270"/>
      <c r="AG163" s="323"/>
      <c r="AH163" s="323"/>
      <c r="AI163" s="323"/>
      <c r="AJ163" s="323"/>
      <c r="AK163" s="363">
        <f t="shared" ca="1" si="86"/>
        <v>0</v>
      </c>
      <c r="AL163" s="345">
        <f t="shared" ca="1" si="87"/>
        <v>-1117721.89647932</v>
      </c>
    </row>
    <row r="164" spans="2:38" ht="53" customHeight="1" x14ac:dyDescent="0.35">
      <c r="B164" s="344">
        <f>B163+1</f>
        <v>56</v>
      </c>
      <c r="C164" s="345">
        <f t="shared" ref="C164:C208" ca="1" si="103">IF(B164&gt;=67,$BI$55,C163+(1.0244%*C163))</f>
        <v>407.40787462518574</v>
      </c>
      <c r="D164" s="345">
        <f t="shared" si="89"/>
        <v>800</v>
      </c>
      <c r="E164" s="345">
        <f t="shared" si="90"/>
        <v>600</v>
      </c>
      <c r="F164" s="345">
        <v>600</v>
      </c>
      <c r="G164" s="345">
        <f t="shared" si="91"/>
        <v>6626.665500000001</v>
      </c>
      <c r="H164" s="345">
        <f ca="1">K163-C164-D164-E164-F164+G164</f>
        <v>72947.290432685069</v>
      </c>
      <c r="I164" s="345">
        <f t="shared" ca="1" si="92"/>
        <v>2917.8916173074026</v>
      </c>
      <c r="J164" s="345">
        <f t="shared" ca="1" si="93"/>
        <v>365.18204999246518</v>
      </c>
      <c r="K164" s="345">
        <f t="shared" ref="K164:K208" ca="1" si="104">H164+I164-J164</f>
        <v>75500</v>
      </c>
      <c r="L164" s="278"/>
      <c r="M164" s="361">
        <f t="shared" ref="M164:M208" ca="1" si="105">IF(R163&gt;=$BH$48,$BH$48,0)</f>
        <v>0</v>
      </c>
      <c r="N164" s="345">
        <f t="shared" si="94"/>
        <v>5362.7665000000006</v>
      </c>
      <c r="O164" s="345">
        <f ca="1">R163+N164-M164</f>
        <v>-176381.20688838465</v>
      </c>
      <c r="P164" s="345">
        <f t="shared" ca="1" si="95"/>
        <v>-10582.872413303079</v>
      </c>
      <c r="Q164" s="345">
        <f t="shared" ca="1" si="96"/>
        <v>0</v>
      </c>
      <c r="R164" s="345">
        <f t="shared" ca="1" si="97"/>
        <v>-186964.07930168774</v>
      </c>
      <c r="T164" s="361">
        <f t="shared" ref="T164:T208" ca="1" si="106">IF(AK244&gt;=$BH$48,$BH$48-M164,0)</f>
        <v>0</v>
      </c>
      <c r="U164" s="369">
        <f t="shared" si="98"/>
        <v>6040.1068000000005</v>
      </c>
      <c r="V164" s="369">
        <f t="shared" ca="1" si="99"/>
        <v>0</v>
      </c>
      <c r="W164" s="348">
        <f t="shared" si="100"/>
        <v>298</v>
      </c>
      <c r="X164" s="345">
        <f t="shared" ref="X164:X208" ca="1" si="107">AK244+U164-V164-W164</f>
        <v>-114792.46412456814</v>
      </c>
      <c r="Y164" s="345">
        <f t="shared" ca="1" si="101"/>
        <v>-6887.5478474740885</v>
      </c>
      <c r="Z164" s="349">
        <f t="shared" ca="1" si="102"/>
        <v>-2869.8116031142035</v>
      </c>
      <c r="AA164" s="270"/>
      <c r="AB164" s="270"/>
      <c r="AC164" s="270"/>
      <c r="AD164" s="270"/>
      <c r="AE164" s="270"/>
      <c r="AF164" s="270"/>
      <c r="AG164" s="323"/>
      <c r="AH164" s="323"/>
      <c r="AI164" s="323"/>
      <c r="AJ164" s="323"/>
      <c r="AK164" s="363">
        <f t="shared" ca="1" si="86"/>
        <v>0</v>
      </c>
      <c r="AL164" s="345">
        <f t="shared" ca="1" si="87"/>
        <v>-1184785.2102680793</v>
      </c>
    </row>
    <row r="165" spans="2:38" ht="53" customHeight="1" x14ac:dyDescent="0.35">
      <c r="B165" s="344">
        <f t="shared" ref="B165:B208" si="108">B164+1</f>
        <v>57</v>
      </c>
      <c r="C165" s="345">
        <f t="shared" ca="1" si="103"/>
        <v>411.58136089284613</v>
      </c>
      <c r="D165" s="345">
        <f t="shared" si="89"/>
        <v>800</v>
      </c>
      <c r="E165" s="345">
        <f t="shared" si="90"/>
        <v>600</v>
      </c>
      <c r="F165" s="345">
        <v>600</v>
      </c>
      <c r="G165" s="345">
        <f t="shared" si="91"/>
        <v>6626.665500000001</v>
      </c>
      <c r="H165" s="345">
        <f t="shared" ref="H165:H208" ca="1" si="109">K164-C165-D165-E165-F165+G165</f>
        <v>79715.084139107159</v>
      </c>
      <c r="I165" s="345">
        <f t="shared" ca="1" si="92"/>
        <v>3188.6033655642864</v>
      </c>
      <c r="J165" s="345">
        <f t="shared" ca="1" si="93"/>
        <v>7403.6875046714413</v>
      </c>
      <c r="K165" s="345">
        <f t="shared" ca="1" si="104"/>
        <v>75500</v>
      </c>
      <c r="L165" s="278"/>
      <c r="M165" s="361">
        <f t="shared" ca="1" si="105"/>
        <v>0</v>
      </c>
      <c r="N165" s="345">
        <f t="shared" si="94"/>
        <v>5362.7665000000006</v>
      </c>
      <c r="O165" s="345">
        <f t="shared" ref="O165:O208" ca="1" si="110">R164+N165-M165</f>
        <v>-181601.31280168775</v>
      </c>
      <c r="P165" s="345">
        <f t="shared" ca="1" si="95"/>
        <v>-10896.078768101264</v>
      </c>
      <c r="Q165" s="345">
        <f t="shared" ca="1" si="96"/>
        <v>0</v>
      </c>
      <c r="R165" s="345">
        <f t="shared" ca="1" si="97"/>
        <v>-192497.391569789</v>
      </c>
      <c r="T165" s="370">
        <f t="shared" ca="1" si="106"/>
        <v>0</v>
      </c>
      <c r="U165" s="371">
        <f t="shared" si="98"/>
        <v>6040.1068000000005</v>
      </c>
      <c r="V165" s="371">
        <f t="shared" ca="1" si="99"/>
        <v>0</v>
      </c>
      <c r="W165" s="345">
        <f t="shared" si="100"/>
        <v>298</v>
      </c>
      <c r="X165" s="345">
        <f t="shared" ca="1" si="107"/>
        <v>-118807.71677515644</v>
      </c>
      <c r="Y165" s="345">
        <f t="shared" ca="1" si="101"/>
        <v>-7128.4630065093861</v>
      </c>
      <c r="Z165" s="349">
        <f t="shared" ca="1" si="102"/>
        <v>-2970.192919378911</v>
      </c>
      <c r="AA165" s="270"/>
      <c r="AB165" s="270"/>
      <c r="AC165" s="270"/>
      <c r="AD165" s="270"/>
      <c r="AE165" s="270"/>
      <c r="AF165" s="270"/>
      <c r="AG165" s="323"/>
      <c r="AH165" s="323"/>
      <c r="AI165" s="323"/>
      <c r="AJ165" s="323"/>
      <c r="AK165" s="363">
        <f t="shared" ca="1" si="86"/>
        <v>0</v>
      </c>
      <c r="AL165" s="345">
        <f t="shared" ca="1" si="87"/>
        <v>-1255872.3228841641</v>
      </c>
    </row>
    <row r="166" spans="2:38" ht="53" customHeight="1" x14ac:dyDescent="0.35">
      <c r="B166" s="344">
        <f t="shared" si="108"/>
        <v>58</v>
      </c>
      <c r="C166" s="345">
        <f t="shared" ca="1" si="103"/>
        <v>415.79760035383242</v>
      </c>
      <c r="D166" s="345">
        <f t="shared" si="89"/>
        <v>800</v>
      </c>
      <c r="E166" s="345">
        <f t="shared" si="90"/>
        <v>600</v>
      </c>
      <c r="F166" s="345">
        <v>600</v>
      </c>
      <c r="G166" s="345">
        <f t="shared" si="91"/>
        <v>6626.665500000001</v>
      </c>
      <c r="H166" s="345">
        <f t="shared" ca="1" si="109"/>
        <v>79710.867899646168</v>
      </c>
      <c r="I166" s="345">
        <f t="shared" ca="1" si="92"/>
        <v>3188.4347159858467</v>
      </c>
      <c r="J166" s="345">
        <f t="shared" ca="1" si="93"/>
        <v>7399.302615632012</v>
      </c>
      <c r="K166" s="345">
        <f t="shared" ca="1" si="104"/>
        <v>75500</v>
      </c>
      <c r="L166" s="278"/>
      <c r="M166" s="361">
        <f t="shared" ca="1" si="105"/>
        <v>0</v>
      </c>
      <c r="N166" s="345">
        <f t="shared" si="94"/>
        <v>5362.7665000000006</v>
      </c>
      <c r="O166" s="345">
        <f t="shared" ca="1" si="110"/>
        <v>-187134.62506978901</v>
      </c>
      <c r="P166" s="345">
        <f t="shared" ca="1" si="95"/>
        <v>-11228.07750418734</v>
      </c>
      <c r="Q166" s="345">
        <f t="shared" ca="1" si="96"/>
        <v>0</v>
      </c>
      <c r="R166" s="345">
        <f t="shared" ca="1" si="97"/>
        <v>-198362.70257397633</v>
      </c>
      <c r="T166" s="361">
        <f t="shared" ca="1" si="106"/>
        <v>0</v>
      </c>
      <c r="U166" s="345">
        <f t="shared" si="98"/>
        <v>6040.1068000000005</v>
      </c>
      <c r="V166" s="345">
        <f t="shared" ca="1" si="99"/>
        <v>0</v>
      </c>
      <c r="W166" s="345">
        <f t="shared" si="100"/>
        <v>298</v>
      </c>
      <c r="X166" s="345">
        <f t="shared" ca="1" si="107"/>
        <v>-123164.26590104474</v>
      </c>
      <c r="Y166" s="345">
        <f t="shared" ca="1" si="101"/>
        <v>-7389.8559540626838</v>
      </c>
      <c r="Z166" s="349">
        <f t="shared" ca="1" si="102"/>
        <v>-3079.1066475261186</v>
      </c>
      <c r="AA166" s="270"/>
      <c r="AB166" s="270"/>
      <c r="AC166" s="270"/>
      <c r="AD166" s="270"/>
      <c r="AE166" s="270"/>
      <c r="AF166" s="270"/>
      <c r="AG166" s="323"/>
      <c r="AH166" s="323"/>
      <c r="AI166" s="323"/>
      <c r="AJ166" s="323"/>
      <c r="AK166" s="363">
        <f t="shared" ca="1" si="86"/>
        <v>0</v>
      </c>
      <c r="AL166" s="345">
        <f t="shared" ca="1" si="87"/>
        <v>-1331224.6622572138</v>
      </c>
    </row>
    <row r="167" spans="2:38" ht="53" customHeight="1" x14ac:dyDescent="0.35">
      <c r="B167" s="344">
        <f t="shared" si="108"/>
        <v>59</v>
      </c>
      <c r="C167" s="345">
        <f t="shared" ca="1" si="103"/>
        <v>420.0570309718571</v>
      </c>
      <c r="D167" s="345">
        <f t="shared" si="89"/>
        <v>800</v>
      </c>
      <c r="E167" s="345">
        <f t="shared" si="90"/>
        <v>600</v>
      </c>
      <c r="F167" s="345">
        <v>600</v>
      </c>
      <c r="G167" s="345">
        <f t="shared" si="91"/>
        <v>6626.665500000001</v>
      </c>
      <c r="H167" s="345">
        <f t="shared" ca="1" si="109"/>
        <v>79706.608469028142</v>
      </c>
      <c r="I167" s="345">
        <f t="shared" ca="1" si="92"/>
        <v>3188.2643387611256</v>
      </c>
      <c r="J167" s="345">
        <f t="shared" ca="1" si="93"/>
        <v>7394.8728077892738</v>
      </c>
      <c r="K167" s="345">
        <f t="shared" ca="1" si="104"/>
        <v>75500</v>
      </c>
      <c r="L167" s="278"/>
      <c r="M167" s="361">
        <f t="shared" ca="1" si="105"/>
        <v>0</v>
      </c>
      <c r="N167" s="345">
        <f t="shared" si="94"/>
        <v>5362.7665000000006</v>
      </c>
      <c r="O167" s="345">
        <f t="shared" ca="1" si="110"/>
        <v>-192999.93607397634</v>
      </c>
      <c r="P167" s="345">
        <f t="shared" ca="1" si="95"/>
        <v>-11579.99616443858</v>
      </c>
      <c r="Q167" s="345">
        <f t="shared" ca="1" si="96"/>
        <v>0</v>
      </c>
      <c r="R167" s="345">
        <f t="shared" ca="1" si="97"/>
        <v>-204579.93223841491</v>
      </c>
      <c r="T167" s="361">
        <f t="shared" ca="1" si="106"/>
        <v>0</v>
      </c>
      <c r="U167" s="345">
        <f t="shared" si="98"/>
        <v>6040.1068000000005</v>
      </c>
      <c r="V167" s="345">
        <f t="shared" ca="1" si="99"/>
        <v>0</v>
      </c>
      <c r="W167" s="345">
        <f t="shared" si="100"/>
        <v>298</v>
      </c>
      <c r="X167" s="345">
        <f t="shared" ca="1" si="107"/>
        <v>-127891.12170263355</v>
      </c>
      <c r="Y167" s="345">
        <f t="shared" ca="1" si="101"/>
        <v>-7673.4673021580129</v>
      </c>
      <c r="Z167" s="349">
        <f t="shared" ca="1" si="102"/>
        <v>-3197.2780425658389</v>
      </c>
      <c r="AA167" s="270"/>
      <c r="AB167" s="270"/>
      <c r="AC167" s="270"/>
      <c r="AD167" s="270"/>
      <c r="AE167" s="270"/>
      <c r="AF167" s="270"/>
      <c r="AG167" s="323"/>
      <c r="AH167" s="323"/>
      <c r="AI167" s="323"/>
      <c r="AJ167" s="323"/>
      <c r="AK167" s="363">
        <f t="shared" ca="1" si="86"/>
        <v>0</v>
      </c>
      <c r="AL167" s="345">
        <f t="shared" ca="1" si="87"/>
        <v>-1411098.1419926467</v>
      </c>
    </row>
    <row r="168" spans="2:38" ht="53" customHeight="1" x14ac:dyDescent="0.35">
      <c r="B168" s="344">
        <f t="shared" si="108"/>
        <v>60</v>
      </c>
      <c r="C168" s="345">
        <f t="shared" ca="1" si="103"/>
        <v>424.36009519713281</v>
      </c>
      <c r="D168" s="345">
        <f t="shared" si="89"/>
        <v>800</v>
      </c>
      <c r="E168" s="345">
        <f t="shared" si="90"/>
        <v>600</v>
      </c>
      <c r="F168" s="345">
        <v>600</v>
      </c>
      <c r="G168" s="345">
        <f t="shared" si="91"/>
        <v>6626.665500000001</v>
      </c>
      <c r="H168" s="345">
        <f t="shared" ca="1" si="109"/>
        <v>79702.305404802872</v>
      </c>
      <c r="I168" s="345">
        <f t="shared" ca="1" si="92"/>
        <v>3188.0922161921148</v>
      </c>
      <c r="J168" s="345">
        <f t="shared" ca="1" si="93"/>
        <v>7390.3976209949906</v>
      </c>
      <c r="K168" s="345">
        <f t="shared" ca="1" si="104"/>
        <v>75500</v>
      </c>
      <c r="L168" s="278"/>
      <c r="M168" s="361">
        <f t="shared" ca="1" si="105"/>
        <v>0</v>
      </c>
      <c r="N168" s="345">
        <f t="shared" si="94"/>
        <v>5143.8491999999997</v>
      </c>
      <c r="O168" s="345">
        <f t="shared" ca="1" si="110"/>
        <v>-199436.08303841492</v>
      </c>
      <c r="P168" s="345">
        <f t="shared" ca="1" si="95"/>
        <v>-11966.164982304894</v>
      </c>
      <c r="Q168" s="345">
        <f t="shared" ca="1" si="96"/>
        <v>0</v>
      </c>
      <c r="R168" s="345">
        <f t="shared" ca="1" si="97"/>
        <v>-211402.2480207198</v>
      </c>
      <c r="T168" s="361">
        <f t="shared" ca="1" si="106"/>
        <v>0</v>
      </c>
      <c r="U168" s="345">
        <f t="shared" si="98"/>
        <v>6040.1068000000005</v>
      </c>
      <c r="V168" s="345">
        <f t="shared" ca="1" si="99"/>
        <v>0</v>
      </c>
      <c r="W168" s="345">
        <f t="shared" si="100"/>
        <v>298</v>
      </c>
      <c r="X168" s="345">
        <f t="shared" ca="1" si="107"/>
        <v>-133019.76024735739</v>
      </c>
      <c r="Y168" s="345">
        <f t="shared" ca="1" si="101"/>
        <v>-7981.1856148414436</v>
      </c>
      <c r="Z168" s="349">
        <f t="shared" ca="1" si="102"/>
        <v>-3325.4940061839352</v>
      </c>
      <c r="AA168" s="270"/>
      <c r="AB168" s="270"/>
      <c r="AC168" s="270"/>
      <c r="AD168" s="270"/>
      <c r="AE168" s="270"/>
      <c r="AF168" s="270"/>
      <c r="AG168" s="323"/>
      <c r="AH168" s="323"/>
      <c r="AI168" s="323"/>
      <c r="AJ168" s="323"/>
      <c r="AK168" s="363">
        <f t="shared" ca="1" si="86"/>
        <v>0</v>
      </c>
      <c r="AL168" s="345">
        <f t="shared" ca="1" si="87"/>
        <v>-1495764.0305122056</v>
      </c>
    </row>
    <row r="169" spans="2:38" ht="53" customHeight="1" x14ac:dyDescent="0.35">
      <c r="B169" s="350">
        <f t="shared" si="108"/>
        <v>61</v>
      </c>
      <c r="C169" s="346">
        <f t="shared" ca="1" si="103"/>
        <v>428.70724001233225</v>
      </c>
      <c r="D169" s="346">
        <f t="shared" si="89"/>
        <v>1020</v>
      </c>
      <c r="E169" s="346">
        <f t="shared" si="90"/>
        <v>600</v>
      </c>
      <c r="F169" s="346">
        <v>600</v>
      </c>
      <c r="G169" s="345">
        <f t="shared" si="91"/>
        <v>6750.9483999999993</v>
      </c>
      <c r="H169" s="345">
        <f t="shared" ca="1" si="109"/>
        <v>79602.241159987665</v>
      </c>
      <c r="I169" s="345">
        <f t="shared" ca="1" si="92"/>
        <v>3184.0896463995068</v>
      </c>
      <c r="J169" s="345">
        <f t="shared" ca="1" si="93"/>
        <v>7286.3308063871664</v>
      </c>
      <c r="K169" s="345">
        <f t="shared" ca="1" si="104"/>
        <v>75500</v>
      </c>
      <c r="L169" s="292"/>
      <c r="M169" s="361">
        <f t="shared" ca="1" si="105"/>
        <v>0</v>
      </c>
      <c r="N169" s="345">
        <f t="shared" si="94"/>
        <v>5143.8491999999997</v>
      </c>
      <c r="O169" s="345">
        <f t="shared" ca="1" si="110"/>
        <v>-206258.3988207198</v>
      </c>
      <c r="P169" s="345">
        <f t="shared" ca="1" si="95"/>
        <v>-12375.503929243187</v>
      </c>
      <c r="Q169" s="345">
        <f t="shared" ca="1" si="96"/>
        <v>0</v>
      </c>
      <c r="R169" s="346">
        <f t="shared" ca="1" si="97"/>
        <v>-218633.90274996299</v>
      </c>
      <c r="S169" s="290"/>
      <c r="T169" s="361">
        <f t="shared" ca="1" si="106"/>
        <v>0</v>
      </c>
      <c r="U169" s="345">
        <f t="shared" si="98"/>
        <v>2209.7613999999999</v>
      </c>
      <c r="V169" s="345">
        <f t="shared" ca="1" si="99"/>
        <v>0</v>
      </c>
      <c r="W169" s="345">
        <f t="shared" si="100"/>
        <v>298</v>
      </c>
      <c r="X169" s="345">
        <f t="shared" ca="1" si="107"/>
        <v>-142414.67846838277</v>
      </c>
      <c r="Y169" s="345">
        <f t="shared" ca="1" si="101"/>
        <v>-8544.8807081029663</v>
      </c>
      <c r="Z169" s="349">
        <f t="shared" ca="1" si="102"/>
        <v>-3560.3669617095693</v>
      </c>
      <c r="AA169" s="270"/>
      <c r="AB169" s="270"/>
      <c r="AC169" s="270"/>
      <c r="AD169" s="270"/>
      <c r="AE169" s="270"/>
      <c r="AF169" s="270"/>
      <c r="AG169" s="323"/>
      <c r="AH169" s="323"/>
      <c r="AI169" s="323"/>
      <c r="AJ169" s="323"/>
      <c r="AK169" s="363">
        <f t="shared" ca="1" si="86"/>
        <v>0</v>
      </c>
      <c r="AL169" s="345">
        <f t="shared" ca="1" si="87"/>
        <v>-1585509.8723429379</v>
      </c>
    </row>
    <row r="170" spans="2:38" ht="53" customHeight="1" x14ac:dyDescent="0.35">
      <c r="B170" s="344">
        <f t="shared" si="108"/>
        <v>62</v>
      </c>
      <c r="C170" s="345">
        <f t="shared" ca="1" si="103"/>
        <v>433.09891697901855</v>
      </c>
      <c r="D170" s="345">
        <f t="shared" si="89"/>
        <v>1020</v>
      </c>
      <c r="E170" s="345">
        <f t="shared" si="90"/>
        <v>600</v>
      </c>
      <c r="F170" s="345">
        <v>600</v>
      </c>
      <c r="G170" s="345">
        <f t="shared" si="91"/>
        <v>6750.9483999999993</v>
      </c>
      <c r="H170" s="345">
        <f t="shared" ca="1" si="109"/>
        <v>79597.849483020982</v>
      </c>
      <c r="I170" s="345">
        <f t="shared" ca="1" si="92"/>
        <v>3183.9139793208392</v>
      </c>
      <c r="J170" s="345">
        <f t="shared" ca="1" si="93"/>
        <v>7281.7634623418271</v>
      </c>
      <c r="K170" s="345">
        <f t="shared" ca="1" si="104"/>
        <v>75500</v>
      </c>
      <c r="L170" s="278"/>
      <c r="M170" s="361">
        <f t="shared" ca="1" si="105"/>
        <v>0</v>
      </c>
      <c r="N170" s="345">
        <f t="shared" si="94"/>
        <v>5143.8491999999997</v>
      </c>
      <c r="O170" s="345">
        <f t="shared" ca="1" si="110"/>
        <v>-213490.05354996299</v>
      </c>
      <c r="P170" s="345">
        <f t="shared" ca="1" si="95"/>
        <v>-12809.403212997779</v>
      </c>
      <c r="Q170" s="345">
        <f t="shared" ca="1" si="96"/>
        <v>0</v>
      </c>
      <c r="R170" s="345">
        <f t="shared" ca="1" si="97"/>
        <v>-226299.45676296076</v>
      </c>
      <c r="T170" s="361">
        <f t="shared" ca="1" si="106"/>
        <v>0</v>
      </c>
      <c r="U170" s="345">
        <f t="shared" si="98"/>
        <v>2209.7613999999999</v>
      </c>
      <c r="V170" s="345">
        <f t="shared" ca="1" si="99"/>
        <v>0</v>
      </c>
      <c r="W170" s="345">
        <f t="shared" si="100"/>
        <v>298</v>
      </c>
      <c r="X170" s="345">
        <f t="shared" ca="1" si="107"/>
        <v>-152608.16473819534</v>
      </c>
      <c r="Y170" s="345">
        <f t="shared" ca="1" si="101"/>
        <v>-9156.4898842917191</v>
      </c>
      <c r="Z170" s="349">
        <f t="shared" ca="1" si="102"/>
        <v>-3815.2041184548834</v>
      </c>
      <c r="AA170" s="270"/>
      <c r="AB170" s="270"/>
      <c r="AC170" s="270"/>
      <c r="AD170" s="270"/>
      <c r="AE170" s="270"/>
      <c r="AF170" s="270"/>
      <c r="AG170" s="323"/>
      <c r="AH170" s="323"/>
      <c r="AI170" s="323"/>
      <c r="AJ170" s="323"/>
      <c r="AK170" s="363">
        <f t="shared" ca="1" si="86"/>
        <v>0</v>
      </c>
      <c r="AL170" s="345">
        <f t="shared" ca="1" si="87"/>
        <v>-1680640.4646835141</v>
      </c>
    </row>
    <row r="171" spans="2:38" ht="53" customHeight="1" x14ac:dyDescent="0.35">
      <c r="B171" s="344">
        <f t="shared" si="108"/>
        <v>63</v>
      </c>
      <c r="C171" s="345">
        <f t="shared" ca="1" si="103"/>
        <v>437.53558228455159</v>
      </c>
      <c r="D171" s="345">
        <f t="shared" si="89"/>
        <v>1020</v>
      </c>
      <c r="E171" s="345">
        <f t="shared" si="90"/>
        <v>600</v>
      </c>
      <c r="F171" s="345">
        <v>600</v>
      </c>
      <c r="G171" s="345">
        <f t="shared" si="91"/>
        <v>6750.9483999999993</v>
      </c>
      <c r="H171" s="345">
        <f t="shared" ca="1" si="109"/>
        <v>79593.412817715449</v>
      </c>
      <c r="I171" s="345">
        <f t="shared" ca="1" si="92"/>
        <v>3183.7365127086182</v>
      </c>
      <c r="J171" s="345">
        <f t="shared" ca="1" si="93"/>
        <v>7277.1493304240721</v>
      </c>
      <c r="K171" s="345">
        <f t="shared" ca="1" si="104"/>
        <v>75500</v>
      </c>
      <c r="L171" s="295"/>
      <c r="M171" s="361">
        <f t="shared" ca="1" si="105"/>
        <v>0</v>
      </c>
      <c r="N171" s="345">
        <f t="shared" si="94"/>
        <v>5143.8491999999997</v>
      </c>
      <c r="O171" s="345">
        <f t="shared" ca="1" si="110"/>
        <v>-221155.60756296077</v>
      </c>
      <c r="P171" s="345">
        <f t="shared" ca="1" si="95"/>
        <v>-13269.336453777645</v>
      </c>
      <c r="Q171" s="345">
        <f t="shared" ca="1" si="96"/>
        <v>0</v>
      </c>
      <c r="R171" s="345">
        <f t="shared" ca="1" si="97"/>
        <v>-234424.94401673842</v>
      </c>
      <c r="S171" s="294"/>
      <c r="T171" s="361">
        <f t="shared" ca="1" si="106"/>
        <v>0</v>
      </c>
      <c r="U171" s="345">
        <f t="shared" si="98"/>
        <v>2209.7613999999999</v>
      </c>
      <c r="V171" s="345">
        <f t="shared" ca="1" si="99"/>
        <v>0</v>
      </c>
      <c r="W171" s="345">
        <f t="shared" si="100"/>
        <v>298</v>
      </c>
      <c r="X171" s="345">
        <f t="shared" ca="1" si="107"/>
        <v>-163668.09734094195</v>
      </c>
      <c r="Y171" s="345">
        <f t="shared" ca="1" si="101"/>
        <v>-9820.085840456517</v>
      </c>
      <c r="Z171" s="349">
        <f t="shared" ca="1" si="102"/>
        <v>-4091.7024335235492</v>
      </c>
      <c r="AA171" s="270"/>
      <c r="AB171" s="270"/>
      <c r="AC171" s="270"/>
      <c r="AD171" s="270"/>
      <c r="AE171" s="270"/>
      <c r="AF171" s="270"/>
      <c r="AG171" s="323"/>
      <c r="AH171" s="323"/>
      <c r="AI171" s="323"/>
      <c r="AJ171" s="323"/>
      <c r="AK171" s="363">
        <f t="shared" ca="1" si="86"/>
        <v>0</v>
      </c>
      <c r="AL171" s="345">
        <f t="shared" ca="1" si="87"/>
        <v>-1781478.8925645249</v>
      </c>
    </row>
    <row r="172" spans="2:38" ht="53" customHeight="1" x14ac:dyDescent="0.35">
      <c r="B172" s="344">
        <f t="shared" si="108"/>
        <v>64</v>
      </c>
      <c r="C172" s="345">
        <f t="shared" ca="1" si="103"/>
        <v>442.01769678947454</v>
      </c>
      <c r="D172" s="345">
        <f t="shared" si="89"/>
        <v>1020</v>
      </c>
      <c r="E172" s="345">
        <f t="shared" si="90"/>
        <v>600</v>
      </c>
      <c r="F172" s="345">
        <v>600</v>
      </c>
      <c r="G172" s="345">
        <f t="shared" si="91"/>
        <v>6750.9483999999993</v>
      </c>
      <c r="H172" s="345">
        <f t="shared" ca="1" si="109"/>
        <v>79588.930703210513</v>
      </c>
      <c r="I172" s="345">
        <f t="shared" ca="1" si="92"/>
        <v>3183.5572281284208</v>
      </c>
      <c r="J172" s="345">
        <f t="shared" ca="1" si="93"/>
        <v>7272.4879313389392</v>
      </c>
      <c r="K172" s="345">
        <f t="shared" ca="1" si="104"/>
        <v>75500</v>
      </c>
      <c r="L172" s="278"/>
      <c r="M172" s="361">
        <f t="shared" ca="1" si="105"/>
        <v>0</v>
      </c>
      <c r="N172" s="345">
        <f t="shared" si="94"/>
        <v>5143.8491999999997</v>
      </c>
      <c r="O172" s="345">
        <f t="shared" ca="1" si="110"/>
        <v>-229281.09481673842</v>
      </c>
      <c r="P172" s="345">
        <f t="shared" ca="1" si="95"/>
        <v>-13756.865689004304</v>
      </c>
      <c r="Q172" s="345">
        <f t="shared" ca="1" si="96"/>
        <v>0</v>
      </c>
      <c r="R172" s="345">
        <f t="shared" ca="1" si="97"/>
        <v>-243037.96050574273</v>
      </c>
      <c r="S172" s="297"/>
      <c r="T172" s="361">
        <f t="shared" ca="1" si="106"/>
        <v>0</v>
      </c>
      <c r="U172" s="345">
        <f t="shared" si="98"/>
        <v>2209.7613999999999</v>
      </c>
      <c r="V172" s="345">
        <f t="shared" ca="1" si="99"/>
        <v>0</v>
      </c>
      <c r="W172" s="345">
        <f t="shared" si="100"/>
        <v>298</v>
      </c>
      <c r="X172" s="345">
        <f t="shared" ca="1" si="107"/>
        <v>-175668.12421492202</v>
      </c>
      <c r="Y172" s="345">
        <f t="shared" ca="1" si="101"/>
        <v>-10540.087452895321</v>
      </c>
      <c r="Z172" s="349">
        <f t="shared" ca="1" si="102"/>
        <v>-4391.7031053730507</v>
      </c>
      <c r="AA172" s="270"/>
      <c r="AB172" s="270"/>
      <c r="AC172" s="270"/>
      <c r="AD172" s="270"/>
      <c r="AE172" s="270"/>
      <c r="AF172" s="270"/>
      <c r="AG172" s="323"/>
      <c r="AH172" s="323"/>
      <c r="AI172" s="323"/>
      <c r="AJ172" s="323"/>
      <c r="AK172" s="363">
        <f t="shared" ca="1" si="86"/>
        <v>0</v>
      </c>
      <c r="AL172" s="345">
        <f t="shared" ca="1" si="87"/>
        <v>-1888367.6261183964</v>
      </c>
    </row>
    <row r="173" spans="2:38" ht="53" customHeight="1" x14ac:dyDescent="0.35">
      <c r="B173" s="344">
        <f t="shared" si="108"/>
        <v>65</v>
      </c>
      <c r="C173" s="345">
        <f t="shared" ca="1" si="103"/>
        <v>446.54572607538591</v>
      </c>
      <c r="D173" s="345">
        <f t="shared" si="89"/>
        <v>1020</v>
      </c>
      <c r="E173" s="345">
        <f t="shared" si="90"/>
        <v>600</v>
      </c>
      <c r="F173" s="345">
        <v>600</v>
      </c>
      <c r="G173" s="345">
        <f t="shared" si="91"/>
        <v>0</v>
      </c>
      <c r="H173" s="345">
        <f t="shared" ca="1" si="109"/>
        <v>72833.45427392461</v>
      </c>
      <c r="I173" s="345">
        <f t="shared" ca="1" si="92"/>
        <v>2913.3381709569844</v>
      </c>
      <c r="J173" s="345">
        <f t="shared" ca="1" si="93"/>
        <v>246.7924448815902</v>
      </c>
      <c r="K173" s="345">
        <f t="shared" ca="1" si="104"/>
        <v>75500</v>
      </c>
      <c r="L173" s="278"/>
      <c r="M173" s="361">
        <f t="shared" ca="1" si="105"/>
        <v>0</v>
      </c>
      <c r="N173" s="345">
        <f t="shared" si="94"/>
        <v>0</v>
      </c>
      <c r="O173" s="345">
        <f t="shared" ca="1" si="110"/>
        <v>-243037.96050574273</v>
      </c>
      <c r="P173" s="345">
        <f t="shared" ca="1" si="95"/>
        <v>-14582.277630344563</v>
      </c>
      <c r="Q173" s="345">
        <f t="shared" ca="1" si="96"/>
        <v>0</v>
      </c>
      <c r="R173" s="345">
        <f t="shared" ca="1" si="97"/>
        <v>-257620.23813608728</v>
      </c>
      <c r="T173" s="361">
        <f t="shared" ca="1" si="106"/>
        <v>0</v>
      </c>
      <c r="U173" s="345">
        <f t="shared" si="98"/>
        <v>0</v>
      </c>
      <c r="V173" s="345">
        <f t="shared" ca="1" si="99"/>
        <v>0</v>
      </c>
      <c r="W173" s="345">
        <f t="shared" si="100"/>
        <v>298</v>
      </c>
      <c r="X173" s="345">
        <f t="shared" ca="1" si="107"/>
        <v>-190897.91477319039</v>
      </c>
      <c r="Y173" s="345">
        <f t="shared" ca="1" si="101"/>
        <v>-11453.874886391422</v>
      </c>
      <c r="Z173" s="349">
        <f t="shared" ca="1" si="102"/>
        <v>-4772.4478693297597</v>
      </c>
      <c r="AA173" s="270"/>
      <c r="AB173" s="270"/>
      <c r="AC173" s="270"/>
      <c r="AD173" s="270"/>
      <c r="AE173" s="270"/>
      <c r="AF173" s="270"/>
      <c r="AG173" s="323"/>
      <c r="AH173" s="323"/>
      <c r="AI173" s="323"/>
      <c r="AJ173" s="323"/>
      <c r="AK173" s="363">
        <f t="shared" ca="1" si="86"/>
        <v>0</v>
      </c>
      <c r="AL173" s="345">
        <f t="shared" ca="1" si="87"/>
        <v>-2001669.6836855002</v>
      </c>
    </row>
    <row r="174" spans="2:38" ht="53" customHeight="1" x14ac:dyDescent="0.35">
      <c r="B174" s="344">
        <f t="shared" si="108"/>
        <v>66</v>
      </c>
      <c r="C174" s="345">
        <f t="shared" ca="1" si="103"/>
        <v>451.12014049330219</v>
      </c>
      <c r="D174" s="345">
        <f t="shared" si="89"/>
        <v>1100</v>
      </c>
      <c r="E174" s="345">
        <f t="shared" si="90"/>
        <v>600</v>
      </c>
      <c r="F174" s="345">
        <v>600</v>
      </c>
      <c r="G174" s="345">
        <f t="shared" si="91"/>
        <v>0</v>
      </c>
      <c r="H174" s="345">
        <f t="shared" ca="1" si="109"/>
        <v>72748.879859506691</v>
      </c>
      <c r="I174" s="345">
        <f t="shared" ca="1" si="92"/>
        <v>2909.9551943802676</v>
      </c>
      <c r="J174" s="345">
        <f t="shared" ca="1" si="93"/>
        <v>158.8350538869563</v>
      </c>
      <c r="K174" s="345">
        <f t="shared" ca="1" si="104"/>
        <v>75500</v>
      </c>
      <c r="L174" s="278"/>
      <c r="M174" s="361">
        <f t="shared" ca="1" si="105"/>
        <v>0</v>
      </c>
      <c r="N174" s="345">
        <f t="shared" si="94"/>
        <v>0</v>
      </c>
      <c r="O174" s="345">
        <f t="shared" ca="1" si="110"/>
        <v>-257620.23813608728</v>
      </c>
      <c r="P174" s="345">
        <f t="shared" ca="1" si="95"/>
        <v>-15457.214288165236</v>
      </c>
      <c r="Q174" s="345">
        <f t="shared" ca="1" si="96"/>
        <v>0</v>
      </c>
      <c r="R174" s="345">
        <f t="shared" ca="1" si="97"/>
        <v>-273077.45242425252</v>
      </c>
      <c r="S174" s="266"/>
      <c r="T174" s="361">
        <f t="shared" ca="1" si="106"/>
        <v>0</v>
      </c>
      <c r="U174" s="345">
        <f t="shared" si="98"/>
        <v>0</v>
      </c>
      <c r="V174" s="345">
        <f t="shared" ca="1" si="99"/>
        <v>0</v>
      </c>
      <c r="W174" s="345">
        <f t="shared" si="100"/>
        <v>298</v>
      </c>
      <c r="X174" s="345">
        <f t="shared" ca="1" si="107"/>
        <v>-207422.23752891159</v>
      </c>
      <c r="Y174" s="345">
        <f t="shared" ca="1" si="101"/>
        <v>-12445.334251734695</v>
      </c>
      <c r="Z174" s="349">
        <f t="shared" ca="1" si="102"/>
        <v>-5185.5559382227902</v>
      </c>
      <c r="AA174" s="270"/>
      <c r="AB174" s="270"/>
      <c r="AC174" s="270"/>
      <c r="AD174" s="270"/>
      <c r="AE174" s="270"/>
      <c r="AF174" s="270"/>
      <c r="AG174" s="323"/>
      <c r="AH174" s="323"/>
      <c r="AI174" s="323"/>
      <c r="AJ174" s="323"/>
      <c r="AK174" s="363">
        <f t="shared" ca="1" si="86"/>
        <v>0</v>
      </c>
      <c r="AL174" s="345">
        <f t="shared" ca="1" si="87"/>
        <v>-2121769.8647066304</v>
      </c>
    </row>
    <row r="175" spans="2:38" ht="53" customHeight="1" x14ac:dyDescent="0.35">
      <c r="B175" s="344">
        <f t="shared" si="108"/>
        <v>67</v>
      </c>
      <c r="C175" s="345">
        <f t="shared" si="103"/>
        <v>0</v>
      </c>
      <c r="D175" s="345">
        <f t="shared" si="89"/>
        <v>1100</v>
      </c>
      <c r="E175" s="345">
        <f t="shared" si="90"/>
        <v>600</v>
      </c>
      <c r="F175" s="345">
        <v>600</v>
      </c>
      <c r="G175" s="345">
        <f t="shared" si="91"/>
        <v>0</v>
      </c>
      <c r="H175" s="345">
        <f t="shared" ca="1" si="109"/>
        <v>73200</v>
      </c>
      <c r="I175" s="345">
        <f t="shared" ca="1" si="92"/>
        <v>2928</v>
      </c>
      <c r="J175" s="345">
        <f t="shared" ca="1" si="93"/>
        <v>628</v>
      </c>
      <c r="K175" s="345">
        <f t="shared" ca="1" si="104"/>
        <v>75500</v>
      </c>
      <c r="L175" s="278"/>
      <c r="M175" s="361">
        <f t="shared" ca="1" si="105"/>
        <v>0</v>
      </c>
      <c r="N175" s="345">
        <f t="shared" si="94"/>
        <v>0</v>
      </c>
      <c r="O175" s="345">
        <f t="shared" ca="1" si="110"/>
        <v>-273077.45242425252</v>
      </c>
      <c r="P175" s="345">
        <f t="shared" ca="1" si="95"/>
        <v>-16384.64714545515</v>
      </c>
      <c r="Q175" s="345">
        <f t="shared" ca="1" si="96"/>
        <v>0</v>
      </c>
      <c r="R175" s="345">
        <f t="shared" ca="1" si="97"/>
        <v>-289462.09956970764</v>
      </c>
      <c r="T175" s="361">
        <f t="shared" ca="1" si="106"/>
        <v>0</v>
      </c>
      <c r="U175" s="345">
        <f t="shared" si="98"/>
        <v>0</v>
      </c>
      <c r="V175" s="345">
        <f t="shared" ca="1" si="99"/>
        <v>0</v>
      </c>
      <c r="W175" s="345">
        <f t="shared" si="100"/>
        <v>298</v>
      </c>
      <c r="X175" s="345">
        <f t="shared" ca="1" si="107"/>
        <v>-225351.12771886907</v>
      </c>
      <c r="Y175" s="345">
        <f t="shared" ca="1" si="101"/>
        <v>-13521.067663132144</v>
      </c>
      <c r="Z175" s="349">
        <f t="shared" ca="1" si="102"/>
        <v>-5633.7781929717275</v>
      </c>
      <c r="AA175" s="270"/>
      <c r="AB175" s="270"/>
      <c r="AC175" s="270"/>
      <c r="AD175" s="270"/>
      <c r="AE175" s="270"/>
      <c r="AF175" s="270"/>
      <c r="AG175" s="323"/>
      <c r="AH175" s="323"/>
      <c r="AI175" s="323"/>
      <c r="AJ175" s="323"/>
      <c r="AK175" s="363">
        <f t="shared" ca="1" si="86"/>
        <v>0</v>
      </c>
      <c r="AL175" s="345">
        <f t="shared" ca="1" si="87"/>
        <v>-2249076.0565890283</v>
      </c>
    </row>
    <row r="176" spans="2:38" ht="53" customHeight="1" x14ac:dyDescent="0.35">
      <c r="B176" s="344">
        <f t="shared" si="108"/>
        <v>68</v>
      </c>
      <c r="C176" s="345">
        <f t="shared" si="103"/>
        <v>0</v>
      </c>
      <c r="D176" s="345">
        <f t="shared" si="89"/>
        <v>1100</v>
      </c>
      <c r="E176" s="345">
        <f t="shared" si="90"/>
        <v>600</v>
      </c>
      <c r="F176" s="345">
        <v>600</v>
      </c>
      <c r="G176" s="345">
        <f t="shared" si="91"/>
        <v>0</v>
      </c>
      <c r="H176" s="345">
        <f t="shared" ca="1" si="109"/>
        <v>73200</v>
      </c>
      <c r="I176" s="345">
        <f t="shared" ca="1" si="92"/>
        <v>2928</v>
      </c>
      <c r="J176" s="345">
        <f t="shared" ca="1" si="93"/>
        <v>628</v>
      </c>
      <c r="K176" s="345">
        <f t="shared" ca="1" si="104"/>
        <v>75500</v>
      </c>
      <c r="L176" s="278"/>
      <c r="M176" s="361">
        <f t="shared" ca="1" si="105"/>
        <v>0</v>
      </c>
      <c r="N176" s="345">
        <f t="shared" si="94"/>
        <v>0</v>
      </c>
      <c r="O176" s="345">
        <f t="shared" ca="1" si="110"/>
        <v>-289462.09956970764</v>
      </c>
      <c r="P176" s="345">
        <f t="shared" ca="1" si="95"/>
        <v>-17367.725974182456</v>
      </c>
      <c r="Q176" s="345">
        <f t="shared" ca="1" si="96"/>
        <v>0</v>
      </c>
      <c r="R176" s="345">
        <f t="shared" ca="1" si="97"/>
        <v>-306829.82554389013</v>
      </c>
      <c r="T176" s="361">
        <f t="shared" ca="1" si="106"/>
        <v>0</v>
      </c>
      <c r="U176" s="345">
        <f t="shared" si="98"/>
        <v>0</v>
      </c>
      <c r="V176" s="345">
        <f t="shared" ca="1" si="99"/>
        <v>0</v>
      </c>
      <c r="W176" s="345">
        <f t="shared" si="100"/>
        <v>298</v>
      </c>
      <c r="X176" s="345">
        <f t="shared" ca="1" si="107"/>
        <v>-244803.97357497294</v>
      </c>
      <c r="Y176" s="345">
        <f t="shared" ca="1" si="101"/>
        <v>-14688.238414498375</v>
      </c>
      <c r="Z176" s="349">
        <f t="shared" ca="1" si="102"/>
        <v>-6120.0993393743238</v>
      </c>
      <c r="AA176" s="270"/>
      <c r="AB176" s="270"/>
      <c r="AC176" s="270"/>
      <c r="AD176" s="270"/>
      <c r="AE176" s="270"/>
      <c r="AF176" s="270"/>
      <c r="AG176" s="323"/>
      <c r="AH176" s="323"/>
      <c r="AI176" s="323"/>
      <c r="AJ176" s="323"/>
      <c r="AK176" s="363">
        <f t="shared" ca="1" si="86"/>
        <v>0</v>
      </c>
      <c r="AL176" s="345">
        <f t="shared" ca="1" si="87"/>
        <v>-2384020.6199843702</v>
      </c>
    </row>
    <row r="177" spans="2:38" ht="53" customHeight="1" x14ac:dyDescent="0.35">
      <c r="B177" s="344">
        <f t="shared" si="108"/>
        <v>69</v>
      </c>
      <c r="C177" s="345">
        <f t="shared" si="103"/>
        <v>0</v>
      </c>
      <c r="D177" s="345">
        <f t="shared" si="89"/>
        <v>1100</v>
      </c>
      <c r="E177" s="345">
        <f t="shared" si="90"/>
        <v>600</v>
      </c>
      <c r="F177" s="345">
        <v>600</v>
      </c>
      <c r="G177" s="345">
        <f t="shared" si="91"/>
        <v>0</v>
      </c>
      <c r="H177" s="345">
        <f t="shared" ca="1" si="109"/>
        <v>73200</v>
      </c>
      <c r="I177" s="345">
        <f t="shared" ca="1" si="92"/>
        <v>2928</v>
      </c>
      <c r="J177" s="345">
        <f t="shared" ca="1" si="93"/>
        <v>628</v>
      </c>
      <c r="K177" s="345">
        <f t="shared" ca="1" si="104"/>
        <v>75500</v>
      </c>
      <c r="L177" s="278"/>
      <c r="M177" s="361">
        <f t="shared" ca="1" si="105"/>
        <v>0</v>
      </c>
      <c r="N177" s="345">
        <f t="shared" si="94"/>
        <v>0</v>
      </c>
      <c r="O177" s="345">
        <f t="shared" ca="1" si="110"/>
        <v>-306829.82554389013</v>
      </c>
      <c r="P177" s="345">
        <f t="shared" ca="1" si="95"/>
        <v>-18409.789532633407</v>
      </c>
      <c r="Q177" s="345">
        <f t="shared" ca="1" si="96"/>
        <v>0</v>
      </c>
      <c r="R177" s="345">
        <f t="shared" ca="1" si="97"/>
        <v>-325239.61507652351</v>
      </c>
      <c r="T177" s="361">
        <f t="shared" ca="1" si="106"/>
        <v>0</v>
      </c>
      <c r="U177" s="345">
        <f t="shared" si="98"/>
        <v>0</v>
      </c>
      <c r="V177" s="345">
        <f t="shared" ca="1" si="99"/>
        <v>0</v>
      </c>
      <c r="W177" s="345">
        <f t="shared" si="100"/>
        <v>298</v>
      </c>
      <c r="X177" s="345">
        <f t="shared" ca="1" si="107"/>
        <v>-265910.31132884562</v>
      </c>
      <c r="Y177" s="345">
        <f t="shared" ca="1" si="101"/>
        <v>-15954.618679730736</v>
      </c>
      <c r="Z177" s="349">
        <f t="shared" ca="1" si="102"/>
        <v>-6647.7577832211409</v>
      </c>
      <c r="AA177" s="270"/>
      <c r="AB177" s="270"/>
      <c r="AC177" s="270"/>
      <c r="AD177" s="270"/>
      <c r="AE177" s="270"/>
      <c r="AF177" s="270"/>
      <c r="AG177" s="323"/>
      <c r="AH177" s="323"/>
      <c r="AI177" s="323"/>
      <c r="AJ177" s="323"/>
      <c r="AK177" s="363">
        <f t="shared" ca="1" si="86"/>
        <v>0</v>
      </c>
      <c r="AL177" s="345">
        <f t="shared" ca="1" si="87"/>
        <v>-2527061.8571834322</v>
      </c>
    </row>
    <row r="178" spans="2:38" ht="53" customHeight="1" x14ac:dyDescent="0.35">
      <c r="B178" s="344">
        <f t="shared" si="108"/>
        <v>70</v>
      </c>
      <c r="C178" s="345">
        <f t="shared" si="103"/>
        <v>0</v>
      </c>
      <c r="D178" s="345">
        <f t="shared" si="89"/>
        <v>1100</v>
      </c>
      <c r="E178" s="345">
        <f t="shared" si="90"/>
        <v>600</v>
      </c>
      <c r="F178" s="345">
        <v>600</v>
      </c>
      <c r="G178" s="345">
        <f t="shared" si="91"/>
        <v>0</v>
      </c>
      <c r="H178" s="345">
        <f t="shared" ca="1" si="109"/>
        <v>73200</v>
      </c>
      <c r="I178" s="345">
        <f t="shared" ca="1" si="92"/>
        <v>2928</v>
      </c>
      <c r="J178" s="345">
        <f t="shared" ca="1" si="93"/>
        <v>628</v>
      </c>
      <c r="K178" s="345">
        <f t="shared" ca="1" si="104"/>
        <v>75500</v>
      </c>
      <c r="L178" s="278"/>
      <c r="M178" s="361">
        <f t="shared" ca="1" si="105"/>
        <v>0</v>
      </c>
      <c r="N178" s="345">
        <f t="shared" si="94"/>
        <v>0</v>
      </c>
      <c r="O178" s="345">
        <f t="shared" ca="1" si="110"/>
        <v>-325239.61507652351</v>
      </c>
      <c r="P178" s="345">
        <f t="shared" ca="1" si="95"/>
        <v>-19514.376904591409</v>
      </c>
      <c r="Q178" s="345">
        <f t="shared" ca="1" si="96"/>
        <v>0</v>
      </c>
      <c r="R178" s="345">
        <f t="shared" ca="1" si="97"/>
        <v>-344753.9919811149</v>
      </c>
      <c r="T178" s="361">
        <f t="shared" ca="1" si="106"/>
        <v>0</v>
      </c>
      <c r="U178" s="345">
        <f t="shared" si="98"/>
        <v>0</v>
      </c>
      <c r="V178" s="345">
        <f t="shared" ca="1" si="99"/>
        <v>0</v>
      </c>
      <c r="W178" s="345">
        <f t="shared" si="100"/>
        <v>0</v>
      </c>
      <c r="X178" s="345">
        <f t="shared" ca="1" si="107"/>
        <v>-288512.68779179751</v>
      </c>
      <c r="Y178" s="345">
        <f t="shared" ca="1" si="101"/>
        <v>-17310.761267507849</v>
      </c>
      <c r="Z178" s="349">
        <f t="shared" ca="1" si="102"/>
        <v>-7212.8171947949377</v>
      </c>
      <c r="AA178" s="270"/>
      <c r="AB178" s="270"/>
      <c r="AC178" s="270"/>
      <c r="AD178" s="270"/>
      <c r="AE178" s="270"/>
      <c r="AF178" s="270"/>
      <c r="AG178" s="323"/>
      <c r="AH178" s="323"/>
      <c r="AI178" s="323"/>
      <c r="AJ178" s="323"/>
      <c r="AK178" s="363">
        <f t="shared" ca="1" si="86"/>
        <v>0</v>
      </c>
      <c r="AL178" s="345">
        <f t="shared" ca="1" si="87"/>
        <v>-2678685.5686144382</v>
      </c>
    </row>
    <row r="179" spans="2:38" ht="53" customHeight="1" x14ac:dyDescent="0.35">
      <c r="B179" s="344">
        <f t="shared" si="108"/>
        <v>71</v>
      </c>
      <c r="C179" s="345">
        <f t="shared" si="103"/>
        <v>0</v>
      </c>
      <c r="D179" s="345">
        <f t="shared" si="89"/>
        <v>1195</v>
      </c>
      <c r="E179" s="345">
        <f t="shared" si="90"/>
        <v>900</v>
      </c>
      <c r="F179" s="345">
        <v>600</v>
      </c>
      <c r="G179" s="345">
        <f t="shared" si="91"/>
        <v>0</v>
      </c>
      <c r="H179" s="345">
        <f t="shared" ca="1" si="109"/>
        <v>72805</v>
      </c>
      <c r="I179" s="345">
        <f t="shared" ca="1" si="92"/>
        <v>2912.2000000000003</v>
      </c>
      <c r="J179" s="345">
        <f t="shared" ca="1" si="93"/>
        <v>217.19999999999709</v>
      </c>
      <c r="K179" s="345">
        <f t="shared" ca="1" si="104"/>
        <v>75500</v>
      </c>
      <c r="L179" s="278"/>
      <c r="M179" s="361">
        <f t="shared" ca="1" si="105"/>
        <v>0</v>
      </c>
      <c r="N179" s="345">
        <f t="shared" si="94"/>
        <v>0</v>
      </c>
      <c r="O179" s="345">
        <f t="shared" ca="1" si="110"/>
        <v>-344753.9919811149</v>
      </c>
      <c r="P179" s="345">
        <f t="shared" ca="1" si="95"/>
        <v>-20685.239518866892</v>
      </c>
      <c r="Q179" s="345">
        <f t="shared" ca="1" si="96"/>
        <v>0</v>
      </c>
      <c r="R179" s="345">
        <f t="shared" ca="1" si="97"/>
        <v>-365439.23149998178</v>
      </c>
      <c r="S179" s="304"/>
      <c r="T179" s="361">
        <f t="shared" ca="1" si="106"/>
        <v>0</v>
      </c>
      <c r="U179" s="345">
        <f t="shared" si="98"/>
        <v>0</v>
      </c>
      <c r="V179" s="345">
        <f t="shared" ca="1" si="99"/>
        <v>0</v>
      </c>
      <c r="W179" s="345">
        <f t="shared" si="100"/>
        <v>0</v>
      </c>
      <c r="X179" s="345">
        <f t="shared" ca="1" si="107"/>
        <v>-313036.26625410031</v>
      </c>
      <c r="Y179" s="345">
        <f t="shared" ca="1" si="101"/>
        <v>-18782.175975246017</v>
      </c>
      <c r="Z179" s="349">
        <f t="shared" ca="1" si="102"/>
        <v>-7825.9066563525084</v>
      </c>
      <c r="AA179" s="270"/>
      <c r="AB179" s="270"/>
      <c r="AC179" s="270"/>
      <c r="AD179" s="270"/>
      <c r="AE179" s="270"/>
      <c r="AF179" s="270"/>
      <c r="AG179" s="323"/>
      <c r="AH179" s="323"/>
      <c r="AI179" s="323"/>
      <c r="AJ179" s="323"/>
      <c r="AK179" s="363">
        <f t="shared" ca="1" si="86"/>
        <v>0</v>
      </c>
      <c r="AL179" s="345">
        <f t="shared" ca="1" si="87"/>
        <v>-2839406.7027313043</v>
      </c>
    </row>
    <row r="180" spans="2:38" ht="53" customHeight="1" x14ac:dyDescent="0.35">
      <c r="B180" s="344">
        <f t="shared" si="108"/>
        <v>72</v>
      </c>
      <c r="C180" s="345">
        <f t="shared" si="103"/>
        <v>0</v>
      </c>
      <c r="D180" s="345">
        <f t="shared" si="89"/>
        <v>1195</v>
      </c>
      <c r="E180" s="345">
        <f t="shared" si="90"/>
        <v>900</v>
      </c>
      <c r="F180" s="345">
        <v>600</v>
      </c>
      <c r="G180" s="345">
        <f t="shared" si="91"/>
        <v>0</v>
      </c>
      <c r="H180" s="345">
        <f t="shared" ca="1" si="109"/>
        <v>72805</v>
      </c>
      <c r="I180" s="345">
        <f t="shared" ca="1" si="92"/>
        <v>2912.2000000000003</v>
      </c>
      <c r="J180" s="345">
        <f t="shared" ca="1" si="93"/>
        <v>217.19999999999709</v>
      </c>
      <c r="K180" s="345">
        <f t="shared" ca="1" si="104"/>
        <v>75500</v>
      </c>
      <c r="L180" s="278"/>
      <c r="M180" s="361">
        <f t="shared" ca="1" si="105"/>
        <v>0</v>
      </c>
      <c r="N180" s="345">
        <f t="shared" si="94"/>
        <v>0</v>
      </c>
      <c r="O180" s="345">
        <f t="shared" ca="1" si="110"/>
        <v>-365439.23149998178</v>
      </c>
      <c r="P180" s="345">
        <f t="shared" ca="1" si="95"/>
        <v>-21926.353889998907</v>
      </c>
      <c r="Q180" s="345">
        <f t="shared" ca="1" si="96"/>
        <v>0</v>
      </c>
      <c r="R180" s="345">
        <f t="shared" ca="1" si="97"/>
        <v>-387365.5853899807</v>
      </c>
      <c r="T180" s="361">
        <f t="shared" ca="1" si="106"/>
        <v>0</v>
      </c>
      <c r="U180" s="345">
        <f t="shared" si="98"/>
        <v>0</v>
      </c>
      <c r="V180" s="345">
        <f t="shared" ca="1" si="99"/>
        <v>0</v>
      </c>
      <c r="W180" s="345">
        <f t="shared" si="100"/>
        <v>0</v>
      </c>
      <c r="X180" s="345">
        <f t="shared" ca="1" si="107"/>
        <v>-339644.34888569883</v>
      </c>
      <c r="Y180" s="345">
        <f t="shared" ca="1" si="101"/>
        <v>-20378.660933141928</v>
      </c>
      <c r="Z180" s="349">
        <f t="shared" ca="1" si="102"/>
        <v>-8491.1087221424714</v>
      </c>
      <c r="AA180" s="270"/>
      <c r="AB180" s="270"/>
      <c r="AC180" s="270"/>
      <c r="AD180" s="270"/>
      <c r="AE180" s="270"/>
      <c r="AF180" s="270"/>
      <c r="AG180" s="323"/>
      <c r="AH180" s="323"/>
      <c r="AI180" s="323"/>
      <c r="AJ180" s="323"/>
      <c r="AK180" s="363">
        <f t="shared" ca="1" si="86"/>
        <v>0</v>
      </c>
      <c r="AL180" s="345">
        <f t="shared" ca="1" si="87"/>
        <v>-3009771.1048951824</v>
      </c>
    </row>
    <row r="181" spans="2:38" ht="53" customHeight="1" x14ac:dyDescent="0.35">
      <c r="B181" s="344">
        <f t="shared" si="108"/>
        <v>73</v>
      </c>
      <c r="C181" s="345">
        <f t="shared" si="103"/>
        <v>0</v>
      </c>
      <c r="D181" s="345">
        <f t="shared" si="89"/>
        <v>1195</v>
      </c>
      <c r="E181" s="345">
        <f t="shared" si="90"/>
        <v>900</v>
      </c>
      <c r="F181" s="345">
        <v>600</v>
      </c>
      <c r="G181" s="345">
        <f t="shared" si="91"/>
        <v>0</v>
      </c>
      <c r="H181" s="345">
        <f t="shared" ca="1" si="109"/>
        <v>72805</v>
      </c>
      <c r="I181" s="345">
        <f t="shared" ca="1" si="92"/>
        <v>2912.2000000000003</v>
      </c>
      <c r="J181" s="345">
        <f t="shared" ca="1" si="93"/>
        <v>217.19999999999709</v>
      </c>
      <c r="K181" s="345">
        <f t="shared" ca="1" si="104"/>
        <v>75500</v>
      </c>
      <c r="L181" s="307"/>
      <c r="M181" s="361">
        <f t="shared" ca="1" si="105"/>
        <v>0</v>
      </c>
      <c r="N181" s="345">
        <f t="shared" si="94"/>
        <v>0</v>
      </c>
      <c r="O181" s="345">
        <f t="shared" ca="1" si="110"/>
        <v>-387365.5853899807</v>
      </c>
      <c r="P181" s="345">
        <f t="shared" ca="1" si="95"/>
        <v>-23241.935123398842</v>
      </c>
      <c r="Q181" s="345">
        <f t="shared" ca="1" si="96"/>
        <v>0</v>
      </c>
      <c r="R181" s="345">
        <f t="shared" ca="1" si="97"/>
        <v>-410607.52051337954</v>
      </c>
      <c r="S181" s="306"/>
      <c r="T181" s="361">
        <f t="shared" ca="1" si="106"/>
        <v>0</v>
      </c>
      <c r="U181" s="345">
        <f t="shared" si="98"/>
        <v>0</v>
      </c>
      <c r="V181" s="345">
        <f t="shared" ca="1" si="99"/>
        <v>0</v>
      </c>
      <c r="W181" s="345">
        <f t="shared" si="100"/>
        <v>0</v>
      </c>
      <c r="X181" s="345">
        <f t="shared" ca="1" si="107"/>
        <v>-368514.11854098324</v>
      </c>
      <c r="Y181" s="345">
        <f t="shared" ca="1" si="101"/>
        <v>-22110.847112458992</v>
      </c>
      <c r="Z181" s="349">
        <f t="shared" ca="1" si="102"/>
        <v>-9212.8529635245814</v>
      </c>
      <c r="AA181" s="270"/>
      <c r="AB181" s="270"/>
      <c r="AC181" s="270"/>
      <c r="AD181" s="270"/>
      <c r="AE181" s="270"/>
      <c r="AF181" s="270"/>
      <c r="AG181" s="323"/>
      <c r="AH181" s="323"/>
      <c r="AI181" s="323"/>
      <c r="AJ181" s="323"/>
      <c r="AK181" s="363">
        <f t="shared" ca="1" si="86"/>
        <v>0</v>
      </c>
      <c r="AL181" s="345">
        <f t="shared" ca="1" si="87"/>
        <v>-3190357.3711888934</v>
      </c>
    </row>
    <row r="182" spans="2:38" ht="53" customHeight="1" x14ac:dyDescent="0.35">
      <c r="B182" s="344">
        <f t="shared" si="108"/>
        <v>74</v>
      </c>
      <c r="C182" s="345">
        <f t="shared" si="103"/>
        <v>0</v>
      </c>
      <c r="D182" s="345">
        <f t="shared" si="89"/>
        <v>1320</v>
      </c>
      <c r="E182" s="345">
        <f t="shared" si="90"/>
        <v>900</v>
      </c>
      <c r="F182" s="345">
        <v>600</v>
      </c>
      <c r="G182" s="345">
        <f t="shared" si="91"/>
        <v>0</v>
      </c>
      <c r="H182" s="345">
        <f t="shared" ca="1" si="109"/>
        <v>72680</v>
      </c>
      <c r="I182" s="345">
        <f t="shared" ca="1" si="92"/>
        <v>2907.2000000000003</v>
      </c>
      <c r="J182" s="345">
        <f t="shared" ca="1" si="93"/>
        <v>87.19999999999709</v>
      </c>
      <c r="K182" s="345">
        <f t="shared" ca="1" si="104"/>
        <v>75500</v>
      </c>
      <c r="L182" s="278"/>
      <c r="M182" s="361">
        <f t="shared" ca="1" si="105"/>
        <v>0</v>
      </c>
      <c r="N182" s="345">
        <f t="shared" si="94"/>
        <v>0</v>
      </c>
      <c r="O182" s="345">
        <f t="shared" ca="1" si="110"/>
        <v>-410607.52051337954</v>
      </c>
      <c r="P182" s="345">
        <f t="shared" ca="1" si="95"/>
        <v>-24636.45123080277</v>
      </c>
      <c r="Q182" s="345">
        <f t="shared" ca="1" si="96"/>
        <v>0</v>
      </c>
      <c r="R182" s="345">
        <f t="shared" ca="1" si="97"/>
        <v>-435243.97174418229</v>
      </c>
      <c r="T182" s="361">
        <f t="shared" ca="1" si="106"/>
        <v>0</v>
      </c>
      <c r="U182" s="345">
        <f t="shared" si="98"/>
        <v>0</v>
      </c>
      <c r="V182" s="345">
        <f t="shared" ca="1" si="99"/>
        <v>0</v>
      </c>
      <c r="W182" s="345">
        <f t="shared" si="100"/>
        <v>0</v>
      </c>
      <c r="X182" s="345">
        <f t="shared" ca="1" si="107"/>
        <v>-399837.81861696683</v>
      </c>
      <c r="Y182" s="345">
        <f t="shared" ca="1" si="101"/>
        <v>-23990.269117018008</v>
      </c>
      <c r="Z182" s="349">
        <f t="shared" ca="1" si="102"/>
        <v>-9995.9454654241708</v>
      </c>
      <c r="AA182" s="270"/>
      <c r="AB182" s="270"/>
      <c r="AC182" s="270"/>
      <c r="AD182" s="270"/>
      <c r="AE182" s="270"/>
      <c r="AF182" s="270"/>
      <c r="AG182" s="323"/>
      <c r="AH182" s="323"/>
      <c r="AI182" s="323"/>
      <c r="AJ182" s="323"/>
      <c r="AK182" s="363">
        <f t="shared" ca="1" si="86"/>
        <v>0</v>
      </c>
      <c r="AL182" s="345">
        <f t="shared" ca="1" si="87"/>
        <v>-3381778.8134602271</v>
      </c>
    </row>
    <row r="183" spans="2:38" ht="53" customHeight="1" x14ac:dyDescent="0.35">
      <c r="B183" s="344">
        <f t="shared" si="108"/>
        <v>75</v>
      </c>
      <c r="C183" s="345">
        <f t="shared" si="103"/>
        <v>0</v>
      </c>
      <c r="D183" s="345">
        <f t="shared" si="89"/>
        <v>1320</v>
      </c>
      <c r="E183" s="345">
        <f t="shared" si="90"/>
        <v>900</v>
      </c>
      <c r="F183" s="345">
        <v>600</v>
      </c>
      <c r="G183" s="345">
        <f t="shared" si="91"/>
        <v>0</v>
      </c>
      <c r="H183" s="345">
        <f t="shared" ca="1" si="109"/>
        <v>72680</v>
      </c>
      <c r="I183" s="345">
        <f t="shared" ca="1" si="92"/>
        <v>2907.2000000000003</v>
      </c>
      <c r="J183" s="345">
        <f t="shared" ca="1" si="93"/>
        <v>87.19999999999709</v>
      </c>
      <c r="K183" s="345">
        <f t="shared" ca="1" si="104"/>
        <v>75500</v>
      </c>
      <c r="L183" s="278"/>
      <c r="M183" s="361">
        <f t="shared" ca="1" si="105"/>
        <v>0</v>
      </c>
      <c r="N183" s="345">
        <f t="shared" si="94"/>
        <v>0</v>
      </c>
      <c r="O183" s="345">
        <f t="shared" ca="1" si="110"/>
        <v>-435243.97174418229</v>
      </c>
      <c r="P183" s="345">
        <f t="shared" ca="1" si="95"/>
        <v>-26114.638304650936</v>
      </c>
      <c r="Q183" s="345">
        <f t="shared" ca="1" si="96"/>
        <v>0</v>
      </c>
      <c r="R183" s="345">
        <f t="shared" ca="1" si="97"/>
        <v>-461358.61004883324</v>
      </c>
      <c r="T183" s="361">
        <f t="shared" ca="1" si="106"/>
        <v>0</v>
      </c>
      <c r="U183" s="345">
        <f t="shared" si="98"/>
        <v>0</v>
      </c>
      <c r="V183" s="345">
        <f t="shared" ca="1" si="99"/>
        <v>0</v>
      </c>
      <c r="W183" s="345">
        <f t="shared" si="100"/>
        <v>0</v>
      </c>
      <c r="X183" s="345">
        <f t="shared" ca="1" si="107"/>
        <v>-433824.03319940902</v>
      </c>
      <c r="Y183" s="345">
        <f t="shared" ca="1" si="101"/>
        <v>-26029.441991964541</v>
      </c>
      <c r="Z183" s="349">
        <f t="shared" ca="1" si="102"/>
        <v>-10845.600829985226</v>
      </c>
      <c r="AA183" s="270"/>
      <c r="AB183" s="270"/>
      <c r="AC183" s="270"/>
      <c r="AD183" s="270"/>
      <c r="AE183" s="270"/>
      <c r="AF183" s="270"/>
      <c r="AG183" s="323"/>
      <c r="AH183" s="323"/>
      <c r="AI183" s="323"/>
      <c r="AJ183" s="323"/>
      <c r="AK183" s="363">
        <f t="shared" ca="1" si="86"/>
        <v>0</v>
      </c>
      <c r="AL183" s="345">
        <f t="shared" ca="1" si="87"/>
        <v>-3584685.5422678408</v>
      </c>
    </row>
    <row r="184" spans="2:38" ht="53" customHeight="1" x14ac:dyDescent="0.35">
      <c r="B184" s="344">
        <f t="shared" si="108"/>
        <v>76</v>
      </c>
      <c r="C184" s="345">
        <f t="shared" si="103"/>
        <v>0</v>
      </c>
      <c r="D184" s="345">
        <f t="shared" si="89"/>
        <v>1530</v>
      </c>
      <c r="E184" s="345">
        <f t="shared" si="90"/>
        <v>900</v>
      </c>
      <c r="F184" s="345">
        <v>600</v>
      </c>
      <c r="G184" s="345">
        <f t="shared" si="91"/>
        <v>0</v>
      </c>
      <c r="H184" s="345">
        <f t="shared" ca="1" si="109"/>
        <v>72470</v>
      </c>
      <c r="I184" s="345">
        <f t="shared" ca="1" si="92"/>
        <v>2898.8</v>
      </c>
      <c r="J184" s="345">
        <f t="shared" ca="1" si="93"/>
        <v>0</v>
      </c>
      <c r="K184" s="345">
        <f t="shared" ca="1" si="104"/>
        <v>75368.800000000003</v>
      </c>
      <c r="L184" s="278"/>
      <c r="M184" s="361">
        <f t="shared" ca="1" si="105"/>
        <v>0</v>
      </c>
      <c r="N184" s="345">
        <f t="shared" si="94"/>
        <v>0</v>
      </c>
      <c r="O184" s="345">
        <f t="shared" ca="1" si="110"/>
        <v>-461358.61004883324</v>
      </c>
      <c r="P184" s="345">
        <f t="shared" ca="1" si="95"/>
        <v>-27681.516602929994</v>
      </c>
      <c r="Q184" s="345">
        <f t="shared" ca="1" si="96"/>
        <v>0</v>
      </c>
      <c r="R184" s="345">
        <f t="shared" ca="1" si="97"/>
        <v>-489040.12665176322</v>
      </c>
      <c r="T184" s="361">
        <f t="shared" ca="1" si="106"/>
        <v>0</v>
      </c>
      <c r="U184" s="345">
        <f t="shared" si="98"/>
        <v>0</v>
      </c>
      <c r="V184" s="345">
        <f t="shared" ca="1" si="99"/>
        <v>0</v>
      </c>
      <c r="W184" s="345">
        <f t="shared" si="100"/>
        <v>0</v>
      </c>
      <c r="X184" s="345">
        <f t="shared" ca="1" si="107"/>
        <v>-470699.07602135878</v>
      </c>
      <c r="Y184" s="345">
        <f t="shared" ca="1" si="101"/>
        <v>-28241.944561281525</v>
      </c>
      <c r="Z184" s="349">
        <f t="shared" ca="1" si="102"/>
        <v>-11767.476900533969</v>
      </c>
      <c r="AA184" s="270"/>
      <c r="AB184" s="270"/>
      <c r="AC184" s="270"/>
      <c r="AD184" s="270"/>
      <c r="AE184" s="270"/>
      <c r="AF184" s="270"/>
      <c r="AG184" s="323"/>
      <c r="AH184" s="323"/>
      <c r="AI184" s="323"/>
      <c r="AJ184" s="323"/>
      <c r="AK184" s="363">
        <f t="shared" ca="1" si="86"/>
        <v>0</v>
      </c>
      <c r="AL184" s="345">
        <f t="shared" ca="1" si="87"/>
        <v>-3799766.6748039112</v>
      </c>
    </row>
    <row r="185" spans="2:38" ht="53" customHeight="1" x14ac:dyDescent="0.35">
      <c r="B185" s="344">
        <f t="shared" si="108"/>
        <v>77</v>
      </c>
      <c r="C185" s="345">
        <f t="shared" si="103"/>
        <v>0</v>
      </c>
      <c r="D185" s="345">
        <f t="shared" si="89"/>
        <v>1530</v>
      </c>
      <c r="E185" s="345">
        <f t="shared" si="90"/>
        <v>900</v>
      </c>
      <c r="F185" s="345">
        <v>600</v>
      </c>
      <c r="G185" s="345">
        <f t="shared" si="91"/>
        <v>0</v>
      </c>
      <c r="H185" s="345">
        <f t="shared" ca="1" si="109"/>
        <v>72338.8</v>
      </c>
      <c r="I185" s="345">
        <f t="shared" ca="1" si="92"/>
        <v>2893.5520000000001</v>
      </c>
      <c r="J185" s="345">
        <f t="shared" ca="1" si="93"/>
        <v>0</v>
      </c>
      <c r="K185" s="345">
        <f t="shared" ca="1" si="104"/>
        <v>75232.351999999999</v>
      </c>
      <c r="L185" s="278"/>
      <c r="M185" s="361">
        <f t="shared" ca="1" si="105"/>
        <v>0</v>
      </c>
      <c r="N185" s="345">
        <f t="shared" si="94"/>
        <v>0</v>
      </c>
      <c r="O185" s="345">
        <f t="shared" ca="1" si="110"/>
        <v>-489040.12665176322</v>
      </c>
      <c r="P185" s="345">
        <f t="shared" ca="1" si="95"/>
        <v>-29342.407599105791</v>
      </c>
      <c r="Q185" s="345">
        <f t="shared" ca="1" si="96"/>
        <v>0</v>
      </c>
      <c r="R185" s="345">
        <f t="shared" ca="1" si="97"/>
        <v>-518382.53425086901</v>
      </c>
      <c r="T185" s="361">
        <f t="shared" ca="1" si="106"/>
        <v>0</v>
      </c>
      <c r="U185" s="345">
        <f t="shared" si="98"/>
        <v>0</v>
      </c>
      <c r="V185" s="345">
        <f t="shared" ca="1" si="99"/>
        <v>0</v>
      </c>
      <c r="W185" s="345">
        <f t="shared" si="100"/>
        <v>0</v>
      </c>
      <c r="X185" s="345">
        <f t="shared" ca="1" si="107"/>
        <v>-510708.49748317426</v>
      </c>
      <c r="Y185" s="345">
        <f t="shared" ca="1" si="101"/>
        <v>-30642.509848990456</v>
      </c>
      <c r="Z185" s="349">
        <f t="shared" ca="1" si="102"/>
        <v>-12767.712437079357</v>
      </c>
      <c r="AA185" s="270"/>
      <c r="AB185" s="270"/>
      <c r="AC185" s="270"/>
      <c r="AD185" s="270"/>
      <c r="AE185" s="270"/>
      <c r="AF185" s="270"/>
      <c r="AG185" s="323"/>
      <c r="AH185" s="323"/>
      <c r="AI185" s="323"/>
      <c r="AJ185" s="323"/>
      <c r="AK185" s="363">
        <f t="shared" ca="1" si="86"/>
        <v>0</v>
      </c>
      <c r="AL185" s="345">
        <f t="shared" ca="1" si="87"/>
        <v>-4027752.6752921459</v>
      </c>
    </row>
    <row r="186" spans="2:38" ht="53" customHeight="1" x14ac:dyDescent="0.35">
      <c r="B186" s="344">
        <f t="shared" si="108"/>
        <v>78</v>
      </c>
      <c r="C186" s="345">
        <f t="shared" si="103"/>
        <v>0</v>
      </c>
      <c r="D186" s="345">
        <f t="shared" si="89"/>
        <v>1530</v>
      </c>
      <c r="E186" s="345">
        <f t="shared" si="90"/>
        <v>900</v>
      </c>
      <c r="F186" s="345">
        <v>600</v>
      </c>
      <c r="G186" s="345">
        <f t="shared" si="91"/>
        <v>0</v>
      </c>
      <c r="H186" s="345">
        <f t="shared" ca="1" si="109"/>
        <v>72202.351999999999</v>
      </c>
      <c r="I186" s="345">
        <f t="shared" ca="1" si="92"/>
        <v>2888.0940799999998</v>
      </c>
      <c r="J186" s="345">
        <f t="shared" ca="1" si="93"/>
        <v>0</v>
      </c>
      <c r="K186" s="345">
        <f t="shared" ca="1" si="104"/>
        <v>75090.446079999994</v>
      </c>
      <c r="L186" s="278"/>
      <c r="M186" s="361">
        <f t="shared" ca="1" si="105"/>
        <v>0</v>
      </c>
      <c r="N186" s="345">
        <f t="shared" si="94"/>
        <v>0</v>
      </c>
      <c r="O186" s="345">
        <f t="shared" ca="1" si="110"/>
        <v>-518382.53425086901</v>
      </c>
      <c r="P186" s="345">
        <f t="shared" ca="1" si="95"/>
        <v>-31102.952055052141</v>
      </c>
      <c r="Q186" s="345">
        <f t="shared" ca="1" si="96"/>
        <v>0</v>
      </c>
      <c r="R186" s="345">
        <f t="shared" ca="1" si="97"/>
        <v>-549485.48630592111</v>
      </c>
      <c r="T186" s="361">
        <f t="shared" ca="1" si="106"/>
        <v>0</v>
      </c>
      <c r="U186" s="345">
        <f t="shared" si="98"/>
        <v>0</v>
      </c>
      <c r="V186" s="345">
        <f t="shared" ca="1" si="99"/>
        <v>0</v>
      </c>
      <c r="W186" s="345">
        <f t="shared" si="100"/>
        <v>0</v>
      </c>
      <c r="X186" s="345">
        <f t="shared" ca="1" si="107"/>
        <v>-554118.71976924408</v>
      </c>
      <c r="Y186" s="345">
        <f t="shared" ca="1" si="101"/>
        <v>-33247.12318615464</v>
      </c>
      <c r="Z186" s="349">
        <f t="shared" ca="1" si="102"/>
        <v>-13852.967994231103</v>
      </c>
      <c r="AA186" s="270"/>
      <c r="AB186" s="270"/>
      <c r="AC186" s="270"/>
      <c r="AD186" s="270"/>
      <c r="AE186" s="270"/>
      <c r="AF186" s="270"/>
      <c r="AG186" s="323"/>
      <c r="AH186" s="323"/>
      <c r="AI186" s="323"/>
      <c r="AJ186" s="323"/>
      <c r="AK186" s="363">
        <f t="shared" ca="1" si="86"/>
        <v>0</v>
      </c>
      <c r="AL186" s="345">
        <f t="shared" ca="1" si="87"/>
        <v>-4269417.835809675</v>
      </c>
    </row>
    <row r="187" spans="2:38" ht="53" customHeight="1" x14ac:dyDescent="0.35">
      <c r="B187" s="344">
        <f t="shared" si="108"/>
        <v>79</v>
      </c>
      <c r="C187" s="345">
        <f t="shared" si="103"/>
        <v>0</v>
      </c>
      <c r="D187" s="345">
        <f t="shared" si="89"/>
        <v>1590</v>
      </c>
      <c r="E187" s="345">
        <f t="shared" si="90"/>
        <v>900</v>
      </c>
      <c r="F187" s="345">
        <v>600</v>
      </c>
      <c r="G187" s="345">
        <f t="shared" si="91"/>
        <v>0</v>
      </c>
      <c r="H187" s="345">
        <f t="shared" ca="1" si="109"/>
        <v>72000.446079999994</v>
      </c>
      <c r="I187" s="345">
        <f t="shared" ca="1" si="92"/>
        <v>2880.0178431999998</v>
      </c>
      <c r="J187" s="345">
        <f t="shared" ca="1" si="93"/>
        <v>0</v>
      </c>
      <c r="K187" s="345">
        <f t="shared" ca="1" si="104"/>
        <v>74880.46392319999</v>
      </c>
      <c r="L187" s="278"/>
      <c r="M187" s="361">
        <f t="shared" ca="1" si="105"/>
        <v>0</v>
      </c>
      <c r="N187" s="345">
        <f t="shared" si="94"/>
        <v>0</v>
      </c>
      <c r="O187" s="345">
        <f t="shared" ca="1" si="110"/>
        <v>-549485.48630592111</v>
      </c>
      <c r="P187" s="345">
        <f t="shared" ca="1" si="95"/>
        <v>-32969.129178355266</v>
      </c>
      <c r="Q187" s="345">
        <f t="shared" ca="1" si="96"/>
        <v>0</v>
      </c>
      <c r="R187" s="345">
        <f t="shared" ca="1" si="97"/>
        <v>-582454.61548427632</v>
      </c>
      <c r="T187" s="361">
        <f t="shared" ca="1" si="106"/>
        <v>0</v>
      </c>
      <c r="U187" s="345">
        <f t="shared" si="98"/>
        <v>0</v>
      </c>
      <c r="V187" s="345">
        <f t="shared" ca="1" si="99"/>
        <v>0</v>
      </c>
      <c r="W187" s="345">
        <f t="shared" si="100"/>
        <v>0</v>
      </c>
      <c r="X187" s="345">
        <f t="shared" ca="1" si="107"/>
        <v>-601218.81094962987</v>
      </c>
      <c r="Y187" s="345">
        <f t="shared" ca="1" si="101"/>
        <v>-36073.128656977788</v>
      </c>
      <c r="Z187" s="349">
        <f t="shared" ca="1" si="102"/>
        <v>-15030.470273740748</v>
      </c>
      <c r="AA187" s="270"/>
      <c r="AB187" s="270"/>
      <c r="AC187" s="270"/>
      <c r="AD187" s="270"/>
      <c r="AE187" s="270"/>
      <c r="AF187" s="270"/>
      <c r="AG187" s="323"/>
      <c r="AH187" s="323"/>
      <c r="AI187" s="323"/>
      <c r="AJ187" s="323"/>
      <c r="AK187" s="363">
        <f t="shared" ca="1" si="86"/>
        <v>0</v>
      </c>
      <c r="AL187" s="345">
        <f t="shared" ca="1" si="87"/>
        <v>-4525582.9059582558</v>
      </c>
    </row>
    <row r="188" spans="2:38" ht="53" customHeight="1" x14ac:dyDescent="0.35">
      <c r="B188" s="344">
        <f t="shared" si="108"/>
        <v>80</v>
      </c>
      <c r="C188" s="345">
        <f t="shared" si="103"/>
        <v>0</v>
      </c>
      <c r="D188" s="345">
        <f t="shared" si="89"/>
        <v>1590</v>
      </c>
      <c r="E188" s="345">
        <f t="shared" si="90"/>
        <v>900</v>
      </c>
      <c r="F188" s="345">
        <v>600</v>
      </c>
      <c r="G188" s="345">
        <f t="shared" si="91"/>
        <v>0</v>
      </c>
      <c r="H188" s="345">
        <f t="shared" ca="1" si="109"/>
        <v>71790.46392319999</v>
      </c>
      <c r="I188" s="345">
        <f t="shared" ca="1" si="92"/>
        <v>2871.6185569279996</v>
      </c>
      <c r="J188" s="345">
        <f t="shared" ca="1" si="93"/>
        <v>0</v>
      </c>
      <c r="K188" s="345">
        <f t="shared" ca="1" si="104"/>
        <v>74662.082480127996</v>
      </c>
      <c r="L188" s="278"/>
      <c r="M188" s="361">
        <f t="shared" ca="1" si="105"/>
        <v>0</v>
      </c>
      <c r="N188" s="345">
        <f t="shared" si="94"/>
        <v>0</v>
      </c>
      <c r="O188" s="345">
        <f t="shared" ca="1" si="110"/>
        <v>-582454.61548427632</v>
      </c>
      <c r="P188" s="345">
        <f t="shared" ca="1" si="95"/>
        <v>-34947.276929056578</v>
      </c>
      <c r="Q188" s="345">
        <f t="shared" ca="1" si="96"/>
        <v>0</v>
      </c>
      <c r="R188" s="345">
        <f t="shared" ca="1" si="97"/>
        <v>-617401.89241333294</v>
      </c>
      <c r="T188" s="361">
        <f t="shared" ca="1" si="106"/>
        <v>0</v>
      </c>
      <c r="U188" s="345">
        <f t="shared" si="98"/>
        <v>0</v>
      </c>
      <c r="V188" s="345">
        <f t="shared" ca="1" si="99"/>
        <v>0</v>
      </c>
      <c r="W188" s="345">
        <f t="shared" si="100"/>
        <v>0</v>
      </c>
      <c r="X188" s="345">
        <f t="shared" ca="1" si="107"/>
        <v>-652322.40988034836</v>
      </c>
      <c r="Y188" s="345">
        <f t="shared" ca="1" si="101"/>
        <v>-39139.344592820904</v>
      </c>
      <c r="Z188" s="349">
        <f t="shared" ca="1" si="102"/>
        <v>-16308.060247008711</v>
      </c>
      <c r="AA188" s="270"/>
      <c r="AB188" s="270"/>
      <c r="AC188" s="270"/>
      <c r="AD188" s="270"/>
      <c r="AE188" s="270"/>
      <c r="AF188" s="270"/>
      <c r="AG188" s="323"/>
      <c r="AH188" s="323"/>
      <c r="AI188" s="323"/>
      <c r="AJ188" s="323"/>
    </row>
    <row r="189" spans="2:38" ht="53" customHeight="1" x14ac:dyDescent="0.35">
      <c r="B189" s="344">
        <f t="shared" si="108"/>
        <v>81</v>
      </c>
      <c r="C189" s="345">
        <f t="shared" si="103"/>
        <v>0</v>
      </c>
      <c r="D189" s="345">
        <f t="shared" si="89"/>
        <v>1675</v>
      </c>
      <c r="E189" s="345">
        <f t="shared" si="90"/>
        <v>900</v>
      </c>
      <c r="F189" s="345">
        <v>600</v>
      </c>
      <c r="G189" s="345">
        <f t="shared" si="91"/>
        <v>0</v>
      </c>
      <c r="H189" s="345">
        <f t="shared" ca="1" si="109"/>
        <v>71487.082480127996</v>
      </c>
      <c r="I189" s="345">
        <f t="shared" ca="1" si="92"/>
        <v>2859.4832992051197</v>
      </c>
      <c r="J189" s="345">
        <f t="shared" ca="1" si="93"/>
        <v>0</v>
      </c>
      <c r="K189" s="345">
        <f t="shared" ca="1" si="104"/>
        <v>74346.565779333119</v>
      </c>
      <c r="L189" s="278"/>
      <c r="M189" s="361">
        <f t="shared" ca="1" si="105"/>
        <v>0</v>
      </c>
      <c r="N189" s="345">
        <f t="shared" si="94"/>
        <v>0</v>
      </c>
      <c r="O189" s="345">
        <f t="shared" ca="1" si="110"/>
        <v>-617401.89241333294</v>
      </c>
      <c r="P189" s="345">
        <f t="shared" ca="1" si="95"/>
        <v>-37044.113544799977</v>
      </c>
      <c r="Q189" s="345">
        <f t="shared" ca="1" si="96"/>
        <v>0</v>
      </c>
      <c r="R189" s="345">
        <f t="shared" ca="1" si="97"/>
        <v>-654446.00595813291</v>
      </c>
      <c r="T189" s="361">
        <f t="shared" ca="1" si="106"/>
        <v>0</v>
      </c>
      <c r="U189" s="345">
        <f t="shared" si="98"/>
        <v>0</v>
      </c>
      <c r="V189" s="345">
        <f t="shared" ca="1" si="99"/>
        <v>0</v>
      </c>
      <c r="W189" s="345">
        <f t="shared" si="100"/>
        <v>0</v>
      </c>
      <c r="X189" s="345">
        <f t="shared" ca="1" si="107"/>
        <v>-707769.81472017791</v>
      </c>
      <c r="Y189" s="345">
        <f t="shared" ca="1" si="101"/>
        <v>-42466.188883210671</v>
      </c>
      <c r="Z189" s="349">
        <f t="shared" ca="1" si="102"/>
        <v>-17694.245368004449</v>
      </c>
      <c r="AA189" s="270"/>
      <c r="AB189" s="270"/>
      <c r="AC189" s="270"/>
      <c r="AD189" s="270"/>
      <c r="AE189" s="270"/>
      <c r="AF189" s="270"/>
      <c r="AG189" s="323"/>
      <c r="AH189" s="323"/>
      <c r="AI189" s="323"/>
      <c r="AJ189" s="323"/>
    </row>
    <row r="190" spans="2:38" ht="53" customHeight="1" x14ac:dyDescent="0.35">
      <c r="B190" s="344">
        <f t="shared" si="108"/>
        <v>82</v>
      </c>
      <c r="C190" s="345">
        <f t="shared" si="103"/>
        <v>0</v>
      </c>
      <c r="D190" s="345">
        <f t="shared" si="89"/>
        <v>1675</v>
      </c>
      <c r="E190" s="345">
        <f t="shared" si="90"/>
        <v>900</v>
      </c>
      <c r="F190" s="345">
        <v>600</v>
      </c>
      <c r="G190" s="345">
        <f t="shared" si="91"/>
        <v>0</v>
      </c>
      <c r="H190" s="345">
        <f t="shared" ca="1" si="109"/>
        <v>71171.565779333119</v>
      </c>
      <c r="I190" s="345">
        <f t="shared" ca="1" si="92"/>
        <v>2846.8626311733246</v>
      </c>
      <c r="J190" s="345">
        <f t="shared" ca="1" si="93"/>
        <v>0</v>
      </c>
      <c r="K190" s="345">
        <f t="shared" ca="1" si="104"/>
        <v>74018.428410506443</v>
      </c>
      <c r="L190" s="278"/>
      <c r="M190" s="361">
        <f t="shared" ca="1" si="105"/>
        <v>0</v>
      </c>
      <c r="N190" s="345">
        <f t="shared" si="94"/>
        <v>0</v>
      </c>
      <c r="O190" s="345">
        <f t="shared" ca="1" si="110"/>
        <v>-654446.00595813291</v>
      </c>
      <c r="P190" s="345">
        <f t="shared" ca="1" si="95"/>
        <v>-39266.760357487976</v>
      </c>
      <c r="Q190" s="345">
        <f t="shared" ca="1" si="96"/>
        <v>0</v>
      </c>
      <c r="R190" s="345">
        <f t="shared" ca="1" si="97"/>
        <v>-693712.76631562086</v>
      </c>
      <c r="T190" s="361">
        <f t="shared" ca="1" si="106"/>
        <v>0</v>
      </c>
      <c r="U190" s="345">
        <f t="shared" si="98"/>
        <v>0</v>
      </c>
      <c r="V190" s="345">
        <f t="shared" ca="1" si="99"/>
        <v>0</v>
      </c>
      <c r="W190" s="345">
        <f t="shared" si="100"/>
        <v>0</v>
      </c>
      <c r="X190" s="345">
        <f t="shared" ca="1" si="107"/>
        <v>-767930.24897139298</v>
      </c>
      <c r="Y190" s="345">
        <f t="shared" ca="1" si="101"/>
        <v>-46075.814938283576</v>
      </c>
      <c r="Z190" s="349">
        <f t="shared" ca="1" si="102"/>
        <v>-19198.256224284825</v>
      </c>
      <c r="AA190" s="270"/>
      <c r="AB190" s="270"/>
      <c r="AC190" s="270"/>
      <c r="AD190" s="270"/>
      <c r="AE190" s="270"/>
      <c r="AF190" s="270"/>
      <c r="AG190" s="323"/>
      <c r="AH190" s="323"/>
      <c r="AI190" s="323"/>
      <c r="AJ190" s="323"/>
      <c r="AK190" s="372"/>
    </row>
    <row r="191" spans="2:38" ht="53" customHeight="1" x14ac:dyDescent="0.35">
      <c r="B191" s="344">
        <f t="shared" si="108"/>
        <v>83</v>
      </c>
      <c r="C191" s="345">
        <f t="shared" si="103"/>
        <v>0</v>
      </c>
      <c r="D191" s="345">
        <f t="shared" si="89"/>
        <v>1675</v>
      </c>
      <c r="E191" s="345">
        <f t="shared" si="90"/>
        <v>900</v>
      </c>
      <c r="F191" s="345">
        <v>600</v>
      </c>
      <c r="G191" s="345">
        <f t="shared" si="91"/>
        <v>0</v>
      </c>
      <c r="H191" s="345">
        <f t="shared" ca="1" si="109"/>
        <v>70843.428410506443</v>
      </c>
      <c r="I191" s="345">
        <f t="shared" ca="1" si="92"/>
        <v>2833.7371364202577</v>
      </c>
      <c r="J191" s="345">
        <f t="shared" ca="1" si="93"/>
        <v>0</v>
      </c>
      <c r="K191" s="345">
        <f t="shared" ca="1" si="104"/>
        <v>73677.165546926699</v>
      </c>
      <c r="L191" s="278"/>
      <c r="M191" s="361">
        <f t="shared" ca="1" si="105"/>
        <v>0</v>
      </c>
      <c r="N191" s="345">
        <f t="shared" si="94"/>
        <v>0</v>
      </c>
      <c r="O191" s="345">
        <f t="shared" ca="1" si="110"/>
        <v>-693712.76631562086</v>
      </c>
      <c r="P191" s="345">
        <f t="shared" ca="1" si="95"/>
        <v>-41622.765978937248</v>
      </c>
      <c r="Q191" s="345">
        <f t="shared" ca="1" si="96"/>
        <v>0</v>
      </c>
      <c r="R191" s="345">
        <f t="shared" ca="1" si="97"/>
        <v>-735335.53229455813</v>
      </c>
      <c r="T191" s="361">
        <f t="shared" ca="1" si="106"/>
        <v>0</v>
      </c>
      <c r="U191" s="345">
        <f t="shared" si="98"/>
        <v>0</v>
      </c>
      <c r="V191" s="345">
        <f t="shared" ca="1" si="99"/>
        <v>0</v>
      </c>
      <c r="W191" s="345">
        <f t="shared" si="100"/>
        <v>0</v>
      </c>
      <c r="X191" s="345">
        <f t="shared" ca="1" si="107"/>
        <v>-833204.32013396139</v>
      </c>
      <c r="Y191" s="345">
        <f t="shared" ca="1" si="101"/>
        <v>-49992.259208037678</v>
      </c>
      <c r="Z191" s="349">
        <f t="shared" ca="1" si="102"/>
        <v>-20830.108003349036</v>
      </c>
      <c r="AA191" s="270"/>
      <c r="AB191" s="270"/>
      <c r="AC191" s="270"/>
      <c r="AD191" s="270"/>
      <c r="AE191" s="270"/>
      <c r="AF191" s="270"/>
      <c r="AG191" s="323"/>
      <c r="AH191" s="323"/>
      <c r="AI191" s="323"/>
      <c r="AJ191" s="323"/>
      <c r="AK191" s="373" t="s">
        <v>234</v>
      </c>
      <c r="AL191" s="356" t="s">
        <v>241</v>
      </c>
    </row>
    <row r="192" spans="2:38" ht="53" customHeight="1" x14ac:dyDescent="0.35">
      <c r="B192" s="344">
        <f t="shared" si="108"/>
        <v>84</v>
      </c>
      <c r="C192" s="345">
        <f t="shared" si="103"/>
        <v>0</v>
      </c>
      <c r="D192" s="345">
        <f t="shared" si="89"/>
        <v>1935</v>
      </c>
      <c r="E192" s="345">
        <f t="shared" si="90"/>
        <v>900</v>
      </c>
      <c r="F192" s="345"/>
      <c r="G192" s="345">
        <f t="shared" si="91"/>
        <v>0</v>
      </c>
      <c r="H192" s="345">
        <f t="shared" ca="1" si="109"/>
        <v>70842.165546926699</v>
      </c>
      <c r="I192" s="345">
        <f t="shared" ca="1" si="92"/>
        <v>2833.6866218770679</v>
      </c>
      <c r="J192" s="345">
        <f t="shared" ca="1" si="93"/>
        <v>0</v>
      </c>
      <c r="K192" s="345">
        <f t="shared" ca="1" si="104"/>
        <v>73675.852168803773</v>
      </c>
      <c r="L192" s="278"/>
      <c r="M192" s="361">
        <f t="shared" ca="1" si="105"/>
        <v>0</v>
      </c>
      <c r="N192" s="345">
        <f t="shared" si="94"/>
        <v>0</v>
      </c>
      <c r="O192" s="345">
        <f t="shared" ca="1" si="110"/>
        <v>-735335.53229455813</v>
      </c>
      <c r="P192" s="345">
        <f t="shared" ca="1" si="95"/>
        <v>-44120.131937673483</v>
      </c>
      <c r="Q192" s="345">
        <f t="shared" ca="1" si="96"/>
        <v>0</v>
      </c>
      <c r="R192" s="345">
        <f t="shared" ca="1" si="97"/>
        <v>-779455.66423223156</v>
      </c>
      <c r="T192" s="361">
        <f t="shared" ca="1" si="106"/>
        <v>0</v>
      </c>
      <c r="U192" s="345">
        <f t="shared" si="98"/>
        <v>0</v>
      </c>
      <c r="V192" s="345">
        <f t="shared" ca="1" si="99"/>
        <v>0</v>
      </c>
      <c r="W192" s="345">
        <f t="shared" si="100"/>
        <v>0</v>
      </c>
      <c r="X192" s="345">
        <f t="shared" ca="1" si="107"/>
        <v>-904026.68734534807</v>
      </c>
      <c r="Y192" s="345">
        <f t="shared" ca="1" si="101"/>
        <v>-54241.601240720884</v>
      </c>
      <c r="Z192" s="349">
        <f t="shared" ca="1" si="102"/>
        <v>-22600.667183633705</v>
      </c>
      <c r="AA192" s="270"/>
      <c r="AB192" s="270"/>
      <c r="AC192" s="270"/>
      <c r="AD192" s="270"/>
      <c r="AE192" s="270"/>
      <c r="AF192" s="270"/>
      <c r="AG192" s="323"/>
      <c r="AH192" s="323"/>
      <c r="AI192" s="323"/>
      <c r="AJ192" s="323"/>
      <c r="AK192" s="363">
        <f t="shared" ref="AK192:AK237" ca="1" si="111">$AL$4*IF(Y111&gt;=20000,Y111-20000,0)</f>
        <v>0</v>
      </c>
      <c r="AL192" s="345">
        <f t="shared" ref="AL192:AL237" ca="1" si="112">Y111+Z111+AK192</f>
        <v>-984330.92076328339</v>
      </c>
    </row>
    <row r="193" spans="2:38" ht="53" customHeight="1" x14ac:dyDescent="0.35">
      <c r="B193" s="344">
        <f t="shared" si="108"/>
        <v>85</v>
      </c>
      <c r="C193" s="345">
        <f t="shared" si="103"/>
        <v>0</v>
      </c>
      <c r="D193" s="345">
        <f t="shared" si="89"/>
        <v>1935</v>
      </c>
      <c r="E193" s="345">
        <f t="shared" si="90"/>
        <v>900</v>
      </c>
      <c r="F193" s="345"/>
      <c r="G193" s="345">
        <f t="shared" si="91"/>
        <v>0</v>
      </c>
      <c r="H193" s="345">
        <f t="shared" ca="1" si="109"/>
        <v>70840.852168803773</v>
      </c>
      <c r="I193" s="345">
        <f t="shared" ca="1" si="92"/>
        <v>2833.6340867521508</v>
      </c>
      <c r="J193" s="345">
        <f t="shared" ca="1" si="93"/>
        <v>0</v>
      </c>
      <c r="K193" s="345">
        <f t="shared" ca="1" si="104"/>
        <v>73674.486255555923</v>
      </c>
      <c r="L193" s="278"/>
      <c r="M193" s="361">
        <f t="shared" ca="1" si="105"/>
        <v>0</v>
      </c>
      <c r="N193" s="345">
        <f t="shared" si="94"/>
        <v>0</v>
      </c>
      <c r="O193" s="345">
        <f t="shared" ca="1" si="110"/>
        <v>-779455.66423223156</v>
      </c>
      <c r="P193" s="345">
        <f t="shared" ca="1" si="95"/>
        <v>-46767.339853933889</v>
      </c>
      <c r="Q193" s="345">
        <f t="shared" ca="1" si="96"/>
        <v>0</v>
      </c>
      <c r="R193" s="345">
        <f t="shared" ca="1" si="97"/>
        <v>-826223.00408616546</v>
      </c>
      <c r="T193" s="361">
        <f t="shared" ca="1" si="106"/>
        <v>0</v>
      </c>
      <c r="U193" s="345">
        <f t="shared" si="98"/>
        <v>0</v>
      </c>
      <c r="V193" s="345">
        <f t="shared" ca="1" si="99"/>
        <v>0</v>
      </c>
      <c r="W193" s="345">
        <f t="shared" si="100"/>
        <v>0</v>
      </c>
      <c r="X193" s="345">
        <f t="shared" ca="1" si="107"/>
        <v>-980868.95576970256</v>
      </c>
      <c r="Y193" s="345">
        <f t="shared" ca="1" si="101"/>
        <v>-58852.137346182149</v>
      </c>
      <c r="Z193" s="349">
        <f t="shared" ca="1" si="102"/>
        <v>-24521.723894242565</v>
      </c>
      <c r="AA193" s="270"/>
      <c r="AB193" s="270"/>
      <c r="AC193" s="270"/>
      <c r="AD193" s="270"/>
      <c r="AE193" s="270"/>
      <c r="AF193" s="270"/>
      <c r="AG193" s="323"/>
      <c r="AH193" s="323"/>
      <c r="AI193" s="323"/>
      <c r="AJ193" s="323"/>
      <c r="AK193" s="363">
        <f t="shared" ca="1" si="111"/>
        <v>0</v>
      </c>
      <c r="AL193" s="345">
        <f t="shared" ca="1" si="112"/>
        <v>-1036917.0498280884</v>
      </c>
    </row>
    <row r="194" spans="2:38" ht="53" customHeight="1" x14ac:dyDescent="0.35">
      <c r="B194" s="344">
        <f t="shared" si="108"/>
        <v>86</v>
      </c>
      <c r="C194" s="345">
        <f t="shared" si="103"/>
        <v>0</v>
      </c>
      <c r="D194" s="345">
        <f t="shared" si="89"/>
        <v>2025</v>
      </c>
      <c r="E194" s="345">
        <f t="shared" si="90"/>
        <v>900</v>
      </c>
      <c r="F194" s="345"/>
      <c r="G194" s="345">
        <f t="shared" si="91"/>
        <v>0</v>
      </c>
      <c r="H194" s="345">
        <f t="shared" ca="1" si="109"/>
        <v>70749.486255555923</v>
      </c>
      <c r="I194" s="345">
        <f t="shared" ca="1" si="92"/>
        <v>2829.9794502222371</v>
      </c>
      <c r="J194" s="345">
        <f t="shared" ca="1" si="93"/>
        <v>0</v>
      </c>
      <c r="K194" s="345">
        <f t="shared" ca="1" si="104"/>
        <v>73579.465705778159</v>
      </c>
      <c r="L194" s="278"/>
      <c r="M194" s="361">
        <f t="shared" ca="1" si="105"/>
        <v>0</v>
      </c>
      <c r="N194" s="345">
        <f t="shared" si="94"/>
        <v>0</v>
      </c>
      <c r="O194" s="345">
        <f t="shared" ca="1" si="110"/>
        <v>-826223.00408616546</v>
      </c>
      <c r="P194" s="345">
        <f t="shared" ca="1" si="95"/>
        <v>-49573.380245169923</v>
      </c>
      <c r="Q194" s="345">
        <f t="shared" ca="1" si="96"/>
        <v>0</v>
      </c>
      <c r="R194" s="345">
        <f t="shared" ca="1" si="97"/>
        <v>-875796.38433133543</v>
      </c>
      <c r="T194" s="361">
        <f t="shared" ca="1" si="106"/>
        <v>0</v>
      </c>
      <c r="U194" s="345">
        <f t="shared" si="98"/>
        <v>0</v>
      </c>
      <c r="V194" s="345">
        <f t="shared" ca="1" si="99"/>
        <v>0</v>
      </c>
      <c r="W194" s="345">
        <f t="shared" si="100"/>
        <v>0</v>
      </c>
      <c r="X194" s="345">
        <f t="shared" ca="1" si="107"/>
        <v>-1064242.8170101272</v>
      </c>
      <c r="Y194" s="345">
        <f t="shared" ca="1" si="101"/>
        <v>-63854.569020607632</v>
      </c>
      <c r="Z194" s="349">
        <f t="shared" ca="1" si="102"/>
        <v>-26606.070425253183</v>
      </c>
      <c r="AA194" s="270"/>
      <c r="AB194" s="270"/>
      <c r="AC194" s="270"/>
      <c r="AD194" s="270"/>
      <c r="AE194" s="270"/>
      <c r="AF194" s="270"/>
      <c r="AG194" s="323"/>
      <c r="AH194" s="323"/>
      <c r="AI194" s="323"/>
      <c r="AJ194" s="323"/>
      <c r="AK194" s="363">
        <f t="shared" ca="1" si="111"/>
        <v>0</v>
      </c>
      <c r="AL194" s="345">
        <f t="shared" ca="1" si="112"/>
        <v>-1085197.5308548221</v>
      </c>
    </row>
    <row r="195" spans="2:38" ht="53" customHeight="1" x14ac:dyDescent="0.35">
      <c r="B195" s="344">
        <f t="shared" si="108"/>
        <v>87</v>
      </c>
      <c r="C195" s="345">
        <f t="shared" si="103"/>
        <v>0</v>
      </c>
      <c r="D195" s="345">
        <f t="shared" si="89"/>
        <v>2025</v>
      </c>
      <c r="E195" s="345">
        <f t="shared" si="90"/>
        <v>900</v>
      </c>
      <c r="F195" s="345"/>
      <c r="G195" s="345">
        <f t="shared" si="91"/>
        <v>0</v>
      </c>
      <c r="H195" s="345">
        <f t="shared" ca="1" si="109"/>
        <v>70654.465705778159</v>
      </c>
      <c r="I195" s="345">
        <f t="shared" ca="1" si="92"/>
        <v>2826.1786282311264</v>
      </c>
      <c r="J195" s="345">
        <f t="shared" ca="1" si="93"/>
        <v>0</v>
      </c>
      <c r="K195" s="345">
        <f t="shared" ca="1" si="104"/>
        <v>73480.644334009281</v>
      </c>
      <c r="L195" s="278"/>
      <c r="M195" s="361">
        <f t="shared" ca="1" si="105"/>
        <v>0</v>
      </c>
      <c r="N195" s="345">
        <f t="shared" si="94"/>
        <v>0</v>
      </c>
      <c r="O195" s="345">
        <f t="shared" ca="1" si="110"/>
        <v>-875796.38433133543</v>
      </c>
      <c r="P195" s="345">
        <f t="shared" ca="1" si="95"/>
        <v>-52547.783059880123</v>
      </c>
      <c r="Q195" s="345">
        <f t="shared" ca="1" si="96"/>
        <v>0</v>
      </c>
      <c r="R195" s="345">
        <f t="shared" ca="1" si="97"/>
        <v>-928344.16739121557</v>
      </c>
      <c r="T195" s="361">
        <f t="shared" ca="1" si="106"/>
        <v>0</v>
      </c>
      <c r="U195" s="345">
        <f t="shared" si="98"/>
        <v>0</v>
      </c>
      <c r="V195" s="345">
        <f t="shared" ca="1" si="99"/>
        <v>0</v>
      </c>
      <c r="W195" s="345">
        <f t="shared" si="100"/>
        <v>0</v>
      </c>
      <c r="X195" s="345">
        <f t="shared" ca="1" si="107"/>
        <v>-1154703.4564559881</v>
      </c>
      <c r="Y195" s="345">
        <f t="shared" ca="1" si="101"/>
        <v>-69282.207387359289</v>
      </c>
      <c r="Z195" s="349">
        <f t="shared" ca="1" si="102"/>
        <v>-28867.586411399705</v>
      </c>
      <c r="AA195" s="270"/>
      <c r="AB195" s="270"/>
      <c r="AC195" s="270"/>
      <c r="AD195" s="270"/>
      <c r="AE195" s="270"/>
      <c r="AF195" s="270"/>
      <c r="AG195" s="323"/>
      <c r="AH195" s="323"/>
      <c r="AI195" s="323"/>
      <c r="AJ195" s="323"/>
      <c r="AK195" s="363">
        <f t="shared" ca="1" si="111"/>
        <v>0</v>
      </c>
      <c r="AL195" s="345">
        <f t="shared" ca="1" si="112"/>
        <v>-1136379.4887255416</v>
      </c>
    </row>
    <row r="196" spans="2:38" ht="53" customHeight="1" x14ac:dyDescent="0.35">
      <c r="B196" s="344">
        <f t="shared" si="108"/>
        <v>88</v>
      </c>
      <c r="C196" s="345">
        <f t="shared" si="103"/>
        <v>0</v>
      </c>
      <c r="D196" s="345">
        <f t="shared" si="89"/>
        <v>2025</v>
      </c>
      <c r="E196" s="345">
        <f t="shared" si="90"/>
        <v>900</v>
      </c>
      <c r="F196" s="345"/>
      <c r="G196" s="345">
        <f t="shared" si="91"/>
        <v>0</v>
      </c>
      <c r="H196" s="345">
        <f t="shared" ca="1" si="109"/>
        <v>70555.644334009281</v>
      </c>
      <c r="I196" s="345">
        <f t="shared" ca="1" si="92"/>
        <v>2822.2257733603715</v>
      </c>
      <c r="J196" s="345">
        <f t="shared" ca="1" si="93"/>
        <v>0</v>
      </c>
      <c r="K196" s="345">
        <f t="shared" ca="1" si="104"/>
        <v>73377.870107369657</v>
      </c>
      <c r="L196" s="278"/>
      <c r="M196" s="361">
        <f t="shared" ca="1" si="105"/>
        <v>0</v>
      </c>
      <c r="N196" s="345">
        <f t="shared" si="94"/>
        <v>0</v>
      </c>
      <c r="O196" s="345">
        <f t="shared" ca="1" si="110"/>
        <v>-928344.16739121557</v>
      </c>
      <c r="P196" s="345">
        <f t="shared" ca="1" si="95"/>
        <v>-55700.650043472931</v>
      </c>
      <c r="Q196" s="345">
        <f t="shared" ca="1" si="96"/>
        <v>0</v>
      </c>
      <c r="R196" s="345">
        <f t="shared" ca="1" si="97"/>
        <v>-984044.81743468845</v>
      </c>
      <c r="T196" s="361">
        <f t="shared" ca="1" si="106"/>
        <v>0</v>
      </c>
      <c r="U196" s="345">
        <f t="shared" si="98"/>
        <v>0</v>
      </c>
      <c r="V196" s="345">
        <f t="shared" ca="1" si="99"/>
        <v>0</v>
      </c>
      <c r="W196" s="345">
        <f t="shared" si="100"/>
        <v>0</v>
      </c>
      <c r="X196" s="345">
        <f t="shared" ca="1" si="107"/>
        <v>-1252853.2502547472</v>
      </c>
      <c r="Y196" s="345">
        <f t="shared" ca="1" si="101"/>
        <v>-75171.195015284829</v>
      </c>
      <c r="Z196" s="349">
        <f t="shared" ca="1" si="102"/>
        <v>-31321.331256368681</v>
      </c>
      <c r="AA196" s="270"/>
      <c r="AB196" s="270"/>
      <c r="AC196" s="270"/>
      <c r="AD196" s="270"/>
      <c r="AE196" s="270"/>
      <c r="AF196" s="270"/>
      <c r="AG196" s="323"/>
      <c r="AH196" s="323"/>
      <c r="AI196" s="323"/>
      <c r="AJ196" s="323"/>
      <c r="AK196" s="363">
        <f t="shared" ca="1" si="111"/>
        <v>0</v>
      </c>
      <c r="AL196" s="345">
        <f t="shared" ca="1" si="112"/>
        <v>-1190637.0596648175</v>
      </c>
    </row>
    <row r="197" spans="2:38" ht="53" customHeight="1" x14ac:dyDescent="0.35">
      <c r="B197" s="344">
        <f t="shared" si="108"/>
        <v>89</v>
      </c>
      <c r="C197" s="345">
        <f t="shared" si="103"/>
        <v>0</v>
      </c>
      <c r="D197" s="345">
        <f t="shared" si="89"/>
        <v>2025</v>
      </c>
      <c r="E197" s="345">
        <f t="shared" si="90"/>
        <v>900</v>
      </c>
      <c r="F197" s="345"/>
      <c r="G197" s="345">
        <f t="shared" si="91"/>
        <v>0</v>
      </c>
      <c r="H197" s="345">
        <f t="shared" ca="1" si="109"/>
        <v>70452.870107369657</v>
      </c>
      <c r="I197" s="345">
        <f t="shared" ca="1" si="92"/>
        <v>2818.1148042947862</v>
      </c>
      <c r="J197" s="345">
        <f t="shared" ca="1" si="93"/>
        <v>0</v>
      </c>
      <c r="K197" s="345">
        <f t="shared" ca="1" si="104"/>
        <v>73270.984911664447</v>
      </c>
      <c r="L197" s="278"/>
      <c r="M197" s="361">
        <f t="shared" ca="1" si="105"/>
        <v>0</v>
      </c>
      <c r="N197" s="345">
        <f t="shared" si="94"/>
        <v>0</v>
      </c>
      <c r="O197" s="345">
        <f t="shared" ca="1" si="110"/>
        <v>-984044.81743468845</v>
      </c>
      <c r="P197" s="345">
        <f t="shared" ca="1" si="95"/>
        <v>-59042.689046081301</v>
      </c>
      <c r="Q197" s="345">
        <f t="shared" ca="1" si="96"/>
        <v>0</v>
      </c>
      <c r="R197" s="345">
        <f t="shared" ca="1" si="97"/>
        <v>-1043087.5064807697</v>
      </c>
      <c r="T197" s="361">
        <f t="shared" ca="1" si="106"/>
        <v>0</v>
      </c>
      <c r="U197" s="345">
        <f t="shared" si="98"/>
        <v>0</v>
      </c>
      <c r="V197" s="345">
        <f t="shared" ca="1" si="99"/>
        <v>0</v>
      </c>
      <c r="W197" s="345">
        <f t="shared" si="100"/>
        <v>0</v>
      </c>
      <c r="X197" s="345">
        <f t="shared" ca="1" si="107"/>
        <v>-1359345.7765264008</v>
      </c>
      <c r="Y197" s="345">
        <f t="shared" ca="1" si="101"/>
        <v>-81560.746591584044</v>
      </c>
      <c r="Z197" s="349">
        <f t="shared" ca="1" si="102"/>
        <v>-33983.644413160022</v>
      </c>
      <c r="AA197" s="270"/>
      <c r="AB197" s="270"/>
      <c r="AC197" s="270"/>
      <c r="AD197" s="270"/>
      <c r="AE197" s="270"/>
      <c r="AF197" s="270"/>
      <c r="AG197" s="323"/>
      <c r="AH197" s="323"/>
      <c r="AI197" s="323"/>
      <c r="AJ197" s="323"/>
      <c r="AK197" s="363">
        <f t="shared" ca="1" si="111"/>
        <v>0</v>
      </c>
      <c r="AL197" s="345">
        <f t="shared" ca="1" si="112"/>
        <v>-1248154.828558452</v>
      </c>
    </row>
    <row r="198" spans="2:38" ht="53" customHeight="1" x14ac:dyDescent="0.35">
      <c r="B198" s="344">
        <f t="shared" si="108"/>
        <v>90</v>
      </c>
      <c r="C198" s="345">
        <f t="shared" si="103"/>
        <v>0</v>
      </c>
      <c r="D198" s="345">
        <f t="shared" si="89"/>
        <v>2025</v>
      </c>
      <c r="E198" s="345">
        <f t="shared" si="90"/>
        <v>900</v>
      </c>
      <c r="F198" s="345"/>
      <c r="G198" s="345">
        <f t="shared" si="91"/>
        <v>0</v>
      </c>
      <c r="H198" s="345">
        <f t="shared" ca="1" si="109"/>
        <v>70345.984911664447</v>
      </c>
      <c r="I198" s="345">
        <f t="shared" ca="1" si="92"/>
        <v>2813.8393964665779</v>
      </c>
      <c r="J198" s="345">
        <f t="shared" ca="1" si="93"/>
        <v>0</v>
      </c>
      <c r="K198" s="345">
        <f t="shared" ca="1" si="104"/>
        <v>73159.824308131021</v>
      </c>
      <c r="L198" s="278"/>
      <c r="M198" s="361">
        <f t="shared" ca="1" si="105"/>
        <v>0</v>
      </c>
      <c r="N198" s="345">
        <f t="shared" si="94"/>
        <v>0</v>
      </c>
      <c r="O198" s="345">
        <f t="shared" ca="1" si="110"/>
        <v>-1043087.5064807697</v>
      </c>
      <c r="P198" s="345">
        <f t="shared" ca="1" si="95"/>
        <v>-62585.25038884618</v>
      </c>
      <c r="Q198" s="345">
        <f t="shared" ca="1" si="96"/>
        <v>0</v>
      </c>
      <c r="R198" s="345">
        <f t="shared" ca="1" si="97"/>
        <v>-1105672.756869616</v>
      </c>
      <c r="T198" s="361">
        <f t="shared" ca="1" si="106"/>
        <v>0</v>
      </c>
      <c r="U198" s="345">
        <f t="shared" si="98"/>
        <v>0</v>
      </c>
      <c r="V198" s="345">
        <f t="shared" ca="1" si="99"/>
        <v>0</v>
      </c>
      <c r="W198" s="345">
        <f t="shared" si="100"/>
        <v>0</v>
      </c>
      <c r="X198" s="345">
        <f t="shared" ca="1" si="107"/>
        <v>-1474890.1675311448</v>
      </c>
      <c r="Y198" s="345">
        <f t="shared" ca="1" si="101"/>
        <v>-88493.41005186869</v>
      </c>
      <c r="Z198" s="349">
        <f t="shared" ca="1" si="102"/>
        <v>-36872.254188278624</v>
      </c>
      <c r="AA198" s="270"/>
      <c r="AB198" s="270"/>
      <c r="AC198" s="270"/>
      <c r="AD198" s="270"/>
      <c r="AE198" s="270"/>
      <c r="AF198" s="270"/>
      <c r="AG198" s="323"/>
      <c r="AH198" s="323"/>
      <c r="AI198" s="323"/>
      <c r="AJ198" s="323"/>
      <c r="AK198" s="363">
        <f t="shared" ca="1" si="111"/>
        <v>0</v>
      </c>
      <c r="AL198" s="346">
        <f t="shared" ca="1" si="112"/>
        <v>-1313294.1405331888</v>
      </c>
    </row>
    <row r="199" spans="2:38" ht="53" customHeight="1" x14ac:dyDescent="0.35">
      <c r="B199" s="344">
        <f t="shared" si="108"/>
        <v>91</v>
      </c>
      <c r="C199" s="345">
        <f t="shared" si="103"/>
        <v>0</v>
      </c>
      <c r="D199" s="345">
        <f t="shared" si="89"/>
        <v>2055</v>
      </c>
      <c r="E199" s="345">
        <f t="shared" si="90"/>
        <v>900</v>
      </c>
      <c r="F199" s="345"/>
      <c r="G199" s="345">
        <f t="shared" si="91"/>
        <v>0</v>
      </c>
      <c r="H199" s="345">
        <f t="shared" ca="1" si="109"/>
        <v>70204.824308131021</v>
      </c>
      <c r="I199" s="345">
        <f t="shared" ca="1" si="92"/>
        <v>2808.192972325241</v>
      </c>
      <c r="J199" s="345">
        <f t="shared" ca="1" si="93"/>
        <v>0</v>
      </c>
      <c r="K199" s="345">
        <f t="shared" ca="1" si="104"/>
        <v>73013.017280456261</v>
      </c>
      <c r="L199" s="278"/>
      <c r="M199" s="361">
        <f t="shared" ca="1" si="105"/>
        <v>0</v>
      </c>
      <c r="N199" s="345">
        <f t="shared" si="94"/>
        <v>0</v>
      </c>
      <c r="O199" s="345">
        <f t="shared" ca="1" si="110"/>
        <v>-1105672.756869616</v>
      </c>
      <c r="P199" s="345">
        <f t="shared" ca="1" si="95"/>
        <v>-66340.36541217695</v>
      </c>
      <c r="Q199" s="345">
        <f t="shared" ca="1" si="96"/>
        <v>0</v>
      </c>
      <c r="R199" s="345">
        <f t="shared" ca="1" si="97"/>
        <v>-1172013.122281793</v>
      </c>
      <c r="T199" s="361">
        <f t="shared" ca="1" si="106"/>
        <v>0</v>
      </c>
      <c r="U199" s="345">
        <f t="shared" si="98"/>
        <v>0</v>
      </c>
      <c r="V199" s="345">
        <f t="shared" ca="1" si="99"/>
        <v>0</v>
      </c>
      <c r="W199" s="345">
        <f t="shared" si="100"/>
        <v>0</v>
      </c>
      <c r="X199" s="345">
        <f t="shared" ca="1" si="107"/>
        <v>-1600255.8317712923</v>
      </c>
      <c r="Y199" s="345">
        <f t="shared" ca="1" si="101"/>
        <v>-96015.349906277537</v>
      </c>
      <c r="Z199" s="349">
        <f t="shared" ca="1" si="102"/>
        <v>-40006.395794282311</v>
      </c>
      <c r="AA199" s="270"/>
      <c r="AB199" s="270"/>
      <c r="AC199" s="270"/>
      <c r="AD199" s="270"/>
      <c r="AE199" s="270"/>
      <c r="AF199" s="270"/>
      <c r="AG199" s="323"/>
      <c r="AH199" s="323"/>
      <c r="AI199" s="323"/>
      <c r="AJ199" s="323"/>
      <c r="AK199" s="363">
        <f t="shared" ca="1" si="111"/>
        <v>0</v>
      </c>
      <c r="AL199" s="345">
        <f t="shared" ca="1" si="112"/>
        <v>-1382346.6526110978</v>
      </c>
    </row>
    <row r="200" spans="2:38" ht="53" customHeight="1" x14ac:dyDescent="0.35">
      <c r="B200" s="344">
        <f t="shared" si="108"/>
        <v>92</v>
      </c>
      <c r="C200" s="345">
        <f t="shared" si="103"/>
        <v>0</v>
      </c>
      <c r="D200" s="345">
        <f t="shared" si="89"/>
        <v>2055</v>
      </c>
      <c r="E200" s="345">
        <f t="shared" si="90"/>
        <v>900</v>
      </c>
      <c r="F200" s="345"/>
      <c r="G200" s="345">
        <f t="shared" si="91"/>
        <v>0</v>
      </c>
      <c r="H200" s="345">
        <f t="shared" ca="1" si="109"/>
        <v>70058.017280456261</v>
      </c>
      <c r="I200" s="345">
        <f t="shared" ca="1" si="92"/>
        <v>2802.3206912182504</v>
      </c>
      <c r="J200" s="345">
        <f t="shared" ca="1" si="93"/>
        <v>0</v>
      </c>
      <c r="K200" s="345">
        <f t="shared" ca="1" si="104"/>
        <v>72860.337971674511</v>
      </c>
      <c r="L200" s="278"/>
      <c r="M200" s="361">
        <f t="shared" ca="1" si="105"/>
        <v>0</v>
      </c>
      <c r="N200" s="345">
        <f t="shared" si="94"/>
        <v>0</v>
      </c>
      <c r="O200" s="345">
        <f t="shared" ca="1" si="110"/>
        <v>-1172013.122281793</v>
      </c>
      <c r="P200" s="345">
        <f t="shared" ca="1" si="95"/>
        <v>-70320.787336907582</v>
      </c>
      <c r="Q200" s="345">
        <f t="shared" ca="1" si="96"/>
        <v>0</v>
      </c>
      <c r="R200" s="345">
        <f t="shared" ca="1" si="97"/>
        <v>-1242333.9096187006</v>
      </c>
      <c r="T200" s="361">
        <f t="shared" ca="1" si="106"/>
        <v>0</v>
      </c>
      <c r="U200" s="345">
        <f t="shared" si="98"/>
        <v>0</v>
      </c>
      <c r="V200" s="345">
        <f t="shared" ca="1" si="99"/>
        <v>0</v>
      </c>
      <c r="W200" s="345">
        <f t="shared" si="100"/>
        <v>0</v>
      </c>
      <c r="X200" s="345">
        <f t="shared" ca="1" si="107"/>
        <v>-1736277.5774718521</v>
      </c>
      <c r="Y200" s="345">
        <f t="shared" ca="1" si="101"/>
        <v>-104176.65464831112</v>
      </c>
      <c r="Z200" s="349">
        <f t="shared" ca="1" si="102"/>
        <v>-43406.939436796303</v>
      </c>
      <c r="AA200" s="270"/>
      <c r="AB200" s="270"/>
      <c r="AC200" s="270"/>
      <c r="AD200" s="270"/>
      <c r="AE200" s="270"/>
      <c r="AF200" s="270"/>
      <c r="AG200" s="323"/>
      <c r="AH200" s="323"/>
      <c r="AI200" s="323"/>
      <c r="AJ200" s="323"/>
      <c r="AK200" s="363">
        <f t="shared" ca="1" si="111"/>
        <v>0</v>
      </c>
      <c r="AL200" s="345">
        <f t="shared" ca="1" si="112"/>
        <v>-1455547.2063935141</v>
      </c>
    </row>
    <row r="201" spans="2:38" ht="53" customHeight="1" x14ac:dyDescent="0.35">
      <c r="B201" s="344">
        <f t="shared" si="108"/>
        <v>93</v>
      </c>
      <c r="C201" s="345">
        <f t="shared" si="103"/>
        <v>0</v>
      </c>
      <c r="D201" s="345">
        <f t="shared" si="89"/>
        <v>2055</v>
      </c>
      <c r="E201" s="345">
        <f t="shared" si="90"/>
        <v>900</v>
      </c>
      <c r="F201" s="345"/>
      <c r="G201" s="345">
        <f t="shared" si="91"/>
        <v>0</v>
      </c>
      <c r="H201" s="345">
        <f t="shared" ca="1" si="109"/>
        <v>69905.337971674511</v>
      </c>
      <c r="I201" s="345">
        <f t="shared" ca="1" si="92"/>
        <v>2796.2135188669804</v>
      </c>
      <c r="J201" s="345">
        <f t="shared" ca="1" si="93"/>
        <v>0</v>
      </c>
      <c r="K201" s="345">
        <f t="shared" ca="1" si="104"/>
        <v>72701.551490541489</v>
      </c>
      <c r="L201" s="278"/>
      <c r="M201" s="361">
        <f t="shared" ca="1" si="105"/>
        <v>0</v>
      </c>
      <c r="N201" s="345">
        <f t="shared" si="94"/>
        <v>0</v>
      </c>
      <c r="O201" s="345">
        <f t="shared" ca="1" si="110"/>
        <v>-1242333.9096187006</v>
      </c>
      <c r="P201" s="345">
        <f t="shared" ca="1" si="95"/>
        <v>-74540.034577122031</v>
      </c>
      <c r="Q201" s="345">
        <f t="shared" ca="1" si="96"/>
        <v>0</v>
      </c>
      <c r="R201" s="345">
        <f t="shared" ca="1" si="97"/>
        <v>-1316873.9441958226</v>
      </c>
      <c r="T201" s="361">
        <f t="shared" ca="1" si="106"/>
        <v>0</v>
      </c>
      <c r="U201" s="345">
        <f t="shared" si="98"/>
        <v>0</v>
      </c>
      <c r="V201" s="345">
        <f t="shared" ca="1" si="99"/>
        <v>0</v>
      </c>
      <c r="W201" s="345">
        <f t="shared" si="100"/>
        <v>0</v>
      </c>
      <c r="X201" s="345">
        <f t="shared" ca="1" si="107"/>
        <v>-1883861.1715569596</v>
      </c>
      <c r="Y201" s="345">
        <f t="shared" ca="1" si="101"/>
        <v>-113031.67029341757</v>
      </c>
      <c r="Z201" s="349">
        <f t="shared" ca="1" si="102"/>
        <v>-47096.529288923994</v>
      </c>
      <c r="AA201" s="270"/>
      <c r="AB201" s="270"/>
      <c r="AC201" s="270"/>
      <c r="AD201" s="270"/>
      <c r="AE201" s="270"/>
      <c r="AF201" s="270"/>
      <c r="AG201" s="323"/>
      <c r="AH201" s="323"/>
      <c r="AI201" s="323"/>
      <c r="AJ201" s="323"/>
      <c r="AK201" s="363">
        <f t="shared" ca="1" si="111"/>
        <v>0</v>
      </c>
      <c r="AL201" s="345">
        <f t="shared" ca="1" si="112"/>
        <v>-1533144.7344859059</v>
      </c>
    </row>
    <row r="202" spans="2:38" ht="53" customHeight="1" x14ac:dyDescent="0.35">
      <c r="B202" s="344">
        <f t="shared" si="108"/>
        <v>94</v>
      </c>
      <c r="C202" s="345">
        <f t="shared" si="103"/>
        <v>0</v>
      </c>
      <c r="D202" s="345">
        <f t="shared" si="89"/>
        <v>2055</v>
      </c>
      <c r="E202" s="345">
        <f t="shared" si="90"/>
        <v>900</v>
      </c>
      <c r="F202" s="345"/>
      <c r="G202" s="345">
        <f t="shared" si="91"/>
        <v>0</v>
      </c>
      <c r="H202" s="345">
        <f t="shared" ca="1" si="109"/>
        <v>69746.551490541489</v>
      </c>
      <c r="I202" s="345">
        <f t="shared" ca="1" si="92"/>
        <v>2789.8620596216597</v>
      </c>
      <c r="J202" s="345">
        <f t="shared" ca="1" si="93"/>
        <v>0</v>
      </c>
      <c r="K202" s="345">
        <f t="shared" ca="1" si="104"/>
        <v>72536.413550163154</v>
      </c>
      <c r="L202" s="248"/>
      <c r="M202" s="361">
        <f t="shared" ca="1" si="105"/>
        <v>0</v>
      </c>
      <c r="N202" s="345">
        <f t="shared" si="94"/>
        <v>0</v>
      </c>
      <c r="O202" s="345">
        <f t="shared" ca="1" si="110"/>
        <v>-1316873.9441958226</v>
      </c>
      <c r="P202" s="345">
        <f t="shared" ca="1" si="95"/>
        <v>-79012.436651749347</v>
      </c>
      <c r="Q202" s="345">
        <f t="shared" ca="1" si="96"/>
        <v>0</v>
      </c>
      <c r="R202" s="345">
        <f t="shared" ca="1" si="97"/>
        <v>-1395886.3808475719</v>
      </c>
      <c r="T202" s="361">
        <f t="shared" ca="1" si="106"/>
        <v>0</v>
      </c>
      <c r="U202" s="345">
        <f t="shared" si="98"/>
        <v>0</v>
      </c>
      <c r="V202" s="345">
        <f t="shared" ca="1" si="99"/>
        <v>0</v>
      </c>
      <c r="W202" s="345">
        <f t="shared" si="100"/>
        <v>0</v>
      </c>
      <c r="X202" s="345">
        <f t="shared" ca="1" si="107"/>
        <v>-2043989.3711393012</v>
      </c>
      <c r="Y202" s="345">
        <f t="shared" ca="1" si="101"/>
        <v>-122639.36226835806</v>
      </c>
      <c r="Z202" s="349">
        <f t="shared" ca="1" si="102"/>
        <v>-51099.73427848253</v>
      </c>
      <c r="AA202" s="270"/>
      <c r="AB202" s="270"/>
      <c r="AC202" s="270"/>
      <c r="AD202" s="270"/>
      <c r="AE202" s="270"/>
      <c r="AF202" s="270"/>
      <c r="AG202" s="323"/>
      <c r="AH202" s="323"/>
      <c r="AI202" s="323"/>
      <c r="AJ202" s="323"/>
      <c r="AK202" s="363">
        <f t="shared" ca="1" si="111"/>
        <v>0</v>
      </c>
      <c r="AL202" s="345">
        <f t="shared" ca="1" si="112"/>
        <v>-1625187.6985634859</v>
      </c>
    </row>
    <row r="203" spans="2:38" ht="53" customHeight="1" x14ac:dyDescent="0.35">
      <c r="B203" s="344">
        <f t="shared" si="108"/>
        <v>95</v>
      </c>
      <c r="C203" s="345">
        <f t="shared" si="103"/>
        <v>0</v>
      </c>
      <c r="D203" s="345">
        <f t="shared" si="89"/>
        <v>2055</v>
      </c>
      <c r="E203" s="345">
        <f t="shared" si="90"/>
        <v>900</v>
      </c>
      <c r="F203" s="345"/>
      <c r="G203" s="345">
        <f t="shared" si="91"/>
        <v>0</v>
      </c>
      <c r="H203" s="345">
        <f t="shared" ca="1" si="109"/>
        <v>69581.413550163154</v>
      </c>
      <c r="I203" s="345">
        <f t="shared" ca="1" si="92"/>
        <v>2783.2565420065262</v>
      </c>
      <c r="J203" s="345">
        <f t="shared" ca="1" si="93"/>
        <v>0</v>
      </c>
      <c r="K203" s="345">
        <f t="shared" ca="1" si="104"/>
        <v>72364.670092169676</v>
      </c>
      <c r="L203" s="248"/>
      <c r="M203" s="361">
        <f t="shared" ca="1" si="105"/>
        <v>0</v>
      </c>
      <c r="N203" s="345">
        <f t="shared" si="94"/>
        <v>0</v>
      </c>
      <c r="O203" s="345">
        <f t="shared" ca="1" si="110"/>
        <v>-1395886.3808475719</v>
      </c>
      <c r="P203" s="345">
        <f t="shared" ca="1" si="95"/>
        <v>-83753.182850854311</v>
      </c>
      <c r="Q203" s="345">
        <f t="shared" ca="1" si="96"/>
        <v>0</v>
      </c>
      <c r="R203" s="345">
        <f t="shared" ca="1" si="97"/>
        <v>-1479639.5636984261</v>
      </c>
      <c r="T203" s="361">
        <f t="shared" ca="1" si="106"/>
        <v>0</v>
      </c>
      <c r="U203" s="345">
        <f t="shared" si="98"/>
        <v>0</v>
      </c>
      <c r="V203" s="345">
        <f t="shared" ca="1" si="99"/>
        <v>0</v>
      </c>
      <c r="W203" s="345">
        <f t="shared" si="100"/>
        <v>0</v>
      </c>
      <c r="X203" s="345">
        <f t="shared" ca="1" si="107"/>
        <v>-2217728.4676861418</v>
      </c>
      <c r="Y203" s="345">
        <f t="shared" ca="1" si="101"/>
        <v>-133063.70806116849</v>
      </c>
      <c r="Z203" s="349">
        <f t="shared" ca="1" si="102"/>
        <v>-55443.211692153549</v>
      </c>
      <c r="AA203" s="270"/>
      <c r="AB203" s="270"/>
      <c r="AC203" s="270"/>
      <c r="AD203" s="270"/>
      <c r="AE203" s="270"/>
      <c r="AF203" s="270"/>
      <c r="AG203" s="323"/>
      <c r="AH203" s="323"/>
      <c r="AI203" s="323"/>
      <c r="AJ203" s="323"/>
      <c r="AK203" s="363">
        <f t="shared" ca="1" si="111"/>
        <v>0</v>
      </c>
      <c r="AL203" s="345">
        <f t="shared" ca="1" si="112"/>
        <v>-1722846.4753201748</v>
      </c>
    </row>
    <row r="204" spans="2:38" ht="53" customHeight="1" x14ac:dyDescent="0.35">
      <c r="B204" s="344">
        <f t="shared" si="108"/>
        <v>96</v>
      </c>
      <c r="C204" s="345">
        <f t="shared" si="103"/>
        <v>0</v>
      </c>
      <c r="D204" s="345">
        <f t="shared" si="89"/>
        <v>2055</v>
      </c>
      <c r="E204" s="345">
        <f t="shared" si="90"/>
        <v>900</v>
      </c>
      <c r="F204" s="345"/>
      <c r="G204" s="345">
        <f t="shared" si="91"/>
        <v>0</v>
      </c>
      <c r="H204" s="345">
        <f t="shared" ca="1" si="109"/>
        <v>69409.670092169676</v>
      </c>
      <c r="I204" s="345">
        <f t="shared" ca="1" si="92"/>
        <v>2776.3868036867871</v>
      </c>
      <c r="J204" s="345">
        <f t="shared" ca="1" si="93"/>
        <v>0</v>
      </c>
      <c r="K204" s="345">
        <f t="shared" ca="1" si="104"/>
        <v>72186.056895856469</v>
      </c>
      <c r="L204" s="248"/>
      <c r="M204" s="361">
        <f t="shared" ca="1" si="105"/>
        <v>0</v>
      </c>
      <c r="N204" s="345">
        <f t="shared" si="94"/>
        <v>0</v>
      </c>
      <c r="O204" s="345">
        <f t="shared" ca="1" si="110"/>
        <v>-1479639.5636984261</v>
      </c>
      <c r="P204" s="345">
        <f t="shared" ca="1" si="95"/>
        <v>-88778.373821905567</v>
      </c>
      <c r="Q204" s="345">
        <f t="shared" ca="1" si="96"/>
        <v>0</v>
      </c>
      <c r="R204" s="345">
        <f t="shared" ca="1" si="97"/>
        <v>-1568417.9375203317</v>
      </c>
      <c r="T204" s="361">
        <f t="shared" ca="1" si="106"/>
        <v>0</v>
      </c>
      <c r="U204" s="345">
        <f t="shared" si="98"/>
        <v>0</v>
      </c>
      <c r="V204" s="345">
        <f t="shared" ca="1" si="99"/>
        <v>0</v>
      </c>
      <c r="W204" s="345">
        <f t="shared" si="100"/>
        <v>0</v>
      </c>
      <c r="X204" s="345">
        <f t="shared" ca="1" si="107"/>
        <v>-2406235.3874394638</v>
      </c>
      <c r="Y204" s="345">
        <f t="shared" ca="1" si="101"/>
        <v>-144374.12324636782</v>
      </c>
      <c r="Z204" s="349">
        <f t="shared" ca="1" si="102"/>
        <v>-60155.884685986595</v>
      </c>
      <c r="AA204" s="270"/>
      <c r="AB204" s="270"/>
      <c r="AC204" s="270"/>
      <c r="AD204" s="270"/>
      <c r="AE204" s="270"/>
      <c r="AF204" s="270"/>
      <c r="AG204" s="323"/>
      <c r="AH204" s="323"/>
      <c r="AI204" s="323"/>
      <c r="AJ204" s="323"/>
      <c r="AK204" s="363">
        <f t="shared" ca="1" si="111"/>
        <v>0</v>
      </c>
      <c r="AL204" s="345">
        <f t="shared" ca="1" si="112"/>
        <v>-1825867.4638393852</v>
      </c>
    </row>
    <row r="205" spans="2:38" ht="53" customHeight="1" x14ac:dyDescent="0.35">
      <c r="B205" s="344">
        <f t="shared" si="108"/>
        <v>97</v>
      </c>
      <c r="C205" s="345">
        <f t="shared" si="103"/>
        <v>0</v>
      </c>
      <c r="D205" s="345">
        <f t="shared" si="89"/>
        <v>2055</v>
      </c>
      <c r="E205" s="345">
        <f t="shared" si="90"/>
        <v>900</v>
      </c>
      <c r="F205" s="345"/>
      <c r="G205" s="345">
        <f t="shared" si="91"/>
        <v>0</v>
      </c>
      <c r="H205" s="345">
        <f t="shared" ca="1" si="109"/>
        <v>69231.056895856469</v>
      </c>
      <c r="I205" s="345">
        <f t="shared" ca="1" si="92"/>
        <v>2769.2422758342586</v>
      </c>
      <c r="J205" s="345">
        <f t="shared" ca="1" si="93"/>
        <v>0</v>
      </c>
      <c r="K205" s="345">
        <f t="shared" ca="1" si="104"/>
        <v>72000.299171690727</v>
      </c>
      <c r="L205" s="248"/>
      <c r="M205" s="361">
        <f t="shared" ca="1" si="105"/>
        <v>0</v>
      </c>
      <c r="N205" s="345">
        <f t="shared" si="94"/>
        <v>0</v>
      </c>
      <c r="O205" s="345">
        <f t="shared" ca="1" si="110"/>
        <v>-1568417.9375203317</v>
      </c>
      <c r="P205" s="345">
        <f t="shared" ca="1" si="95"/>
        <v>-94105.0762512199</v>
      </c>
      <c r="Q205" s="345">
        <f t="shared" ca="1" si="96"/>
        <v>0</v>
      </c>
      <c r="R205" s="345">
        <f t="shared" ca="1" si="97"/>
        <v>-1662523.0137715517</v>
      </c>
      <c r="T205" s="361">
        <f t="shared" ca="1" si="106"/>
        <v>0</v>
      </c>
      <c r="U205" s="345">
        <f t="shared" si="98"/>
        <v>0</v>
      </c>
      <c r="V205" s="345">
        <f t="shared" ca="1" si="99"/>
        <v>0</v>
      </c>
      <c r="W205" s="345">
        <f t="shared" si="100"/>
        <v>0</v>
      </c>
      <c r="X205" s="345">
        <f t="shared" ca="1" si="107"/>
        <v>-2610765.3953718184</v>
      </c>
      <c r="Y205" s="345">
        <f t="shared" ca="1" si="101"/>
        <v>-156645.92372230909</v>
      </c>
      <c r="Z205" s="349">
        <f t="shared" ca="1" si="102"/>
        <v>-65269.134884295461</v>
      </c>
      <c r="AA205" s="270"/>
      <c r="AB205" s="270"/>
      <c r="AC205" s="270"/>
      <c r="AD205" s="270"/>
      <c r="AE205" s="270"/>
      <c r="AF205" s="270"/>
      <c r="AG205" s="323"/>
      <c r="AH205" s="323"/>
      <c r="AI205" s="323"/>
      <c r="AJ205" s="323"/>
      <c r="AK205" s="363">
        <f t="shared" ca="1" si="111"/>
        <v>0</v>
      </c>
      <c r="AL205" s="345">
        <f t="shared" ca="1" si="112"/>
        <v>-1935069.7116697482</v>
      </c>
    </row>
    <row r="206" spans="2:38" ht="53" customHeight="1" x14ac:dyDescent="0.35">
      <c r="B206" s="344">
        <f t="shared" si="108"/>
        <v>98</v>
      </c>
      <c r="C206" s="345">
        <f t="shared" si="103"/>
        <v>0</v>
      </c>
      <c r="D206" s="345">
        <f t="shared" si="89"/>
        <v>2055</v>
      </c>
      <c r="E206" s="345">
        <f t="shared" si="90"/>
        <v>900</v>
      </c>
      <c r="F206" s="345"/>
      <c r="G206" s="345">
        <f t="shared" si="91"/>
        <v>0</v>
      </c>
      <c r="H206" s="345">
        <f t="shared" ca="1" si="109"/>
        <v>69045.299171690727</v>
      </c>
      <c r="I206" s="345">
        <f t="shared" ca="1" si="92"/>
        <v>2761.8119668676291</v>
      </c>
      <c r="J206" s="345">
        <f t="shared" ca="1" si="93"/>
        <v>0</v>
      </c>
      <c r="K206" s="345">
        <f t="shared" ca="1" si="104"/>
        <v>71807.11113855835</v>
      </c>
      <c r="L206" s="324"/>
      <c r="M206" s="361">
        <f t="shared" ca="1" si="105"/>
        <v>0</v>
      </c>
      <c r="N206" s="345">
        <f t="shared" si="94"/>
        <v>0</v>
      </c>
      <c r="O206" s="345">
        <f t="shared" ca="1" si="110"/>
        <v>-1662523.0137715517</v>
      </c>
      <c r="P206" s="345">
        <f t="shared" ca="1" si="95"/>
        <v>-99751.380826293098</v>
      </c>
      <c r="Q206" s="345">
        <f t="shared" ca="1" si="96"/>
        <v>0</v>
      </c>
      <c r="R206" s="345">
        <f t="shared" ca="1" si="97"/>
        <v>-1762274.3945978447</v>
      </c>
      <c r="T206" s="361">
        <f t="shared" ca="1" si="106"/>
        <v>0</v>
      </c>
      <c r="U206" s="345">
        <f t="shared" si="98"/>
        <v>0</v>
      </c>
      <c r="V206" s="345">
        <f t="shared" ca="1" si="99"/>
        <v>0</v>
      </c>
      <c r="W206" s="345">
        <f t="shared" si="100"/>
        <v>0</v>
      </c>
      <c r="X206" s="345">
        <f t="shared" ca="1" si="107"/>
        <v>-2832680.453978423</v>
      </c>
      <c r="Y206" s="345">
        <f t="shared" ca="1" si="101"/>
        <v>-169960.82723870539</v>
      </c>
      <c r="Z206" s="349">
        <f t="shared" ca="1" si="102"/>
        <v>-70817.011349460576</v>
      </c>
      <c r="AA206" s="270"/>
      <c r="AB206" s="270"/>
      <c r="AC206" s="270"/>
      <c r="AD206" s="270"/>
      <c r="AE206" s="270"/>
      <c r="AF206" s="270"/>
      <c r="AG206" s="323"/>
      <c r="AH206" s="323"/>
      <c r="AI206" s="323"/>
      <c r="AJ206" s="323"/>
      <c r="AK206" s="363">
        <f t="shared" ca="1" si="111"/>
        <v>0</v>
      </c>
      <c r="AL206" s="345">
        <f t="shared" ca="1" si="112"/>
        <v>-2050824.094369933</v>
      </c>
    </row>
    <row r="207" spans="2:38" ht="53" customHeight="1" x14ac:dyDescent="0.35">
      <c r="B207" s="344">
        <f t="shared" si="108"/>
        <v>99</v>
      </c>
      <c r="C207" s="345">
        <f t="shared" si="103"/>
        <v>0</v>
      </c>
      <c r="D207" s="345">
        <f t="shared" si="89"/>
        <v>2055</v>
      </c>
      <c r="E207" s="345">
        <f t="shared" si="90"/>
        <v>900</v>
      </c>
      <c r="F207" s="345"/>
      <c r="G207" s="345">
        <f t="shared" si="91"/>
        <v>0</v>
      </c>
      <c r="H207" s="345">
        <f t="shared" ca="1" si="109"/>
        <v>68852.11113855835</v>
      </c>
      <c r="I207" s="345">
        <f t="shared" ca="1" si="92"/>
        <v>2754.0844455423339</v>
      </c>
      <c r="J207" s="345">
        <f t="shared" ca="1" si="93"/>
        <v>0</v>
      </c>
      <c r="K207" s="345">
        <f t="shared" ca="1" si="104"/>
        <v>71606.195584100686</v>
      </c>
      <c r="L207" s="324"/>
      <c r="M207" s="361">
        <f t="shared" ca="1" si="105"/>
        <v>0</v>
      </c>
      <c r="N207" s="345">
        <f t="shared" si="94"/>
        <v>0</v>
      </c>
      <c r="O207" s="345">
        <f t="shared" ca="1" si="110"/>
        <v>-1762274.3945978447</v>
      </c>
      <c r="P207" s="345">
        <f t="shared" ca="1" si="95"/>
        <v>-105736.46367587068</v>
      </c>
      <c r="Q207" s="345">
        <f t="shared" ca="1" si="96"/>
        <v>0</v>
      </c>
      <c r="R207" s="345">
        <f t="shared" ca="1" si="97"/>
        <v>-1868010.8582737152</v>
      </c>
      <c r="T207" s="361">
        <f t="shared" ca="1" si="106"/>
        <v>0</v>
      </c>
      <c r="U207" s="345">
        <f t="shared" si="98"/>
        <v>0</v>
      </c>
      <c r="V207" s="345">
        <f t="shared" ca="1" si="99"/>
        <v>0</v>
      </c>
      <c r="W207" s="345">
        <f t="shared" si="100"/>
        <v>0</v>
      </c>
      <c r="X207" s="345">
        <f t="shared" ca="1" si="107"/>
        <v>-3073458.2925665891</v>
      </c>
      <c r="Y207" s="345">
        <f t="shared" ca="1" si="101"/>
        <v>-184407.49755399534</v>
      </c>
      <c r="Z207" s="349">
        <f t="shared" ca="1" si="102"/>
        <v>-76836.457314164727</v>
      </c>
      <c r="AA207" s="270"/>
      <c r="AB207" s="270"/>
      <c r="AC207" s="270"/>
      <c r="AD207" s="270"/>
      <c r="AE207" s="270"/>
      <c r="AF207" s="270"/>
      <c r="AG207" s="323"/>
      <c r="AH207" s="323"/>
      <c r="AI207" s="323"/>
      <c r="AJ207" s="323"/>
      <c r="AK207" s="363">
        <f t="shared" ca="1" si="111"/>
        <v>0</v>
      </c>
      <c r="AL207" s="345">
        <f t="shared" ca="1" si="112"/>
        <v>-2173207.8600321291</v>
      </c>
    </row>
    <row r="208" spans="2:38" ht="53" customHeight="1" x14ac:dyDescent="0.35">
      <c r="B208" s="344">
        <f t="shared" si="108"/>
        <v>100</v>
      </c>
      <c r="C208" s="345">
        <f t="shared" si="103"/>
        <v>0</v>
      </c>
      <c r="D208" s="345">
        <f t="shared" si="89"/>
        <v>2055</v>
      </c>
      <c r="E208" s="345">
        <f t="shared" si="90"/>
        <v>900</v>
      </c>
      <c r="F208" s="345"/>
      <c r="G208" s="345">
        <f t="shared" si="91"/>
        <v>0</v>
      </c>
      <c r="H208" s="345">
        <f t="shared" ca="1" si="109"/>
        <v>68651.195584100686</v>
      </c>
      <c r="I208" s="345">
        <f t="shared" ca="1" si="92"/>
        <v>2746.0478233640274</v>
      </c>
      <c r="J208" s="345">
        <f t="shared" ca="1" si="93"/>
        <v>0</v>
      </c>
      <c r="K208" s="345">
        <f t="shared" ca="1" si="104"/>
        <v>71397.243407464717</v>
      </c>
      <c r="L208" s="324"/>
      <c r="M208" s="361">
        <f t="shared" ca="1" si="105"/>
        <v>0</v>
      </c>
      <c r="N208" s="345">
        <f t="shared" si="94"/>
        <v>0</v>
      </c>
      <c r="O208" s="345">
        <f t="shared" ca="1" si="110"/>
        <v>-1868010.8582737152</v>
      </c>
      <c r="P208" s="345">
        <f t="shared" ca="1" si="95"/>
        <v>-112080.65149642291</v>
      </c>
      <c r="Q208" s="345">
        <f t="shared" ca="1" si="96"/>
        <v>0</v>
      </c>
      <c r="R208" s="345">
        <f t="shared" ca="1" si="97"/>
        <v>-1980091.5097701382</v>
      </c>
      <c r="T208" s="361">
        <f t="shared" ca="1" si="106"/>
        <v>0</v>
      </c>
      <c r="U208" s="345">
        <f t="shared" si="98"/>
        <v>0</v>
      </c>
      <c r="V208" s="345">
        <f t="shared" ca="1" si="99"/>
        <v>0</v>
      </c>
      <c r="W208" s="345">
        <f t="shared" si="100"/>
        <v>0</v>
      </c>
      <c r="X208" s="345">
        <f t="shared" ca="1" si="107"/>
        <v>-3334702.2474347493</v>
      </c>
      <c r="Y208" s="345">
        <f t="shared" ca="1" si="101"/>
        <v>-200082.13484608495</v>
      </c>
      <c r="Z208" s="349">
        <f t="shared" ca="1" si="102"/>
        <v>-83367.556185868743</v>
      </c>
      <c r="AA208" s="270"/>
      <c r="AB208" s="270"/>
      <c r="AC208" s="270"/>
      <c r="AD208" s="270"/>
      <c r="AE208" s="270"/>
      <c r="AF208" s="270"/>
      <c r="AG208" s="323"/>
      <c r="AH208" s="323"/>
      <c r="AI208" s="323"/>
      <c r="AJ208" s="323"/>
      <c r="AK208" s="363">
        <f t="shared" ca="1" si="111"/>
        <v>0</v>
      </c>
      <c r="AL208" s="345">
        <f t="shared" ca="1" si="112"/>
        <v>-2303370.0996340564</v>
      </c>
    </row>
    <row r="209" spans="2:38" ht="53" customHeight="1" x14ac:dyDescent="0.35">
      <c r="AK209" s="363">
        <f t="shared" ca="1" si="111"/>
        <v>0</v>
      </c>
      <c r="AL209" s="345">
        <f t="shared" ca="1" si="112"/>
        <v>-2441342.0736120995</v>
      </c>
    </row>
    <row r="210" spans="2:38" ht="53" customHeight="1" x14ac:dyDescent="0.35">
      <c r="AK210" s="363">
        <f t="shared" ca="1" si="111"/>
        <v>0</v>
      </c>
      <c r="AL210" s="345">
        <f t="shared" ca="1" si="112"/>
        <v>-2587592.3660288253</v>
      </c>
    </row>
    <row r="211" spans="2:38" ht="53" customHeight="1" x14ac:dyDescent="0.35">
      <c r="AG211" s="252"/>
      <c r="AH211" s="252"/>
      <c r="AI211" s="252"/>
      <c r="AJ211" s="252"/>
      <c r="AK211" s="363">
        <f t="shared" ca="1" si="111"/>
        <v>0</v>
      </c>
      <c r="AL211" s="345">
        <f t="shared" ca="1" si="112"/>
        <v>-2742755.4759905548</v>
      </c>
    </row>
    <row r="212" spans="2:38" ht="53" customHeight="1" x14ac:dyDescent="0.35">
      <c r="B212" s="330" t="s">
        <v>336</v>
      </c>
      <c r="C212" s="330"/>
      <c r="D212" s="330"/>
      <c r="E212" s="330"/>
      <c r="F212" s="330"/>
      <c r="G212" s="330"/>
      <c r="H212" s="330"/>
      <c r="I212" s="330"/>
      <c r="J212" s="330"/>
      <c r="K212" s="330"/>
      <c r="L212" s="330"/>
      <c r="M212" s="330"/>
      <c r="N212" s="330"/>
      <c r="O212" s="330"/>
      <c r="P212" s="330"/>
      <c r="Q212" s="330"/>
      <c r="R212" s="330"/>
      <c r="S212" s="330"/>
      <c r="T212" s="330"/>
      <c r="U212" s="330"/>
      <c r="V212" s="330"/>
      <c r="W212" s="330"/>
      <c r="X212" s="330"/>
      <c r="Y212" s="330"/>
      <c r="Z212" s="330"/>
      <c r="AA212" s="252"/>
      <c r="AB212" s="252"/>
      <c r="AC212" s="252"/>
      <c r="AD212" s="252"/>
      <c r="AE212" s="252"/>
      <c r="AF212" s="252"/>
      <c r="AG212" s="256"/>
      <c r="AH212" s="256"/>
      <c r="AI212" s="256"/>
      <c r="AJ212" s="256"/>
      <c r="AK212" s="363">
        <f t="shared" ca="1" si="111"/>
        <v>0</v>
      </c>
      <c r="AL212" s="345">
        <f t="shared" ca="1" si="112"/>
        <v>-2907228.3725499879</v>
      </c>
    </row>
    <row r="213" spans="2:38" ht="53" customHeight="1" x14ac:dyDescent="0.35">
      <c r="B213" s="353" t="s">
        <v>214</v>
      </c>
      <c r="C213" s="353"/>
      <c r="D213" s="353"/>
      <c r="E213" s="353"/>
      <c r="F213" s="353"/>
      <c r="G213" s="353"/>
      <c r="H213" s="353"/>
      <c r="I213" s="353"/>
      <c r="J213" s="353"/>
      <c r="K213" s="353"/>
      <c r="L213" s="256"/>
      <c r="M213" s="354" t="s">
        <v>343</v>
      </c>
      <c r="N213" s="354"/>
      <c r="O213" s="354"/>
      <c r="P213" s="354"/>
      <c r="Q213" s="354"/>
      <c r="R213" s="354"/>
      <c r="S213" s="333"/>
      <c r="T213" s="334" t="s">
        <v>216</v>
      </c>
      <c r="U213" s="334"/>
      <c r="V213" s="334"/>
      <c r="W213" s="334"/>
      <c r="X213" s="334"/>
      <c r="Y213" s="334"/>
      <c r="Z213" s="334"/>
      <c r="AA213" s="256"/>
      <c r="AB213" s="256"/>
      <c r="AC213" s="256"/>
      <c r="AD213" s="256"/>
      <c r="AE213" s="256"/>
      <c r="AF213" s="256"/>
      <c r="AG213" s="274"/>
      <c r="AH213" s="274"/>
      <c r="AI213" s="274"/>
      <c r="AJ213" s="274"/>
      <c r="AK213" s="363">
        <f t="shared" ca="1" si="111"/>
        <v>0</v>
      </c>
      <c r="AL213" s="345">
        <f t="shared" ca="1" si="112"/>
        <v>-3081662.0749029871</v>
      </c>
    </row>
    <row r="214" spans="2:38" ht="53" customHeight="1" x14ac:dyDescent="0.35">
      <c r="B214" s="356" t="s">
        <v>3</v>
      </c>
      <c r="C214" s="357" t="s">
        <v>325</v>
      </c>
      <c r="D214" s="356" t="s">
        <v>222</v>
      </c>
      <c r="E214" s="356" t="s">
        <v>326</v>
      </c>
      <c r="F214" s="356" t="s">
        <v>224</v>
      </c>
      <c r="G214" s="356" t="s">
        <v>225</v>
      </c>
      <c r="H214" s="356" t="s">
        <v>226</v>
      </c>
      <c r="I214" s="356" t="s">
        <v>227</v>
      </c>
      <c r="J214" s="356" t="s">
        <v>228</v>
      </c>
      <c r="K214" s="356" t="s">
        <v>229</v>
      </c>
      <c r="L214" s="273"/>
      <c r="M214" s="358" t="s">
        <v>230</v>
      </c>
      <c r="N214" s="358" t="s">
        <v>231</v>
      </c>
      <c r="O214" s="358" t="s">
        <v>232</v>
      </c>
      <c r="P214" s="358" t="s">
        <v>233</v>
      </c>
      <c r="Q214" s="359" t="s">
        <v>234</v>
      </c>
      <c r="R214" s="358" t="s">
        <v>235</v>
      </c>
      <c r="T214" s="356" t="s">
        <v>236</v>
      </c>
      <c r="U214" s="356" t="s">
        <v>237</v>
      </c>
      <c r="V214" s="356" t="s">
        <v>238</v>
      </c>
      <c r="W214" s="356" t="s">
        <v>239</v>
      </c>
      <c r="X214" s="356" t="s">
        <v>240</v>
      </c>
      <c r="Y214" s="357" t="s">
        <v>234</v>
      </c>
      <c r="Z214" s="360" t="s">
        <v>241</v>
      </c>
      <c r="AA214" s="274"/>
      <c r="AB214" s="274"/>
      <c r="AC214" s="274"/>
      <c r="AD214" s="274"/>
      <c r="AE214" s="274"/>
      <c r="AF214" s="274"/>
      <c r="AG214" s="270"/>
      <c r="AH214" s="270"/>
      <c r="AI214" s="270"/>
      <c r="AJ214" s="270"/>
      <c r="AK214" s="363">
        <f t="shared" ca="1" si="111"/>
        <v>0</v>
      </c>
      <c r="AL214" s="345">
        <f t="shared" ca="1" si="112"/>
        <v>-3266561.7993971664</v>
      </c>
    </row>
    <row r="215" spans="2:38" ht="53" customHeight="1" x14ac:dyDescent="0.35">
      <c r="B215" s="344">
        <f>BH31</f>
        <v>65</v>
      </c>
      <c r="C215" s="345">
        <f ca="1">VLOOKUP(B215,$B$3:$Z$56,2)</f>
        <v>446.54572607538591</v>
      </c>
      <c r="D215" s="345">
        <f t="shared" ref="D215:D260" si="113">IF(B215&lt;=20,$AL$14,IF(B215&lt;=30,$AL$15,IF(B215&lt;=40,$AL$16,IF(B215&lt;=50,$AL$17,IF(B215&lt;=60,$AL$18,IF(B215&lt;=65,$AL$19,IF(B215&lt;=70,$AL$20,
IF(B215&lt;=73,$AL$21,IF(B215&lt;=75,$AL$22,IF(B215&lt;=78,$AL$23,IF(B215&lt;=80,$AL$24,IF(B215&lt;=83,$AL$25,IF(B215&lt;=85,$AL$26,IF(B215&lt;=90,$AL$27,$AL$28))))))))))))))</f>
        <v>1020</v>
      </c>
      <c r="E215" s="345">
        <f t="shared" ref="E215:E260" si="114">IF(B215&lt;=20,$AM$14,IF(B215&lt;=30,$AM$15,IF(B215&lt;=40,$AM$16,IF(B215&lt;=50,$AM$17,IF(B215&lt;=60,$AM$18,IF(B215&lt;=65,$AM$19,IF(B215&lt;=70,$AM$20,
IF(B215&lt;=73,$AM$21,IF(B215&lt;=75,$AM$22,IF(B215&lt;=78,$AM$23,IF(B215&lt;=80,$AM$24,IF(B215&lt;=83,$AM$25,IF(B215&lt;=85,$AM$26,IF(B215&lt;=90,$AM$27,$AM$28))))))))))))))</f>
        <v>600</v>
      </c>
      <c r="F215" s="345">
        <v>600</v>
      </c>
      <c r="G215" s="345">
        <f t="shared" ref="G215:G260" si="115">IF(B215&gt;=$BH$31,0,IF(B215&lt;=35,$BJ$4,IF(B215&lt;=45,$BJ$5,IF(B215&lt;=50,$BJ$6,IF(B215&lt;=55,$BJ$7,IF(B215&lt;=60,$BJ$8,IF(B215&lt;=65,$BJ$9,IF(B215&lt;=70,$BJ$10,$BJ$11)))))))*$BH$37)</f>
        <v>0</v>
      </c>
      <c r="H215" s="345">
        <f ca="1">$BH$42-C215-D215-E215-F215+G215</f>
        <v>67333.45427392461</v>
      </c>
      <c r="I215" s="345" t="e">
        <f ca="1">#REF!*H215</f>
        <v>#REF!</v>
      </c>
      <c r="J215" s="345" t="e">
        <f ca="1">H215+I215-66000</f>
        <v>#REF!</v>
      </c>
      <c r="K215" s="345">
        <v>66000</v>
      </c>
      <c r="L215" s="278"/>
      <c r="M215" s="346" t="e">
        <f ca="1">IF(J215&gt;=0,J215,0)</f>
        <v>#REF!</v>
      </c>
      <c r="N215" s="345">
        <f t="shared" ref="N215:N260" si="116">IF(B215&gt;=$BH$31,0,IF(B215&lt;=35,$BI$4,IF(B215&lt;=45,$BI$5,IF(B215&lt;=50,$BI$6,IF(B215&lt;=55,$BI$7,IF(B215&lt;=60,$BI$8,IF(B215&lt;=65,$BI$9,IF(B215&lt;=70,$BI$10,$BI$11)))))))*$BH$37)</f>
        <v>0</v>
      </c>
      <c r="O215" s="345" t="e">
        <f ca="1">N215+M215+AT64</f>
        <v>#REF!</v>
      </c>
      <c r="P215" s="345" t="e">
        <f ca="1">IF(B215&lt;=55,$AK$5,#REF!)*(IF(O215&gt;=40000,40000,O215))</f>
        <v>#REF!</v>
      </c>
      <c r="Q215" s="345" t="e">
        <f t="shared" ref="Q215:Q260" ca="1" si="117">$AK$6*IF(O215&gt;=40000,O215-40000,0)</f>
        <v>#VALUE!</v>
      </c>
      <c r="R215" s="345" t="e">
        <f t="shared" ref="R215:R260" ca="1" si="118">O215+P215+Q215</f>
        <v>#REF!</v>
      </c>
      <c r="T215" s="345">
        <f t="shared" ref="T215:T260" si="119">IF(B215&gt;=$BH$31,0,IF(B215&lt;=35,$BH$4,IF(B215&lt;=45,$BH$5,IF(B215&lt;=50,$BH$6,IF(B215&lt;=55,$BH$7,IF(B215&lt;=60,$BH$8,IF(B215&lt;=65,$BH$9,IF(B215&lt;=70,$BH$10,$BH$11)))))))*$BH$37)</f>
        <v>0</v>
      </c>
      <c r="U215" s="345">
        <f t="shared" ref="U215:U221" si="120">$BH$56*12</f>
        <v>9805.6511999999984</v>
      </c>
      <c r="V215" s="345" t="str">
        <f t="shared" ref="V215:V260" si="121">IF(B215&lt;=34,$AM$31,IF(B215&lt;=39,$AM$32,IF(B215&lt;=44,$AM$33,IF(B215&lt;=49,$AM$34,IF(B215&lt;=54,$AM$35,IF(B215&lt;=59,$AM$36,$AM$37))))))</f>
        <v>60 to 64</v>
      </c>
      <c r="W215" s="345" t="e">
        <f ca="1">T215-U215-V215+AU64</f>
        <v>#VALUE!</v>
      </c>
      <c r="X215" s="345" t="e">
        <f ca="1">IF(B215&lt;=55,$AK$3,#REF!)*(IF(W215&gt;=20000,20000,W215))</f>
        <v>#REF!</v>
      </c>
      <c r="Y215" s="345" t="e">
        <f t="shared" ref="Y215:Y260" ca="1" si="122">$AK$4*IF(W215&gt;=20000,W215-20000,0)</f>
        <v>#VALUE!</v>
      </c>
      <c r="Z215" s="349" t="e">
        <f ca="1">W215+X215+Y215</f>
        <v>#VALUE!</v>
      </c>
      <c r="AA215" s="270"/>
      <c r="AB215" s="270"/>
      <c r="AC215" s="270"/>
      <c r="AD215" s="270"/>
      <c r="AE215" s="270"/>
      <c r="AF215" s="270"/>
      <c r="AG215" s="270"/>
      <c r="AH215" s="270"/>
      <c r="AI215" s="270"/>
      <c r="AJ215" s="270"/>
      <c r="AK215" s="363">
        <f t="shared" ca="1" si="111"/>
        <v>0</v>
      </c>
      <c r="AL215" s="345">
        <f t="shared" ca="1" si="112"/>
        <v>-3462555.5073609962</v>
      </c>
    </row>
    <row r="216" spans="2:38" ht="53" customHeight="1" x14ac:dyDescent="0.35">
      <c r="B216" s="344">
        <f>B215+1</f>
        <v>66</v>
      </c>
      <c r="C216" s="345">
        <f t="shared" ref="C216:C260" ca="1" si="123">IF(B216&gt;=67,$BI$55,C215+(1.0244%*C215))</f>
        <v>451.12014049330219</v>
      </c>
      <c r="D216" s="345">
        <f t="shared" si="113"/>
        <v>1100</v>
      </c>
      <c r="E216" s="345">
        <f t="shared" si="114"/>
        <v>600</v>
      </c>
      <c r="F216" s="345">
        <v>600</v>
      </c>
      <c r="G216" s="345">
        <f t="shared" si="115"/>
        <v>0</v>
      </c>
      <c r="H216" s="345">
        <f ca="1">K215-C216-D216-E216-F216+G216</f>
        <v>63248.879859506691</v>
      </c>
      <c r="I216" s="345" t="e">
        <f ca="1">#REF!*H216</f>
        <v>#REF!</v>
      </c>
      <c r="J216" s="345" t="e">
        <f ca="1">H216+I216-66000</f>
        <v>#REF!</v>
      </c>
      <c r="K216" s="345">
        <v>66000</v>
      </c>
      <c r="L216" s="278"/>
      <c r="M216" s="346" t="e">
        <f t="shared" ref="M216:M220" ca="1" si="124">IF(J216&gt;=0,J216,0)</f>
        <v>#REF!</v>
      </c>
      <c r="N216" s="345">
        <f t="shared" si="116"/>
        <v>0</v>
      </c>
      <c r="O216" s="345" t="e">
        <f ca="1">R215+N216+M216</f>
        <v>#REF!</v>
      </c>
      <c r="P216" s="345" t="e">
        <f ca="1">IF(B216&lt;=55,$AK$5,#REF!)*(IF(O216&gt;=40000,40000,O216))</f>
        <v>#REF!</v>
      </c>
      <c r="Q216" s="345" t="e">
        <f t="shared" ca="1" si="117"/>
        <v>#VALUE!</v>
      </c>
      <c r="R216" s="345" t="e">
        <f t="shared" ca="1" si="118"/>
        <v>#REF!</v>
      </c>
      <c r="T216" s="345">
        <f t="shared" si="119"/>
        <v>0</v>
      </c>
      <c r="U216" s="345">
        <f t="shared" si="120"/>
        <v>9805.6511999999984</v>
      </c>
      <c r="V216" s="345" t="str">
        <f t="shared" si="121"/>
        <v>60 to 64</v>
      </c>
      <c r="W216" s="345" t="e">
        <f ca="1">Z215+T216-U216-V216</f>
        <v>#VALUE!</v>
      </c>
      <c r="X216" s="345" t="e">
        <f ca="1">IF(B216&lt;=55,$AK$3,#REF!)*(IF(W216&gt;=20000,20000,W216))</f>
        <v>#REF!</v>
      </c>
      <c r="Y216" s="345" t="e">
        <f t="shared" ca="1" si="122"/>
        <v>#VALUE!</v>
      </c>
      <c r="Z216" s="349" t="e">
        <f t="shared" ref="Z216:Z260" ca="1" si="125">W216+X216+Y216</f>
        <v>#VALUE!</v>
      </c>
      <c r="AA216" s="270"/>
      <c r="AB216" s="270"/>
      <c r="AC216" s="270"/>
      <c r="AD216" s="270"/>
      <c r="AE216" s="270"/>
      <c r="AF216" s="270"/>
      <c r="AG216" s="270"/>
      <c r="AH216" s="270"/>
      <c r="AI216" s="270"/>
      <c r="AJ216" s="270"/>
      <c r="AK216" s="363">
        <f t="shared" ca="1" si="111"/>
        <v>0</v>
      </c>
      <c r="AL216" s="345">
        <f t="shared" ca="1" si="112"/>
        <v>-3670308.837802656</v>
      </c>
    </row>
    <row r="217" spans="2:38" ht="53" customHeight="1" x14ac:dyDescent="0.35">
      <c r="B217" s="344">
        <f t="shared" ref="B217:B260" si="126">B216+1</f>
        <v>67</v>
      </c>
      <c r="C217" s="345">
        <f t="shared" si="123"/>
        <v>0</v>
      </c>
      <c r="D217" s="345">
        <f t="shared" si="113"/>
        <v>1100</v>
      </c>
      <c r="E217" s="345">
        <f t="shared" si="114"/>
        <v>600</v>
      </c>
      <c r="F217" s="345">
        <v>600</v>
      </c>
      <c r="G217" s="345">
        <f t="shared" si="115"/>
        <v>0</v>
      </c>
      <c r="H217" s="345">
        <f t="shared" ref="H217:H260" si="127">$BH$42-C217-D217-E217-F217+G217</f>
        <v>67700</v>
      </c>
      <c r="I217" s="345" t="e">
        <f>#REF!*H217</f>
        <v>#REF!</v>
      </c>
      <c r="J217" s="345" t="e">
        <f t="shared" ref="J217:J220" si="128">H217+I217-66000</f>
        <v>#REF!</v>
      </c>
      <c r="K217" s="345">
        <v>66000</v>
      </c>
      <c r="L217" s="278"/>
      <c r="M217" s="346" t="e">
        <f t="shared" si="124"/>
        <v>#REF!</v>
      </c>
      <c r="N217" s="345">
        <f t="shared" si="116"/>
        <v>0</v>
      </c>
      <c r="O217" s="345" t="e">
        <f t="shared" ref="O217:O260" ca="1" si="129">R216+N217+M217</f>
        <v>#REF!</v>
      </c>
      <c r="P217" s="345" t="e">
        <f ca="1">IF(B217&lt;=55,$AK$5,#REF!)*(IF(O217&gt;=40000,40000,O217))</f>
        <v>#REF!</v>
      </c>
      <c r="Q217" s="345" t="e">
        <f t="shared" ca="1" si="117"/>
        <v>#VALUE!</v>
      </c>
      <c r="R217" s="345" t="e">
        <f t="shared" ca="1" si="118"/>
        <v>#REF!</v>
      </c>
      <c r="T217" s="345">
        <f t="shared" si="119"/>
        <v>0</v>
      </c>
      <c r="U217" s="345">
        <f t="shared" si="120"/>
        <v>9805.6511999999984</v>
      </c>
      <c r="V217" s="345" t="str">
        <f t="shared" si="121"/>
        <v>60 to 64</v>
      </c>
      <c r="W217" s="345" t="e">
        <f t="shared" ref="W217:W260" ca="1" si="130">Z216+T217-U217-V217</f>
        <v>#VALUE!</v>
      </c>
      <c r="X217" s="345" t="e">
        <f ca="1">IF(B217&lt;=55,$AK$3,#REF!)*(IF(W217&gt;=20000,20000,W217))</f>
        <v>#REF!</v>
      </c>
      <c r="Y217" s="345" t="e">
        <f t="shared" ca="1" si="122"/>
        <v>#VALUE!</v>
      </c>
      <c r="Z217" s="349" t="e">
        <f t="shared" ca="1" si="125"/>
        <v>#VALUE!</v>
      </c>
      <c r="AA217" s="270"/>
      <c r="AB217" s="270"/>
      <c r="AC217" s="270"/>
      <c r="AD217" s="270"/>
      <c r="AE217" s="270"/>
      <c r="AF217" s="270"/>
      <c r="AG217" s="270"/>
      <c r="AH217" s="270"/>
      <c r="AI217" s="270"/>
      <c r="AJ217" s="270"/>
      <c r="AK217" s="363">
        <f t="shared" ca="1" si="111"/>
        <v>0</v>
      </c>
      <c r="AL217" s="345">
        <f t="shared" ca="1" si="112"/>
        <v>-3890527.3680708152</v>
      </c>
    </row>
    <row r="218" spans="2:38" ht="53" customHeight="1" x14ac:dyDescent="0.35">
      <c r="B218" s="344">
        <f t="shared" si="126"/>
        <v>68</v>
      </c>
      <c r="C218" s="345">
        <f t="shared" si="123"/>
        <v>0</v>
      </c>
      <c r="D218" s="345">
        <f t="shared" si="113"/>
        <v>1100</v>
      </c>
      <c r="E218" s="345">
        <f t="shared" si="114"/>
        <v>600</v>
      </c>
      <c r="F218" s="345">
        <v>600</v>
      </c>
      <c r="G218" s="345">
        <f t="shared" si="115"/>
        <v>0</v>
      </c>
      <c r="H218" s="345">
        <f t="shared" si="127"/>
        <v>67700</v>
      </c>
      <c r="I218" s="345" t="e">
        <f>#REF!*H218</f>
        <v>#REF!</v>
      </c>
      <c r="J218" s="345" t="e">
        <f t="shared" si="128"/>
        <v>#REF!</v>
      </c>
      <c r="K218" s="345">
        <v>66000</v>
      </c>
      <c r="L218" s="278"/>
      <c r="M218" s="346" t="e">
        <f t="shared" si="124"/>
        <v>#REF!</v>
      </c>
      <c r="N218" s="345">
        <f t="shared" si="116"/>
        <v>0</v>
      </c>
      <c r="O218" s="345" t="e">
        <f t="shared" ca="1" si="129"/>
        <v>#REF!</v>
      </c>
      <c r="P218" s="345" t="e">
        <f ca="1">IF(B218&lt;=55,$AK$5,#REF!)*(IF(O218&gt;=40000,40000,O218))</f>
        <v>#REF!</v>
      </c>
      <c r="Q218" s="345" t="e">
        <f t="shared" ca="1" si="117"/>
        <v>#VALUE!</v>
      </c>
      <c r="R218" s="345" t="e">
        <f t="shared" ca="1" si="118"/>
        <v>#REF!</v>
      </c>
      <c r="T218" s="345">
        <f t="shared" si="119"/>
        <v>0</v>
      </c>
      <c r="U218" s="345">
        <f t="shared" si="120"/>
        <v>9805.6511999999984</v>
      </c>
      <c r="V218" s="345" t="str">
        <f t="shared" si="121"/>
        <v>60 to 64</v>
      </c>
      <c r="W218" s="345" t="e">
        <f t="shared" ca="1" si="130"/>
        <v>#VALUE!</v>
      </c>
      <c r="X218" s="345" t="e">
        <f ca="1">IF(B218&lt;=55,$AK$3,#REF!)*(IF(W218&gt;=20000,20000,W218))</f>
        <v>#REF!</v>
      </c>
      <c r="Y218" s="345" t="e">
        <f t="shared" ca="1" si="122"/>
        <v>#VALUE!</v>
      </c>
      <c r="Z218" s="349" t="e">
        <f t="shared" ca="1" si="125"/>
        <v>#VALUE!</v>
      </c>
      <c r="AA218" s="270"/>
      <c r="AB218" s="270"/>
      <c r="AC218" s="270"/>
      <c r="AD218" s="270"/>
      <c r="AE218" s="270"/>
      <c r="AF218" s="270"/>
      <c r="AG218" s="270"/>
      <c r="AH218" s="270"/>
      <c r="AI218" s="270"/>
      <c r="AJ218" s="270"/>
      <c r="AK218" s="363">
        <f t="shared" ca="1" si="111"/>
        <v>0</v>
      </c>
      <c r="AL218" s="345">
        <f t="shared" ca="1" si="112"/>
        <v>-4123959.0101550641</v>
      </c>
    </row>
    <row r="219" spans="2:38" ht="53" customHeight="1" x14ac:dyDescent="0.35">
      <c r="B219" s="344">
        <f t="shared" si="126"/>
        <v>69</v>
      </c>
      <c r="C219" s="345">
        <f t="shared" si="123"/>
        <v>0</v>
      </c>
      <c r="D219" s="345">
        <f t="shared" si="113"/>
        <v>1100</v>
      </c>
      <c r="E219" s="345">
        <f t="shared" si="114"/>
        <v>600</v>
      </c>
      <c r="F219" s="345">
        <v>600</v>
      </c>
      <c r="G219" s="345">
        <f t="shared" si="115"/>
        <v>0</v>
      </c>
      <c r="H219" s="345">
        <f t="shared" si="127"/>
        <v>67700</v>
      </c>
      <c r="I219" s="345" t="e">
        <f>#REF!*H219</f>
        <v>#REF!</v>
      </c>
      <c r="J219" s="345" t="e">
        <f t="shared" si="128"/>
        <v>#REF!</v>
      </c>
      <c r="K219" s="345">
        <v>66000</v>
      </c>
      <c r="L219" s="278"/>
      <c r="M219" s="346" t="e">
        <f t="shared" si="124"/>
        <v>#REF!</v>
      </c>
      <c r="N219" s="345">
        <f t="shared" si="116"/>
        <v>0</v>
      </c>
      <c r="O219" s="345" t="e">
        <f t="shared" ca="1" si="129"/>
        <v>#REF!</v>
      </c>
      <c r="P219" s="345" t="e">
        <f ca="1">IF(B219&lt;=55,$AK$5,#REF!)*(IF(O219&gt;=40000,40000,O219))</f>
        <v>#REF!</v>
      </c>
      <c r="Q219" s="345" t="e">
        <f t="shared" ca="1" si="117"/>
        <v>#VALUE!</v>
      </c>
      <c r="R219" s="345" t="e">
        <f t="shared" ca="1" si="118"/>
        <v>#REF!</v>
      </c>
      <c r="T219" s="345">
        <f t="shared" si="119"/>
        <v>0</v>
      </c>
      <c r="U219" s="345">
        <f t="shared" si="120"/>
        <v>9805.6511999999984</v>
      </c>
      <c r="V219" s="345" t="str">
        <f t="shared" si="121"/>
        <v>60 to 64</v>
      </c>
      <c r="W219" s="345" t="e">
        <f t="shared" ca="1" si="130"/>
        <v>#VALUE!</v>
      </c>
      <c r="X219" s="345" t="e">
        <f ca="1">IF(B219&lt;=55,$AK$3,#REF!)*(IF(W219&gt;=20000,20000,W219))</f>
        <v>#REF!</v>
      </c>
      <c r="Y219" s="345" t="e">
        <f t="shared" ca="1" si="122"/>
        <v>#VALUE!</v>
      </c>
      <c r="Z219" s="349" t="e">
        <f t="shared" ca="1" si="125"/>
        <v>#VALUE!</v>
      </c>
      <c r="AA219" s="270"/>
      <c r="AB219" s="270"/>
      <c r="AC219" s="270"/>
      <c r="AD219" s="270"/>
      <c r="AE219" s="270"/>
      <c r="AF219" s="270"/>
      <c r="AG219" s="270"/>
      <c r="AH219" s="270"/>
      <c r="AI219" s="270"/>
      <c r="AJ219" s="270"/>
      <c r="AK219" s="363">
        <f t="shared" ca="1" si="111"/>
        <v>0</v>
      </c>
      <c r="AL219" s="345">
        <f t="shared" ca="1" si="112"/>
        <v>-4371396.5507643679</v>
      </c>
    </row>
    <row r="220" spans="2:38" ht="53" customHeight="1" x14ac:dyDescent="0.35">
      <c r="B220" s="344">
        <f t="shared" si="126"/>
        <v>70</v>
      </c>
      <c r="C220" s="345">
        <f t="shared" si="123"/>
        <v>0</v>
      </c>
      <c r="D220" s="345">
        <f t="shared" si="113"/>
        <v>1100</v>
      </c>
      <c r="E220" s="345">
        <f t="shared" si="114"/>
        <v>600</v>
      </c>
      <c r="F220" s="345">
        <v>600</v>
      </c>
      <c r="G220" s="345">
        <f t="shared" si="115"/>
        <v>0</v>
      </c>
      <c r="H220" s="345">
        <f t="shared" si="127"/>
        <v>67700</v>
      </c>
      <c r="I220" s="345" t="e">
        <f>#REF!*H220</f>
        <v>#REF!</v>
      </c>
      <c r="J220" s="345" t="e">
        <f t="shared" si="128"/>
        <v>#REF!</v>
      </c>
      <c r="K220" s="345">
        <v>66000</v>
      </c>
      <c r="L220" s="278"/>
      <c r="M220" s="346" t="e">
        <f t="shared" si="124"/>
        <v>#REF!</v>
      </c>
      <c r="N220" s="345">
        <f t="shared" si="116"/>
        <v>0</v>
      </c>
      <c r="O220" s="345" t="e">
        <f t="shared" ca="1" si="129"/>
        <v>#REF!</v>
      </c>
      <c r="P220" s="345" t="e">
        <f ca="1">IF(B220&lt;=55,$AK$5,#REF!)*(IF(O220&gt;=40000,40000,O220))</f>
        <v>#REF!</v>
      </c>
      <c r="Q220" s="345" t="e">
        <f t="shared" ca="1" si="117"/>
        <v>#VALUE!</v>
      </c>
      <c r="R220" s="345" t="e">
        <f t="shared" ca="1" si="118"/>
        <v>#REF!</v>
      </c>
      <c r="T220" s="345">
        <f t="shared" si="119"/>
        <v>0</v>
      </c>
      <c r="U220" s="345">
        <f t="shared" si="120"/>
        <v>9805.6511999999984</v>
      </c>
      <c r="V220" s="345" t="str">
        <f t="shared" si="121"/>
        <v>60 to 64</v>
      </c>
      <c r="W220" s="345" t="e">
        <f t="shared" ca="1" si="130"/>
        <v>#VALUE!</v>
      </c>
      <c r="X220" s="345" t="e">
        <f ca="1">IF(B220&lt;=55,$AK$3,#REF!)*(IF(W220&gt;=20000,20000,W220))</f>
        <v>#REF!</v>
      </c>
      <c r="Y220" s="345" t="e">
        <f t="shared" ca="1" si="122"/>
        <v>#VALUE!</v>
      </c>
      <c r="Z220" s="349" t="e">
        <f t="shared" ca="1" si="125"/>
        <v>#VALUE!</v>
      </c>
      <c r="AA220" s="270"/>
      <c r="AB220" s="270"/>
      <c r="AC220" s="270"/>
      <c r="AD220" s="270"/>
      <c r="AE220" s="270"/>
      <c r="AF220" s="270"/>
      <c r="AG220" s="329"/>
      <c r="AH220" s="329"/>
      <c r="AI220" s="329"/>
      <c r="AJ220" s="329"/>
      <c r="AK220" s="363">
        <f t="shared" ca="1" si="111"/>
        <v>0</v>
      </c>
      <c r="AL220" s="345">
        <f t="shared" ca="1" si="112"/>
        <v>-4633680.3438102296</v>
      </c>
    </row>
    <row r="221" spans="2:38" ht="53" customHeight="1" x14ac:dyDescent="0.35">
      <c r="B221" s="350">
        <f t="shared" si="126"/>
        <v>71</v>
      </c>
      <c r="C221" s="346">
        <f t="shared" si="123"/>
        <v>0</v>
      </c>
      <c r="D221" s="346">
        <f t="shared" si="113"/>
        <v>1195</v>
      </c>
      <c r="E221" s="346">
        <f t="shared" si="114"/>
        <v>900</v>
      </c>
      <c r="F221" s="346">
        <v>600</v>
      </c>
      <c r="G221" s="345">
        <f t="shared" si="115"/>
        <v>0</v>
      </c>
      <c r="H221" s="346">
        <f t="shared" si="127"/>
        <v>67305</v>
      </c>
      <c r="I221" s="346" t="e">
        <f>#REF!*H221</f>
        <v>#REF!</v>
      </c>
      <c r="J221" s="346" t="e">
        <f>IF(H221+I221-66000&gt;0,H221+I221-66000,0)</f>
        <v>#REF!</v>
      </c>
      <c r="K221" s="346">
        <v>66000</v>
      </c>
      <c r="L221" s="292"/>
      <c r="M221" s="346" t="e">
        <f>IF(J221&gt;=0,J221,0)</f>
        <v>#REF!</v>
      </c>
      <c r="N221" s="345">
        <f t="shared" si="116"/>
        <v>0</v>
      </c>
      <c r="O221" s="346" t="e">
        <f t="shared" ca="1" si="129"/>
        <v>#REF!</v>
      </c>
      <c r="P221" s="346" t="e">
        <f ca="1">IF(B221&lt;=55,$AK$5,#REF!)*(IF(O221&gt;=40000,40000,O221))</f>
        <v>#REF!</v>
      </c>
      <c r="Q221" s="345" t="e">
        <f t="shared" ca="1" si="117"/>
        <v>#VALUE!</v>
      </c>
      <c r="R221" s="346" t="e">
        <f t="shared" ca="1" si="118"/>
        <v>#REF!</v>
      </c>
      <c r="S221" s="290"/>
      <c r="T221" s="345">
        <f t="shared" si="119"/>
        <v>0</v>
      </c>
      <c r="U221" s="346">
        <f t="shared" si="120"/>
        <v>9805.6511999999984</v>
      </c>
      <c r="V221" s="346" t="str">
        <f t="shared" si="121"/>
        <v>60 to 64</v>
      </c>
      <c r="W221" s="346" t="e">
        <f t="shared" ca="1" si="130"/>
        <v>#VALUE!</v>
      </c>
      <c r="X221" s="346" t="e">
        <f ca="1">IF(B221&lt;=55,$AK$3,#REF!)*(IF(W221&gt;=20000,20000,W221))</f>
        <v>#REF!</v>
      </c>
      <c r="Y221" s="345" t="e">
        <f t="shared" ca="1" si="122"/>
        <v>#VALUE!</v>
      </c>
      <c r="Z221" s="374" t="e">
        <f t="shared" ca="1" si="125"/>
        <v>#VALUE!</v>
      </c>
      <c r="AA221" s="329"/>
      <c r="AB221" s="329"/>
      <c r="AC221" s="329"/>
      <c r="AD221" s="329"/>
      <c r="AE221" s="329"/>
      <c r="AF221" s="329"/>
      <c r="AG221" s="270"/>
      <c r="AH221" s="270"/>
      <c r="AI221" s="270"/>
      <c r="AJ221" s="270"/>
      <c r="AK221" s="363">
        <f t="shared" ca="1" si="111"/>
        <v>0</v>
      </c>
      <c r="AL221" s="345">
        <f t="shared" ca="1" si="112"/>
        <v>-4911701.1644388437</v>
      </c>
    </row>
    <row r="222" spans="2:38" ht="53" customHeight="1" x14ac:dyDescent="0.35">
      <c r="B222" s="344">
        <f t="shared" si="126"/>
        <v>72</v>
      </c>
      <c r="C222" s="345">
        <f t="shared" si="123"/>
        <v>0</v>
      </c>
      <c r="D222" s="345">
        <f t="shared" si="113"/>
        <v>1195</v>
      </c>
      <c r="E222" s="345">
        <f t="shared" si="114"/>
        <v>900</v>
      </c>
      <c r="F222" s="345">
        <v>600</v>
      </c>
      <c r="G222" s="345">
        <f t="shared" si="115"/>
        <v>0</v>
      </c>
      <c r="H222" s="345">
        <f t="shared" si="127"/>
        <v>67305</v>
      </c>
      <c r="I222" s="345" t="e">
        <f>#REF!*H222</f>
        <v>#REF!</v>
      </c>
      <c r="J222" s="346" t="e">
        <f t="shared" ref="J222:J260" si="131">IF(H222+I222-66000&gt;0,H222+I222-66000,0)</f>
        <v>#REF!</v>
      </c>
      <c r="K222" s="345">
        <v>66000</v>
      </c>
      <c r="L222" s="278"/>
      <c r="M222" s="346" t="e">
        <f t="shared" ref="M222:M260" si="132">IF(J222&gt;=0,J222,0)</f>
        <v>#REF!</v>
      </c>
      <c r="N222" s="345">
        <f t="shared" si="116"/>
        <v>0</v>
      </c>
      <c r="O222" s="345" t="e">
        <f t="shared" ca="1" si="129"/>
        <v>#REF!</v>
      </c>
      <c r="P222" s="345" t="e">
        <f ca="1">IF(B222&lt;=55,$AK$5,#REF!)*(IF(O222&gt;=40000,40000,O222))</f>
        <v>#REF!</v>
      </c>
      <c r="Q222" s="345" t="e">
        <f t="shared" ca="1" si="117"/>
        <v>#VALUE!</v>
      </c>
      <c r="R222" s="345" t="e">
        <f t="shared" ca="1" si="118"/>
        <v>#REF!</v>
      </c>
      <c r="T222" s="345">
        <f t="shared" si="119"/>
        <v>0</v>
      </c>
      <c r="U222" s="345"/>
      <c r="V222" s="345" t="str">
        <f t="shared" si="121"/>
        <v>60 to 64</v>
      </c>
      <c r="W222" s="345" t="e">
        <f t="shared" ca="1" si="130"/>
        <v>#VALUE!</v>
      </c>
      <c r="X222" s="345" t="e">
        <f ca="1">IF(B222&lt;=55,$AK$3,#REF!)*(IF(W222&gt;=20000,20000,W222))</f>
        <v>#REF!</v>
      </c>
      <c r="Y222" s="345" t="e">
        <f t="shared" ca="1" si="122"/>
        <v>#VALUE!</v>
      </c>
      <c r="Z222" s="349" t="e">
        <f t="shared" ca="1" si="125"/>
        <v>#VALUE!</v>
      </c>
      <c r="AA222" s="270"/>
      <c r="AB222" s="270"/>
      <c r="AC222" s="270"/>
      <c r="AD222" s="270"/>
      <c r="AE222" s="270"/>
      <c r="AF222" s="270"/>
      <c r="AG222" s="270"/>
      <c r="AH222" s="270"/>
      <c r="AI222" s="270"/>
      <c r="AJ222" s="270"/>
      <c r="AK222" s="363">
        <f t="shared" ca="1" si="111"/>
        <v>0</v>
      </c>
      <c r="AL222" s="345">
        <f t="shared" ca="1" si="112"/>
        <v>-5206403.2343051741</v>
      </c>
    </row>
    <row r="223" spans="2:38" ht="53" customHeight="1" x14ac:dyDescent="0.35">
      <c r="B223" s="344">
        <f t="shared" si="126"/>
        <v>73</v>
      </c>
      <c r="C223" s="345">
        <f t="shared" si="123"/>
        <v>0</v>
      </c>
      <c r="D223" s="345">
        <f t="shared" si="113"/>
        <v>1195</v>
      </c>
      <c r="E223" s="345">
        <f t="shared" si="114"/>
        <v>900</v>
      </c>
      <c r="F223" s="345">
        <v>600</v>
      </c>
      <c r="G223" s="345">
        <f t="shared" si="115"/>
        <v>0</v>
      </c>
      <c r="H223" s="345">
        <f t="shared" si="127"/>
        <v>67305</v>
      </c>
      <c r="I223" s="345" t="e">
        <f>#REF!*H223</f>
        <v>#REF!</v>
      </c>
      <c r="J223" s="346" t="e">
        <f t="shared" si="131"/>
        <v>#REF!</v>
      </c>
      <c r="K223" s="345">
        <v>66000</v>
      </c>
      <c r="L223" s="295"/>
      <c r="M223" s="346" t="e">
        <f t="shared" si="132"/>
        <v>#REF!</v>
      </c>
      <c r="N223" s="345">
        <f t="shared" si="116"/>
        <v>0</v>
      </c>
      <c r="O223" s="345" t="e">
        <f t="shared" ca="1" si="129"/>
        <v>#REF!</v>
      </c>
      <c r="P223" s="345" t="e">
        <f ca="1">IF(B223&lt;=55,$AK$5,#REF!)*(IF(O223&gt;=40000,40000,O223))</f>
        <v>#REF!</v>
      </c>
      <c r="Q223" s="345" t="e">
        <f t="shared" ca="1" si="117"/>
        <v>#VALUE!</v>
      </c>
      <c r="R223" s="345" t="e">
        <f t="shared" ca="1" si="118"/>
        <v>#REF!</v>
      </c>
      <c r="S223" s="294"/>
      <c r="T223" s="345">
        <f t="shared" si="119"/>
        <v>0</v>
      </c>
      <c r="U223" s="345"/>
      <c r="V223" s="345" t="str">
        <f t="shared" si="121"/>
        <v>60 to 64</v>
      </c>
      <c r="W223" s="345" t="e">
        <f t="shared" ca="1" si="130"/>
        <v>#VALUE!</v>
      </c>
      <c r="X223" s="345" t="e">
        <f ca="1">IF(B223&lt;=55,$AK$3,#REF!)*(IF(W223&gt;=20000,20000,W223))</f>
        <v>#REF!</v>
      </c>
      <c r="Y223" s="345" t="e">
        <f t="shared" ca="1" si="122"/>
        <v>#VALUE!</v>
      </c>
      <c r="Z223" s="349" t="e">
        <f t="shared" ca="1" si="125"/>
        <v>#VALUE!</v>
      </c>
      <c r="AA223" s="270"/>
      <c r="AB223" s="270"/>
      <c r="AC223" s="270"/>
      <c r="AD223" s="270"/>
      <c r="AE223" s="270"/>
      <c r="AF223" s="270"/>
      <c r="AG223" s="270"/>
      <c r="AH223" s="270"/>
      <c r="AI223" s="270"/>
      <c r="AJ223" s="270"/>
      <c r="AK223" s="363">
        <f t="shared" ca="1" si="111"/>
        <v>0</v>
      </c>
      <c r="AL223" s="345">
        <f t="shared" ca="1" si="112"/>
        <v>-5518787.4283634843</v>
      </c>
    </row>
    <row r="224" spans="2:38" ht="53" customHeight="1" x14ac:dyDescent="0.35">
      <c r="B224" s="344">
        <f t="shared" si="126"/>
        <v>74</v>
      </c>
      <c r="C224" s="345">
        <f t="shared" si="123"/>
        <v>0</v>
      </c>
      <c r="D224" s="345">
        <f t="shared" si="113"/>
        <v>1320</v>
      </c>
      <c r="E224" s="345">
        <f t="shared" si="114"/>
        <v>900</v>
      </c>
      <c r="F224" s="345">
        <v>600</v>
      </c>
      <c r="G224" s="345">
        <f t="shared" si="115"/>
        <v>0</v>
      </c>
      <c r="H224" s="345">
        <f t="shared" si="127"/>
        <v>67180</v>
      </c>
      <c r="I224" s="345" t="e">
        <f>#REF!*H224</f>
        <v>#REF!</v>
      </c>
      <c r="J224" s="346" t="e">
        <f t="shared" si="131"/>
        <v>#REF!</v>
      </c>
      <c r="K224" s="345">
        <v>66000</v>
      </c>
      <c r="L224" s="278"/>
      <c r="M224" s="346" t="e">
        <f t="shared" si="132"/>
        <v>#REF!</v>
      </c>
      <c r="N224" s="345">
        <f t="shared" si="116"/>
        <v>0</v>
      </c>
      <c r="O224" s="345" t="e">
        <f t="shared" ca="1" si="129"/>
        <v>#REF!</v>
      </c>
      <c r="P224" s="345" t="e">
        <f ca="1">IF(B224&lt;=55,$AK$5,#REF!)*(IF(O224&gt;=40000,40000,O224))</f>
        <v>#REF!</v>
      </c>
      <c r="Q224" s="345" t="e">
        <f t="shared" ca="1" si="117"/>
        <v>#VALUE!</v>
      </c>
      <c r="R224" s="345" t="e">
        <f t="shared" ca="1" si="118"/>
        <v>#REF!</v>
      </c>
      <c r="S224" s="297"/>
      <c r="T224" s="345">
        <f t="shared" si="119"/>
        <v>0</v>
      </c>
      <c r="U224" s="345"/>
      <c r="V224" s="345" t="str">
        <f t="shared" si="121"/>
        <v>60 to 64</v>
      </c>
      <c r="W224" s="345" t="e">
        <f t="shared" ca="1" si="130"/>
        <v>#VALUE!</v>
      </c>
      <c r="X224" s="345" t="e">
        <f ca="1">IF(B224&lt;=55,$AK$3,#REF!)*(IF(W224&gt;=20000,20000,W224))</f>
        <v>#REF!</v>
      </c>
      <c r="Y224" s="345" t="e">
        <f t="shared" ca="1" si="122"/>
        <v>#VALUE!</v>
      </c>
      <c r="Z224" s="349" t="e">
        <f t="shared" ca="1" si="125"/>
        <v>#VALUE!</v>
      </c>
      <c r="AA224" s="270"/>
      <c r="AB224" s="270"/>
      <c r="AC224" s="270"/>
      <c r="AD224" s="270"/>
      <c r="AE224" s="270"/>
      <c r="AF224" s="270"/>
      <c r="AG224" s="270"/>
      <c r="AH224" s="270"/>
      <c r="AI224" s="270"/>
      <c r="AJ224" s="270"/>
      <c r="AK224" s="363">
        <f t="shared" ca="1" si="111"/>
        <v>0</v>
      </c>
      <c r="AL224" s="345">
        <f t="shared" ca="1" si="112"/>
        <v>-5849914.6740652937</v>
      </c>
    </row>
    <row r="225" spans="2:38" ht="53" customHeight="1" x14ac:dyDescent="0.35">
      <c r="B225" s="344">
        <f t="shared" si="126"/>
        <v>75</v>
      </c>
      <c r="C225" s="345">
        <f t="shared" si="123"/>
        <v>0</v>
      </c>
      <c r="D225" s="345">
        <f t="shared" si="113"/>
        <v>1320</v>
      </c>
      <c r="E225" s="345">
        <f t="shared" si="114"/>
        <v>900</v>
      </c>
      <c r="F225" s="345">
        <v>600</v>
      </c>
      <c r="G225" s="345">
        <f t="shared" si="115"/>
        <v>0</v>
      </c>
      <c r="H225" s="345">
        <f t="shared" si="127"/>
        <v>67180</v>
      </c>
      <c r="I225" s="345" t="e">
        <f>#REF!*H225</f>
        <v>#REF!</v>
      </c>
      <c r="J225" s="346" t="e">
        <f t="shared" si="131"/>
        <v>#REF!</v>
      </c>
      <c r="K225" s="345">
        <v>66000</v>
      </c>
      <c r="L225" s="278"/>
      <c r="M225" s="346" t="e">
        <f t="shared" si="132"/>
        <v>#REF!</v>
      </c>
      <c r="N225" s="345">
        <f t="shared" si="116"/>
        <v>0</v>
      </c>
      <c r="O225" s="345" t="e">
        <f t="shared" ca="1" si="129"/>
        <v>#REF!</v>
      </c>
      <c r="P225" s="345" t="e">
        <f ca="1">IF(B225&lt;=55,$AK$5,#REF!)*(IF(O225&gt;=40000,40000,O225))</f>
        <v>#REF!</v>
      </c>
      <c r="Q225" s="345" t="e">
        <f t="shared" ca="1" si="117"/>
        <v>#VALUE!</v>
      </c>
      <c r="R225" s="345" t="e">
        <f t="shared" ca="1" si="118"/>
        <v>#REF!</v>
      </c>
      <c r="T225" s="345">
        <f t="shared" si="119"/>
        <v>0</v>
      </c>
      <c r="U225" s="345"/>
      <c r="V225" s="345" t="str">
        <f t="shared" si="121"/>
        <v>60 to 64</v>
      </c>
      <c r="W225" s="345" t="e">
        <f t="shared" ca="1" si="130"/>
        <v>#VALUE!</v>
      </c>
      <c r="X225" s="345" t="e">
        <f ca="1">IF(B225&lt;=55,$AK$3,#REF!)*(IF(W225&gt;=20000,20000,W225))</f>
        <v>#REF!</v>
      </c>
      <c r="Y225" s="345" t="e">
        <f t="shared" ca="1" si="122"/>
        <v>#VALUE!</v>
      </c>
      <c r="Z225" s="349" t="e">
        <f t="shared" ca="1" si="125"/>
        <v>#VALUE!</v>
      </c>
      <c r="AA225" s="270"/>
      <c r="AB225" s="270"/>
      <c r="AC225" s="270"/>
      <c r="AD225" s="270"/>
      <c r="AE225" s="270"/>
      <c r="AF225" s="270"/>
      <c r="AG225" s="270"/>
      <c r="AH225" s="270"/>
      <c r="AI225" s="270"/>
      <c r="AJ225" s="270"/>
      <c r="AK225" s="363">
        <f t="shared" ca="1" si="111"/>
        <v>0</v>
      </c>
      <c r="AL225" s="345">
        <f t="shared" ca="1" si="112"/>
        <v>-6200909.5545092113</v>
      </c>
    </row>
    <row r="226" spans="2:38" ht="53" customHeight="1" x14ac:dyDescent="0.35">
      <c r="B226" s="344">
        <f t="shared" si="126"/>
        <v>76</v>
      </c>
      <c r="C226" s="345">
        <f t="shared" si="123"/>
        <v>0</v>
      </c>
      <c r="D226" s="345">
        <f t="shared" si="113"/>
        <v>1530</v>
      </c>
      <c r="E226" s="345">
        <f t="shared" si="114"/>
        <v>900</v>
      </c>
      <c r="F226" s="345">
        <v>600</v>
      </c>
      <c r="G226" s="345">
        <f t="shared" si="115"/>
        <v>0</v>
      </c>
      <c r="H226" s="345">
        <f t="shared" si="127"/>
        <v>66970</v>
      </c>
      <c r="I226" s="345" t="e">
        <f>#REF!*H226</f>
        <v>#REF!</v>
      </c>
      <c r="J226" s="346" t="e">
        <f t="shared" si="131"/>
        <v>#REF!</v>
      </c>
      <c r="K226" s="345">
        <v>66000</v>
      </c>
      <c r="L226" s="278"/>
      <c r="M226" s="346" t="e">
        <f t="shared" si="132"/>
        <v>#REF!</v>
      </c>
      <c r="N226" s="345">
        <f t="shared" si="116"/>
        <v>0</v>
      </c>
      <c r="O226" s="345" t="e">
        <f t="shared" ca="1" si="129"/>
        <v>#REF!</v>
      </c>
      <c r="P226" s="345" t="e">
        <f ca="1">IF(B226&lt;=55,$AK$5,#REF!)*(IF(O226&gt;=40000,40000,O226))</f>
        <v>#REF!</v>
      </c>
      <c r="Q226" s="345" t="e">
        <f t="shared" ca="1" si="117"/>
        <v>#VALUE!</v>
      </c>
      <c r="R226" s="345" t="e">
        <f t="shared" ca="1" si="118"/>
        <v>#REF!</v>
      </c>
      <c r="S226" s="266"/>
      <c r="T226" s="345">
        <f t="shared" si="119"/>
        <v>0</v>
      </c>
      <c r="U226" s="345"/>
      <c r="V226" s="345" t="str">
        <f t="shared" si="121"/>
        <v>60 to 64</v>
      </c>
      <c r="W226" s="345" t="e">
        <f t="shared" ca="1" si="130"/>
        <v>#VALUE!</v>
      </c>
      <c r="X226" s="345" t="e">
        <f ca="1">IF(B226&lt;=55,$AK$3,#REF!)*(IF(W226&gt;=20000,20000,W226))</f>
        <v>#REF!</v>
      </c>
      <c r="Y226" s="345" t="e">
        <f t="shared" ca="1" si="122"/>
        <v>#VALUE!</v>
      </c>
      <c r="Z226" s="349" t="e">
        <f t="shared" ca="1" si="125"/>
        <v>#VALUE!</v>
      </c>
      <c r="AA226" s="270"/>
      <c r="AB226" s="270"/>
      <c r="AC226" s="270"/>
      <c r="AD226" s="270"/>
      <c r="AE226" s="270"/>
      <c r="AF226" s="270"/>
      <c r="AG226" s="270"/>
      <c r="AH226" s="270"/>
      <c r="AI226" s="270"/>
      <c r="AJ226" s="270"/>
      <c r="AK226" s="363">
        <f t="shared" ca="1" si="111"/>
        <v>0</v>
      </c>
      <c r="AL226" s="345">
        <f t="shared" ca="1" si="112"/>
        <v>-6572964.1277797641</v>
      </c>
    </row>
    <row r="227" spans="2:38" ht="53" customHeight="1" x14ac:dyDescent="0.35">
      <c r="B227" s="344">
        <f t="shared" si="126"/>
        <v>77</v>
      </c>
      <c r="C227" s="345">
        <f t="shared" si="123"/>
        <v>0</v>
      </c>
      <c r="D227" s="345">
        <f t="shared" si="113"/>
        <v>1530</v>
      </c>
      <c r="E227" s="345">
        <f t="shared" si="114"/>
        <v>900</v>
      </c>
      <c r="F227" s="345">
        <v>600</v>
      </c>
      <c r="G227" s="345">
        <f t="shared" si="115"/>
        <v>0</v>
      </c>
      <c r="H227" s="345">
        <f t="shared" si="127"/>
        <v>66970</v>
      </c>
      <c r="I227" s="345" t="e">
        <f>#REF!*H227</f>
        <v>#REF!</v>
      </c>
      <c r="J227" s="346" t="e">
        <f t="shared" si="131"/>
        <v>#REF!</v>
      </c>
      <c r="K227" s="345">
        <v>66000</v>
      </c>
      <c r="L227" s="278"/>
      <c r="M227" s="346" t="e">
        <f t="shared" si="132"/>
        <v>#REF!</v>
      </c>
      <c r="N227" s="345">
        <f t="shared" si="116"/>
        <v>0</v>
      </c>
      <c r="O227" s="345" t="e">
        <f t="shared" ca="1" si="129"/>
        <v>#REF!</v>
      </c>
      <c r="P227" s="345" t="e">
        <f ca="1">IF(B227&lt;=55,$AK$5,#REF!)*(IF(O227&gt;=40000,40000,O227))</f>
        <v>#REF!</v>
      </c>
      <c r="Q227" s="345" t="e">
        <f t="shared" ca="1" si="117"/>
        <v>#VALUE!</v>
      </c>
      <c r="R227" s="345" t="e">
        <f t="shared" ca="1" si="118"/>
        <v>#REF!</v>
      </c>
      <c r="T227" s="345">
        <f t="shared" si="119"/>
        <v>0</v>
      </c>
      <c r="U227" s="345"/>
      <c r="V227" s="345" t="str">
        <f t="shared" si="121"/>
        <v>60 to 64</v>
      </c>
      <c r="W227" s="345" t="e">
        <f t="shared" ca="1" si="130"/>
        <v>#VALUE!</v>
      </c>
      <c r="X227" s="345" t="e">
        <f ca="1">IF(B227&lt;=55,$AK$3,#REF!)*(IF(W227&gt;=20000,20000,W227))</f>
        <v>#REF!</v>
      </c>
      <c r="Y227" s="345" t="e">
        <f t="shared" ca="1" si="122"/>
        <v>#VALUE!</v>
      </c>
      <c r="Z227" s="349" t="e">
        <f t="shared" ca="1" si="125"/>
        <v>#VALUE!</v>
      </c>
      <c r="AA227" s="270"/>
      <c r="AB227" s="270"/>
      <c r="AC227" s="270"/>
      <c r="AD227" s="270"/>
      <c r="AE227" s="270"/>
      <c r="AF227" s="270"/>
      <c r="AG227" s="270"/>
      <c r="AH227" s="270"/>
      <c r="AI227" s="270"/>
      <c r="AJ227" s="270"/>
      <c r="AK227" s="363">
        <f t="shared" ca="1" si="111"/>
        <v>0</v>
      </c>
      <c r="AL227" s="345">
        <f t="shared" ca="1" si="112"/>
        <v>-6967341.9754465502</v>
      </c>
    </row>
    <row r="228" spans="2:38" ht="53" customHeight="1" x14ac:dyDescent="0.35">
      <c r="B228" s="344">
        <f t="shared" si="126"/>
        <v>78</v>
      </c>
      <c r="C228" s="345">
        <f t="shared" si="123"/>
        <v>0</v>
      </c>
      <c r="D228" s="345">
        <f t="shared" si="113"/>
        <v>1530</v>
      </c>
      <c r="E228" s="345">
        <f t="shared" si="114"/>
        <v>900</v>
      </c>
      <c r="F228" s="345">
        <v>600</v>
      </c>
      <c r="G228" s="345">
        <f t="shared" si="115"/>
        <v>0</v>
      </c>
      <c r="H228" s="345">
        <f t="shared" si="127"/>
        <v>66970</v>
      </c>
      <c r="I228" s="345" t="e">
        <f>#REF!*H228</f>
        <v>#REF!</v>
      </c>
      <c r="J228" s="346" t="e">
        <f t="shared" si="131"/>
        <v>#REF!</v>
      </c>
      <c r="K228" s="345">
        <v>66000</v>
      </c>
      <c r="L228" s="278"/>
      <c r="M228" s="346" t="e">
        <f t="shared" si="132"/>
        <v>#REF!</v>
      </c>
      <c r="N228" s="345">
        <f t="shared" si="116"/>
        <v>0</v>
      </c>
      <c r="O228" s="345" t="e">
        <f t="shared" ca="1" si="129"/>
        <v>#REF!</v>
      </c>
      <c r="P228" s="345" t="e">
        <f ca="1">IF(B228&lt;=55,$AK$5,#REF!)*(IF(O228&gt;=40000,40000,O228))</f>
        <v>#REF!</v>
      </c>
      <c r="Q228" s="345" t="e">
        <f t="shared" ca="1" si="117"/>
        <v>#VALUE!</v>
      </c>
      <c r="R228" s="345" t="e">
        <f t="shared" ca="1" si="118"/>
        <v>#REF!</v>
      </c>
      <c r="T228" s="345">
        <f t="shared" si="119"/>
        <v>0</v>
      </c>
      <c r="U228" s="345"/>
      <c r="V228" s="345" t="str">
        <f t="shared" si="121"/>
        <v>60 to 64</v>
      </c>
      <c r="W228" s="345" t="e">
        <f t="shared" ca="1" si="130"/>
        <v>#VALUE!</v>
      </c>
      <c r="X228" s="345" t="e">
        <f ca="1">IF(B228&lt;=55,$AK$3,#REF!)*(IF(W228&gt;=20000,20000,W228))</f>
        <v>#REF!</v>
      </c>
      <c r="Y228" s="345" t="e">
        <f t="shared" ca="1" si="122"/>
        <v>#VALUE!</v>
      </c>
      <c r="Z228" s="349" t="e">
        <f t="shared" ca="1" si="125"/>
        <v>#VALUE!</v>
      </c>
      <c r="AA228" s="270"/>
      <c r="AB228" s="270"/>
      <c r="AC228" s="270"/>
      <c r="AD228" s="270"/>
      <c r="AE228" s="270"/>
      <c r="AF228" s="270"/>
      <c r="AG228" s="270"/>
      <c r="AH228" s="270"/>
      <c r="AI228" s="270"/>
      <c r="AJ228" s="270"/>
      <c r="AK228" s="363">
        <f t="shared" ca="1" si="111"/>
        <v>0</v>
      </c>
      <c r="AL228" s="345">
        <f t="shared" ca="1" si="112"/>
        <v>-7385382.4939733427</v>
      </c>
    </row>
    <row r="229" spans="2:38" ht="53" customHeight="1" x14ac:dyDescent="0.35">
      <c r="B229" s="344">
        <f t="shared" si="126"/>
        <v>79</v>
      </c>
      <c r="C229" s="345">
        <f t="shared" si="123"/>
        <v>0</v>
      </c>
      <c r="D229" s="345">
        <f t="shared" si="113"/>
        <v>1590</v>
      </c>
      <c r="E229" s="345">
        <f t="shared" si="114"/>
        <v>900</v>
      </c>
      <c r="F229" s="345">
        <v>600</v>
      </c>
      <c r="G229" s="345">
        <f t="shared" si="115"/>
        <v>0</v>
      </c>
      <c r="H229" s="345">
        <f t="shared" si="127"/>
        <v>66910</v>
      </c>
      <c r="I229" s="345" t="e">
        <f>#REF!*H229</f>
        <v>#REF!</v>
      </c>
      <c r="J229" s="346" t="e">
        <f t="shared" si="131"/>
        <v>#REF!</v>
      </c>
      <c r="K229" s="345">
        <v>66000</v>
      </c>
      <c r="L229" s="278"/>
      <c r="M229" s="346" t="e">
        <f t="shared" si="132"/>
        <v>#REF!</v>
      </c>
      <c r="N229" s="345">
        <f t="shared" si="116"/>
        <v>0</v>
      </c>
      <c r="O229" s="345" t="e">
        <f t="shared" ca="1" si="129"/>
        <v>#REF!</v>
      </c>
      <c r="P229" s="345" t="e">
        <f ca="1">IF(B229&lt;=55,$AK$5,#REF!)*(IF(O229&gt;=40000,40000,O229))</f>
        <v>#REF!</v>
      </c>
      <c r="Q229" s="345" t="e">
        <f t="shared" ca="1" si="117"/>
        <v>#VALUE!</v>
      </c>
      <c r="R229" s="345" t="e">
        <f t="shared" ca="1" si="118"/>
        <v>#REF!</v>
      </c>
      <c r="T229" s="345">
        <f t="shared" si="119"/>
        <v>0</v>
      </c>
      <c r="U229" s="345"/>
      <c r="V229" s="345" t="str">
        <f t="shared" si="121"/>
        <v>60 to 64</v>
      </c>
      <c r="W229" s="345" t="e">
        <f t="shared" ca="1" si="130"/>
        <v>#VALUE!</v>
      </c>
      <c r="X229" s="345" t="e">
        <f ca="1">IF(B229&lt;=55,$AK$3,#REF!)*(IF(W229&gt;=20000,20000,W229))</f>
        <v>#REF!</v>
      </c>
      <c r="Y229" s="345" t="e">
        <f t="shared" ca="1" si="122"/>
        <v>#VALUE!</v>
      </c>
      <c r="Z229" s="349" t="e">
        <f t="shared" ca="1" si="125"/>
        <v>#VALUE!</v>
      </c>
      <c r="AA229" s="270"/>
      <c r="AB229" s="270"/>
      <c r="AC229" s="270"/>
      <c r="AD229" s="270"/>
      <c r="AE229" s="270"/>
      <c r="AF229" s="270"/>
      <c r="AG229" s="270"/>
      <c r="AH229" s="270"/>
      <c r="AI229" s="270"/>
      <c r="AJ229" s="270"/>
      <c r="AK229" s="363">
        <f t="shared" ca="1" si="111"/>
        <v>0</v>
      </c>
      <c r="AL229" s="345">
        <f t="shared" ca="1" si="112"/>
        <v>-7828505.4436117429</v>
      </c>
    </row>
    <row r="230" spans="2:38" ht="53" customHeight="1" x14ac:dyDescent="0.35">
      <c r="B230" s="344">
        <f t="shared" si="126"/>
        <v>80</v>
      </c>
      <c r="C230" s="345">
        <f t="shared" si="123"/>
        <v>0</v>
      </c>
      <c r="D230" s="345">
        <f t="shared" si="113"/>
        <v>1590</v>
      </c>
      <c r="E230" s="345">
        <f t="shared" si="114"/>
        <v>900</v>
      </c>
      <c r="F230" s="345">
        <v>600</v>
      </c>
      <c r="G230" s="345">
        <f t="shared" si="115"/>
        <v>0</v>
      </c>
      <c r="H230" s="345">
        <f t="shared" si="127"/>
        <v>66910</v>
      </c>
      <c r="I230" s="345" t="e">
        <f>#REF!*H230</f>
        <v>#REF!</v>
      </c>
      <c r="J230" s="346" t="e">
        <f t="shared" si="131"/>
        <v>#REF!</v>
      </c>
      <c r="K230" s="345">
        <v>66000</v>
      </c>
      <c r="L230" s="278"/>
      <c r="M230" s="346" t="e">
        <f t="shared" si="132"/>
        <v>#REF!</v>
      </c>
      <c r="N230" s="345">
        <f t="shared" si="116"/>
        <v>0</v>
      </c>
      <c r="O230" s="345" t="e">
        <f t="shared" ca="1" si="129"/>
        <v>#REF!</v>
      </c>
      <c r="P230" s="345" t="e">
        <f ca="1">IF(B230&lt;=55,$AK$5,#REF!)*(IF(O230&gt;=40000,40000,O230))</f>
        <v>#REF!</v>
      </c>
      <c r="Q230" s="345" t="e">
        <f t="shared" ca="1" si="117"/>
        <v>#VALUE!</v>
      </c>
      <c r="R230" s="345" t="e">
        <f t="shared" ca="1" si="118"/>
        <v>#REF!</v>
      </c>
      <c r="T230" s="345">
        <f t="shared" si="119"/>
        <v>0</v>
      </c>
      <c r="U230" s="345"/>
      <c r="V230" s="345" t="str">
        <f t="shared" si="121"/>
        <v>60 to 64</v>
      </c>
      <c r="W230" s="345" t="e">
        <f t="shared" ca="1" si="130"/>
        <v>#VALUE!</v>
      </c>
      <c r="X230" s="345" t="e">
        <f ca="1">IF(B230&lt;=55,$AK$3,#REF!)*(IF(W230&gt;=20000,20000,W230))</f>
        <v>#REF!</v>
      </c>
      <c r="Y230" s="345" t="e">
        <f t="shared" ca="1" si="122"/>
        <v>#VALUE!</v>
      </c>
      <c r="Z230" s="349" t="e">
        <f t="shared" ca="1" si="125"/>
        <v>#VALUE!</v>
      </c>
      <c r="AA230" s="270"/>
      <c r="AB230" s="270"/>
      <c r="AC230" s="270"/>
      <c r="AD230" s="270"/>
      <c r="AE230" s="270"/>
      <c r="AF230" s="270"/>
      <c r="AG230" s="270"/>
      <c r="AH230" s="270"/>
      <c r="AI230" s="270"/>
      <c r="AJ230" s="270"/>
      <c r="AK230" s="363">
        <f t="shared" ca="1" si="111"/>
        <v>0</v>
      </c>
      <c r="AL230" s="345">
        <f t="shared" ca="1" si="112"/>
        <v>-8298215.7702284474</v>
      </c>
    </row>
    <row r="231" spans="2:38" ht="53" customHeight="1" x14ac:dyDescent="0.35">
      <c r="B231" s="344">
        <f t="shared" si="126"/>
        <v>81</v>
      </c>
      <c r="C231" s="345">
        <f t="shared" si="123"/>
        <v>0</v>
      </c>
      <c r="D231" s="345">
        <f t="shared" si="113"/>
        <v>1675</v>
      </c>
      <c r="E231" s="345">
        <f t="shared" si="114"/>
        <v>900</v>
      </c>
      <c r="F231" s="345">
        <v>600</v>
      </c>
      <c r="G231" s="345">
        <f t="shared" si="115"/>
        <v>0</v>
      </c>
      <c r="H231" s="345">
        <f t="shared" si="127"/>
        <v>66825</v>
      </c>
      <c r="I231" s="345" t="e">
        <f>#REF!*H231</f>
        <v>#REF!</v>
      </c>
      <c r="J231" s="346" t="e">
        <f t="shared" si="131"/>
        <v>#REF!</v>
      </c>
      <c r="K231" s="345">
        <v>66000</v>
      </c>
      <c r="L231" s="278"/>
      <c r="M231" s="346" t="e">
        <f t="shared" si="132"/>
        <v>#REF!</v>
      </c>
      <c r="N231" s="345">
        <f t="shared" si="116"/>
        <v>0</v>
      </c>
      <c r="O231" s="345" t="e">
        <f t="shared" ca="1" si="129"/>
        <v>#REF!</v>
      </c>
      <c r="P231" s="345" t="e">
        <f ca="1">IF(B231&lt;=55,$AK$5,#REF!)*(IF(O231&gt;=40000,40000,O231))</f>
        <v>#REF!</v>
      </c>
      <c r="Q231" s="345" t="e">
        <f t="shared" ca="1" si="117"/>
        <v>#VALUE!</v>
      </c>
      <c r="R231" s="345" t="e">
        <f t="shared" ca="1" si="118"/>
        <v>#REF!</v>
      </c>
      <c r="S231" s="304"/>
      <c r="T231" s="345">
        <f t="shared" si="119"/>
        <v>0</v>
      </c>
      <c r="U231" s="345"/>
      <c r="V231" s="345" t="str">
        <f t="shared" si="121"/>
        <v>60 to 64</v>
      </c>
      <c r="W231" s="345" t="e">
        <f t="shared" ca="1" si="130"/>
        <v>#VALUE!</v>
      </c>
      <c r="X231" s="345" t="e">
        <f ca="1">IF(B231&lt;=55,$AK$3,#REF!)*(IF(W231&gt;=20000,20000,W231))</f>
        <v>#REF!</v>
      </c>
      <c r="Y231" s="345" t="e">
        <f t="shared" ca="1" si="122"/>
        <v>#VALUE!</v>
      </c>
      <c r="Z231" s="349" t="e">
        <f t="shared" ca="1" si="125"/>
        <v>#VALUE!</v>
      </c>
      <c r="AA231" s="270"/>
      <c r="AB231" s="270"/>
      <c r="AC231" s="270"/>
      <c r="AD231" s="270"/>
      <c r="AE231" s="270"/>
      <c r="AF231" s="270"/>
      <c r="AG231" s="270"/>
      <c r="AH231" s="270"/>
      <c r="AI231" s="270"/>
      <c r="AJ231" s="270"/>
      <c r="AK231" s="363">
        <f t="shared" ca="1" si="111"/>
        <v>0</v>
      </c>
      <c r="AL231" s="345">
        <f t="shared" ca="1" si="112"/>
        <v>-8796108.7164421547</v>
      </c>
    </row>
    <row r="232" spans="2:38" ht="53" customHeight="1" x14ac:dyDescent="0.35">
      <c r="B232" s="344">
        <f t="shared" si="126"/>
        <v>82</v>
      </c>
      <c r="C232" s="345">
        <f t="shared" si="123"/>
        <v>0</v>
      </c>
      <c r="D232" s="345">
        <f t="shared" si="113"/>
        <v>1675</v>
      </c>
      <c r="E232" s="345">
        <f t="shared" si="114"/>
        <v>900</v>
      </c>
      <c r="F232" s="345">
        <v>600</v>
      </c>
      <c r="G232" s="345">
        <f t="shared" si="115"/>
        <v>0</v>
      </c>
      <c r="H232" s="345">
        <f t="shared" si="127"/>
        <v>66825</v>
      </c>
      <c r="I232" s="345" t="e">
        <f>#REF!*H232</f>
        <v>#REF!</v>
      </c>
      <c r="J232" s="346" t="e">
        <f t="shared" si="131"/>
        <v>#REF!</v>
      </c>
      <c r="K232" s="345">
        <v>66000</v>
      </c>
      <c r="L232" s="278"/>
      <c r="M232" s="346" t="e">
        <f t="shared" si="132"/>
        <v>#REF!</v>
      </c>
      <c r="N232" s="345">
        <f t="shared" si="116"/>
        <v>0</v>
      </c>
      <c r="O232" s="345" t="e">
        <f t="shared" ca="1" si="129"/>
        <v>#REF!</v>
      </c>
      <c r="P232" s="345" t="e">
        <f ca="1">IF(B232&lt;=55,$AK$5,#REF!)*(IF(O232&gt;=40000,40000,O232))</f>
        <v>#REF!</v>
      </c>
      <c r="Q232" s="345" t="e">
        <f t="shared" ca="1" si="117"/>
        <v>#VALUE!</v>
      </c>
      <c r="R232" s="345" t="e">
        <f t="shared" ca="1" si="118"/>
        <v>#REF!</v>
      </c>
      <c r="T232" s="345">
        <f t="shared" si="119"/>
        <v>0</v>
      </c>
      <c r="U232" s="345"/>
      <c r="V232" s="345" t="str">
        <f t="shared" si="121"/>
        <v>60 to 64</v>
      </c>
      <c r="W232" s="345" t="e">
        <f t="shared" ca="1" si="130"/>
        <v>#VALUE!</v>
      </c>
      <c r="X232" s="345" t="e">
        <f ca="1">IF(B232&lt;=55,$AK$3,#REF!)*(IF(W232&gt;=20000,20000,W232))</f>
        <v>#REF!</v>
      </c>
      <c r="Y232" s="345" t="e">
        <f t="shared" ca="1" si="122"/>
        <v>#VALUE!</v>
      </c>
      <c r="Z232" s="349" t="e">
        <f t="shared" ca="1" si="125"/>
        <v>#VALUE!</v>
      </c>
      <c r="AA232" s="270"/>
      <c r="AB232" s="270"/>
      <c r="AC232" s="270"/>
      <c r="AD232" s="270"/>
      <c r="AE232" s="270"/>
      <c r="AF232" s="270"/>
      <c r="AG232" s="270"/>
      <c r="AH232" s="270"/>
      <c r="AI232" s="270"/>
      <c r="AJ232" s="270"/>
      <c r="AK232" s="363">
        <f t="shared" ca="1" si="111"/>
        <v>0</v>
      </c>
      <c r="AL232" s="345">
        <f t="shared" ca="1" si="112"/>
        <v>-9323875.2394286841</v>
      </c>
    </row>
    <row r="233" spans="2:38" ht="53" customHeight="1" x14ac:dyDescent="0.35">
      <c r="B233" s="344">
        <f t="shared" si="126"/>
        <v>83</v>
      </c>
      <c r="C233" s="345">
        <f t="shared" si="123"/>
        <v>0</v>
      </c>
      <c r="D233" s="345">
        <f t="shared" si="113"/>
        <v>1675</v>
      </c>
      <c r="E233" s="345">
        <f t="shared" si="114"/>
        <v>900</v>
      </c>
      <c r="F233" s="345">
        <v>600</v>
      </c>
      <c r="G233" s="345">
        <f t="shared" si="115"/>
        <v>0</v>
      </c>
      <c r="H233" s="345">
        <f t="shared" si="127"/>
        <v>66825</v>
      </c>
      <c r="I233" s="345" t="e">
        <f>#REF!*H233</f>
        <v>#REF!</v>
      </c>
      <c r="J233" s="346" t="e">
        <f t="shared" si="131"/>
        <v>#REF!</v>
      </c>
      <c r="K233" s="345">
        <v>66000</v>
      </c>
      <c r="L233" s="307"/>
      <c r="M233" s="346" t="e">
        <f t="shared" si="132"/>
        <v>#REF!</v>
      </c>
      <c r="N233" s="345">
        <f t="shared" si="116"/>
        <v>0</v>
      </c>
      <c r="O233" s="345" t="e">
        <f t="shared" ca="1" si="129"/>
        <v>#REF!</v>
      </c>
      <c r="P233" s="345" t="e">
        <f ca="1">IF(B233&lt;=55,$AK$5,#REF!)*(IF(O233&gt;=40000,40000,O233))</f>
        <v>#REF!</v>
      </c>
      <c r="Q233" s="345" t="e">
        <f t="shared" ca="1" si="117"/>
        <v>#VALUE!</v>
      </c>
      <c r="R233" s="345" t="e">
        <f t="shared" ca="1" si="118"/>
        <v>#REF!</v>
      </c>
      <c r="S233" s="306"/>
      <c r="T233" s="345">
        <f t="shared" si="119"/>
        <v>0</v>
      </c>
      <c r="U233" s="345"/>
      <c r="V233" s="345" t="str">
        <f t="shared" si="121"/>
        <v>60 to 64</v>
      </c>
      <c r="W233" s="345" t="e">
        <f t="shared" ca="1" si="130"/>
        <v>#VALUE!</v>
      </c>
      <c r="X233" s="345" t="e">
        <f ca="1">IF(B233&lt;=55,$AK$3,#REF!)*(IF(W233&gt;=20000,20000,W233))</f>
        <v>#REF!</v>
      </c>
      <c r="Y233" s="345" t="e">
        <f t="shared" ca="1" si="122"/>
        <v>#VALUE!</v>
      </c>
      <c r="Z233" s="349" t="e">
        <f t="shared" ca="1" si="125"/>
        <v>#VALUE!</v>
      </c>
      <c r="AA233" s="270"/>
      <c r="AB233" s="270"/>
      <c r="AC233" s="270"/>
      <c r="AD233" s="270"/>
      <c r="AE233" s="270"/>
      <c r="AF233" s="270"/>
      <c r="AG233" s="270"/>
      <c r="AH233" s="270"/>
      <c r="AI233" s="270"/>
      <c r="AJ233" s="270"/>
      <c r="AK233" s="363">
        <f t="shared" ca="1" si="111"/>
        <v>0</v>
      </c>
      <c r="AL233" s="345">
        <f t="shared" ca="1" si="112"/>
        <v>-9883307.7537944056</v>
      </c>
    </row>
    <row r="234" spans="2:38" ht="53" customHeight="1" x14ac:dyDescent="0.35">
      <c r="B234" s="344">
        <f t="shared" si="126"/>
        <v>84</v>
      </c>
      <c r="C234" s="345">
        <f t="shared" si="123"/>
        <v>0</v>
      </c>
      <c r="D234" s="345">
        <f t="shared" si="113"/>
        <v>1935</v>
      </c>
      <c r="E234" s="345">
        <f t="shared" si="114"/>
        <v>900</v>
      </c>
      <c r="F234" s="345">
        <v>600</v>
      </c>
      <c r="G234" s="345">
        <f t="shared" si="115"/>
        <v>0</v>
      </c>
      <c r="H234" s="345">
        <f t="shared" si="127"/>
        <v>66565</v>
      </c>
      <c r="I234" s="345" t="e">
        <f>#REF!*H234</f>
        <v>#REF!</v>
      </c>
      <c r="J234" s="346" t="e">
        <f t="shared" si="131"/>
        <v>#REF!</v>
      </c>
      <c r="K234" s="345">
        <v>66000</v>
      </c>
      <c r="L234" s="278"/>
      <c r="M234" s="346" t="e">
        <f t="shared" si="132"/>
        <v>#REF!</v>
      </c>
      <c r="N234" s="345">
        <f t="shared" si="116"/>
        <v>0</v>
      </c>
      <c r="O234" s="345" t="e">
        <f t="shared" ca="1" si="129"/>
        <v>#REF!</v>
      </c>
      <c r="P234" s="345" t="e">
        <f ca="1">IF(B234&lt;=55,$AK$5,#REF!)*(IF(O234&gt;=40000,40000,O234))</f>
        <v>#REF!</v>
      </c>
      <c r="Q234" s="345" t="e">
        <f t="shared" ca="1" si="117"/>
        <v>#VALUE!</v>
      </c>
      <c r="R234" s="345" t="e">
        <f t="shared" ca="1" si="118"/>
        <v>#REF!</v>
      </c>
      <c r="T234" s="345">
        <f t="shared" si="119"/>
        <v>0</v>
      </c>
      <c r="U234" s="345"/>
      <c r="V234" s="345" t="str">
        <f t="shared" si="121"/>
        <v>60 to 64</v>
      </c>
      <c r="W234" s="345" t="e">
        <f t="shared" ca="1" si="130"/>
        <v>#VALUE!</v>
      </c>
      <c r="X234" s="345" t="e">
        <f ca="1">IF(B234&lt;=55,$AK$3,#REF!)*(IF(W234&gt;=20000,20000,W234))</f>
        <v>#REF!</v>
      </c>
      <c r="Y234" s="345" t="e">
        <f t="shared" ca="1" si="122"/>
        <v>#VALUE!</v>
      </c>
      <c r="Z234" s="349" t="e">
        <f t="shared" ca="1" si="125"/>
        <v>#VALUE!</v>
      </c>
      <c r="AA234" s="270"/>
      <c r="AB234" s="270"/>
      <c r="AC234" s="270"/>
      <c r="AD234" s="270"/>
      <c r="AE234" s="270"/>
      <c r="AF234" s="270"/>
      <c r="AG234" s="270"/>
      <c r="AH234" s="270"/>
      <c r="AI234" s="270"/>
      <c r="AJ234" s="270"/>
      <c r="AK234" s="363">
        <f t="shared" ca="1" si="111"/>
        <v>0</v>
      </c>
      <c r="AL234" s="345">
        <f t="shared" ca="1" si="112"/>
        <v>-10476306.219022069</v>
      </c>
    </row>
    <row r="235" spans="2:38" ht="53" customHeight="1" x14ac:dyDescent="0.35">
      <c r="B235" s="344">
        <f t="shared" si="126"/>
        <v>85</v>
      </c>
      <c r="C235" s="345">
        <f t="shared" si="123"/>
        <v>0</v>
      </c>
      <c r="D235" s="345">
        <f t="shared" si="113"/>
        <v>1935</v>
      </c>
      <c r="E235" s="345">
        <f t="shared" si="114"/>
        <v>900</v>
      </c>
      <c r="F235" s="345">
        <v>600</v>
      </c>
      <c r="G235" s="345">
        <f t="shared" si="115"/>
        <v>0</v>
      </c>
      <c r="H235" s="345">
        <f t="shared" si="127"/>
        <v>66565</v>
      </c>
      <c r="I235" s="345" t="e">
        <f>#REF!*H235</f>
        <v>#REF!</v>
      </c>
      <c r="J235" s="346" t="e">
        <f t="shared" si="131"/>
        <v>#REF!</v>
      </c>
      <c r="K235" s="345">
        <v>66000</v>
      </c>
      <c r="L235" s="278"/>
      <c r="M235" s="346" t="e">
        <f t="shared" si="132"/>
        <v>#REF!</v>
      </c>
      <c r="N235" s="345">
        <f t="shared" si="116"/>
        <v>0</v>
      </c>
      <c r="O235" s="345" t="e">
        <f t="shared" ca="1" si="129"/>
        <v>#REF!</v>
      </c>
      <c r="P235" s="345" t="e">
        <f ca="1">IF(B235&lt;=55,$AK$5,#REF!)*(IF(O235&gt;=40000,40000,O235))</f>
        <v>#REF!</v>
      </c>
      <c r="Q235" s="345" t="e">
        <f t="shared" ca="1" si="117"/>
        <v>#VALUE!</v>
      </c>
      <c r="R235" s="345" t="e">
        <f t="shared" ca="1" si="118"/>
        <v>#REF!</v>
      </c>
      <c r="T235" s="345">
        <f t="shared" si="119"/>
        <v>0</v>
      </c>
      <c r="U235" s="345"/>
      <c r="V235" s="345" t="str">
        <f t="shared" si="121"/>
        <v>60 to 64</v>
      </c>
      <c r="W235" s="345" t="e">
        <f t="shared" ca="1" si="130"/>
        <v>#VALUE!</v>
      </c>
      <c r="X235" s="345" t="e">
        <f ca="1">IF(B235&lt;=55,$AK$3,#REF!)*(IF(W235&gt;=20000,20000,W235))</f>
        <v>#REF!</v>
      </c>
      <c r="Y235" s="345" t="e">
        <f t="shared" ca="1" si="122"/>
        <v>#VALUE!</v>
      </c>
      <c r="Z235" s="349" t="e">
        <f t="shared" ca="1" si="125"/>
        <v>#VALUE!</v>
      </c>
      <c r="AA235" s="270"/>
      <c r="AB235" s="270"/>
      <c r="AC235" s="270"/>
      <c r="AD235" s="270"/>
      <c r="AE235" s="270"/>
      <c r="AF235" s="270"/>
      <c r="AG235" s="270"/>
      <c r="AH235" s="270"/>
      <c r="AI235" s="270"/>
      <c r="AJ235" s="270"/>
      <c r="AK235" s="363">
        <f t="shared" ca="1" si="111"/>
        <v>0</v>
      </c>
      <c r="AL235" s="345">
        <f t="shared" ca="1" si="112"/>
        <v>-11104884.592163393</v>
      </c>
    </row>
    <row r="236" spans="2:38" ht="53" customHeight="1" x14ac:dyDescent="0.35">
      <c r="B236" s="344">
        <f t="shared" si="126"/>
        <v>86</v>
      </c>
      <c r="C236" s="345">
        <f t="shared" si="123"/>
        <v>0</v>
      </c>
      <c r="D236" s="345">
        <f t="shared" si="113"/>
        <v>2025</v>
      </c>
      <c r="E236" s="345">
        <f t="shared" si="114"/>
        <v>900</v>
      </c>
      <c r="F236" s="345">
        <v>600</v>
      </c>
      <c r="G236" s="345">
        <f t="shared" si="115"/>
        <v>0</v>
      </c>
      <c r="H236" s="345">
        <f t="shared" si="127"/>
        <v>66475</v>
      </c>
      <c r="I236" s="345" t="e">
        <f>#REF!*H236</f>
        <v>#REF!</v>
      </c>
      <c r="J236" s="346" t="e">
        <f t="shared" si="131"/>
        <v>#REF!</v>
      </c>
      <c r="K236" s="345">
        <v>66000</v>
      </c>
      <c r="L236" s="278"/>
      <c r="M236" s="346" t="e">
        <f t="shared" si="132"/>
        <v>#REF!</v>
      </c>
      <c r="N236" s="345">
        <f t="shared" si="116"/>
        <v>0</v>
      </c>
      <c r="O236" s="345" t="e">
        <f t="shared" ca="1" si="129"/>
        <v>#REF!</v>
      </c>
      <c r="P236" s="345" t="e">
        <f ca="1">IF(B236&lt;=55,$AK$5,#REF!)*(IF(O236&gt;=40000,40000,O236))</f>
        <v>#REF!</v>
      </c>
      <c r="Q236" s="345" t="e">
        <f t="shared" ca="1" si="117"/>
        <v>#VALUE!</v>
      </c>
      <c r="R236" s="345" t="e">
        <f t="shared" ca="1" si="118"/>
        <v>#REF!</v>
      </c>
      <c r="T236" s="345">
        <f t="shared" si="119"/>
        <v>0</v>
      </c>
      <c r="U236" s="345"/>
      <c r="V236" s="345" t="str">
        <f t="shared" si="121"/>
        <v>60 to 64</v>
      </c>
      <c r="W236" s="345" t="e">
        <f t="shared" ca="1" si="130"/>
        <v>#VALUE!</v>
      </c>
      <c r="X236" s="345" t="e">
        <f ca="1">IF(B236&lt;=55,$AK$3,#REF!)*(IF(W236&gt;=20000,20000,W236))</f>
        <v>#REF!</v>
      </c>
      <c r="Y236" s="345" t="e">
        <f t="shared" ca="1" si="122"/>
        <v>#VALUE!</v>
      </c>
      <c r="Z236" s="349" t="e">
        <f t="shared" ca="1" si="125"/>
        <v>#VALUE!</v>
      </c>
      <c r="AA236" s="270"/>
      <c r="AB236" s="270"/>
      <c r="AC236" s="270"/>
      <c r="AD236" s="270"/>
      <c r="AE236" s="270"/>
      <c r="AF236" s="270"/>
      <c r="AG236" s="270"/>
      <c r="AH236" s="270"/>
      <c r="AI236" s="270"/>
      <c r="AJ236" s="270"/>
      <c r="AK236" s="363">
        <f t="shared" ca="1" si="111"/>
        <v>0</v>
      </c>
      <c r="AL236" s="345">
        <f t="shared" ca="1" si="112"/>
        <v>-11771177.667693198</v>
      </c>
    </row>
    <row r="237" spans="2:38" ht="53" customHeight="1" x14ac:dyDescent="0.35">
      <c r="B237" s="344">
        <f t="shared" si="126"/>
        <v>87</v>
      </c>
      <c r="C237" s="345">
        <f t="shared" si="123"/>
        <v>0</v>
      </c>
      <c r="D237" s="345">
        <f t="shared" si="113"/>
        <v>2025</v>
      </c>
      <c r="E237" s="345">
        <f t="shared" si="114"/>
        <v>900</v>
      </c>
      <c r="F237" s="345">
        <v>600</v>
      </c>
      <c r="G237" s="345">
        <f t="shared" si="115"/>
        <v>0</v>
      </c>
      <c r="H237" s="345">
        <f t="shared" si="127"/>
        <v>66475</v>
      </c>
      <c r="I237" s="345" t="e">
        <f>#REF!*H237</f>
        <v>#REF!</v>
      </c>
      <c r="J237" s="346" t="e">
        <f t="shared" si="131"/>
        <v>#REF!</v>
      </c>
      <c r="K237" s="345">
        <v>66000</v>
      </c>
      <c r="L237" s="278"/>
      <c r="M237" s="346" t="e">
        <f t="shared" si="132"/>
        <v>#REF!</v>
      </c>
      <c r="N237" s="345">
        <f t="shared" si="116"/>
        <v>0</v>
      </c>
      <c r="O237" s="345" t="e">
        <f t="shared" ca="1" si="129"/>
        <v>#REF!</v>
      </c>
      <c r="P237" s="345" t="e">
        <f ca="1">IF(B237&lt;=55,$AK$5,#REF!)*(IF(O237&gt;=40000,40000,O237))</f>
        <v>#REF!</v>
      </c>
      <c r="Q237" s="345" t="e">
        <f t="shared" ca="1" si="117"/>
        <v>#VALUE!</v>
      </c>
      <c r="R237" s="345" t="e">
        <f t="shared" ca="1" si="118"/>
        <v>#REF!</v>
      </c>
      <c r="T237" s="345">
        <f t="shared" si="119"/>
        <v>0</v>
      </c>
      <c r="U237" s="345"/>
      <c r="V237" s="345" t="str">
        <f t="shared" si="121"/>
        <v>60 to 64</v>
      </c>
      <c r="W237" s="345" t="e">
        <f t="shared" ca="1" si="130"/>
        <v>#VALUE!</v>
      </c>
      <c r="X237" s="345" t="e">
        <f ca="1">IF(B237&lt;=55,$AK$3,#REF!)*(IF(W237&gt;=20000,20000,W237))</f>
        <v>#REF!</v>
      </c>
      <c r="Y237" s="345" t="e">
        <f t="shared" ca="1" si="122"/>
        <v>#VALUE!</v>
      </c>
      <c r="Z237" s="349" t="e">
        <f t="shared" ca="1" si="125"/>
        <v>#VALUE!</v>
      </c>
      <c r="AA237" s="270"/>
      <c r="AB237" s="270"/>
      <c r="AC237" s="270"/>
      <c r="AD237" s="270"/>
      <c r="AE237" s="270"/>
      <c r="AF237" s="270"/>
      <c r="AG237" s="270"/>
      <c r="AH237" s="270"/>
      <c r="AI237" s="270"/>
      <c r="AJ237" s="270"/>
      <c r="AK237" s="363">
        <f t="shared" ca="1" si="111"/>
        <v>0</v>
      </c>
      <c r="AL237" s="345">
        <f t="shared" ca="1" si="112"/>
        <v>-12477448.32775479</v>
      </c>
    </row>
    <row r="238" spans="2:38" ht="53" customHeight="1" x14ac:dyDescent="0.35">
      <c r="B238" s="344">
        <f t="shared" si="126"/>
        <v>88</v>
      </c>
      <c r="C238" s="345">
        <f t="shared" si="123"/>
        <v>0</v>
      </c>
      <c r="D238" s="345">
        <f t="shared" si="113"/>
        <v>2025</v>
      </c>
      <c r="E238" s="345">
        <f t="shared" si="114"/>
        <v>900</v>
      </c>
      <c r="F238" s="345">
        <v>600</v>
      </c>
      <c r="G238" s="345">
        <f t="shared" si="115"/>
        <v>0</v>
      </c>
      <c r="H238" s="345">
        <f t="shared" si="127"/>
        <v>66475</v>
      </c>
      <c r="I238" s="345" t="e">
        <f>#REF!*H238</f>
        <v>#REF!</v>
      </c>
      <c r="J238" s="346" t="e">
        <f t="shared" si="131"/>
        <v>#REF!</v>
      </c>
      <c r="K238" s="345">
        <v>66000</v>
      </c>
      <c r="L238" s="278"/>
      <c r="M238" s="346" t="e">
        <f t="shared" si="132"/>
        <v>#REF!</v>
      </c>
      <c r="N238" s="345">
        <f t="shared" si="116"/>
        <v>0</v>
      </c>
      <c r="O238" s="345" t="e">
        <f t="shared" ca="1" si="129"/>
        <v>#REF!</v>
      </c>
      <c r="P238" s="345" t="e">
        <f ca="1">IF(B238&lt;=55,$AK$5,#REF!)*(IF(O238&gt;=40000,40000,O238))</f>
        <v>#REF!</v>
      </c>
      <c r="Q238" s="345" t="e">
        <f t="shared" ca="1" si="117"/>
        <v>#VALUE!</v>
      </c>
      <c r="R238" s="345" t="e">
        <f t="shared" ca="1" si="118"/>
        <v>#REF!</v>
      </c>
      <c r="T238" s="345">
        <f t="shared" si="119"/>
        <v>0</v>
      </c>
      <c r="U238" s="345"/>
      <c r="V238" s="345" t="str">
        <f t="shared" si="121"/>
        <v>60 to 64</v>
      </c>
      <c r="W238" s="345" t="e">
        <f t="shared" ca="1" si="130"/>
        <v>#VALUE!</v>
      </c>
      <c r="X238" s="345" t="e">
        <f ca="1">IF(B238&lt;=55,$AK$3,#REF!)*(IF(W238&gt;=20000,20000,W238))</f>
        <v>#REF!</v>
      </c>
      <c r="Y238" s="345" t="e">
        <f t="shared" ca="1" si="122"/>
        <v>#VALUE!</v>
      </c>
      <c r="Z238" s="349" t="e">
        <f t="shared" ca="1" si="125"/>
        <v>#VALUE!</v>
      </c>
      <c r="AA238" s="270"/>
      <c r="AB238" s="270"/>
      <c r="AC238" s="270"/>
      <c r="AD238" s="270"/>
      <c r="AE238" s="270"/>
      <c r="AF238" s="270"/>
      <c r="AG238" s="270"/>
      <c r="AH238" s="270"/>
      <c r="AI238" s="270"/>
      <c r="AJ238" s="270"/>
    </row>
    <row r="239" spans="2:38" ht="53" customHeight="1" x14ac:dyDescent="0.35">
      <c r="B239" s="344">
        <f t="shared" si="126"/>
        <v>89</v>
      </c>
      <c r="C239" s="345">
        <f t="shared" si="123"/>
        <v>0</v>
      </c>
      <c r="D239" s="345">
        <f t="shared" si="113"/>
        <v>2025</v>
      </c>
      <c r="E239" s="345">
        <f t="shared" si="114"/>
        <v>900</v>
      </c>
      <c r="F239" s="345">
        <v>600</v>
      </c>
      <c r="G239" s="345">
        <f t="shared" si="115"/>
        <v>0</v>
      </c>
      <c r="H239" s="345">
        <f t="shared" si="127"/>
        <v>66475</v>
      </c>
      <c r="I239" s="345" t="e">
        <f>#REF!*H239</f>
        <v>#REF!</v>
      </c>
      <c r="J239" s="346" t="e">
        <f t="shared" si="131"/>
        <v>#REF!</v>
      </c>
      <c r="K239" s="345">
        <v>66000</v>
      </c>
      <c r="L239" s="278"/>
      <c r="M239" s="346" t="e">
        <f t="shared" si="132"/>
        <v>#REF!</v>
      </c>
      <c r="N239" s="345">
        <f t="shared" si="116"/>
        <v>0</v>
      </c>
      <c r="O239" s="345" t="e">
        <f t="shared" ca="1" si="129"/>
        <v>#REF!</v>
      </c>
      <c r="P239" s="345" t="e">
        <f ca="1">IF(B239&lt;=55,$AK$5,#REF!)*(IF(O239&gt;=40000,40000,O239))</f>
        <v>#REF!</v>
      </c>
      <c r="Q239" s="345" t="e">
        <f t="shared" ca="1" si="117"/>
        <v>#VALUE!</v>
      </c>
      <c r="R239" s="345" t="e">
        <f t="shared" ca="1" si="118"/>
        <v>#REF!</v>
      </c>
      <c r="T239" s="345">
        <f t="shared" si="119"/>
        <v>0</v>
      </c>
      <c r="U239" s="345"/>
      <c r="V239" s="345" t="str">
        <f t="shared" si="121"/>
        <v>60 to 64</v>
      </c>
      <c r="W239" s="345" t="e">
        <f t="shared" ca="1" si="130"/>
        <v>#VALUE!</v>
      </c>
      <c r="X239" s="345" t="e">
        <f ca="1">IF(B239&lt;=55,$AK$3,#REF!)*(IF(W239&gt;=20000,20000,W239))</f>
        <v>#REF!</v>
      </c>
      <c r="Y239" s="345" t="e">
        <f t="shared" ca="1" si="122"/>
        <v>#VALUE!</v>
      </c>
      <c r="Z239" s="349" t="e">
        <f t="shared" ca="1" si="125"/>
        <v>#VALUE!</v>
      </c>
      <c r="AA239" s="270"/>
      <c r="AB239" s="270"/>
      <c r="AC239" s="270"/>
      <c r="AD239" s="270"/>
      <c r="AE239" s="270"/>
      <c r="AF239" s="270"/>
      <c r="AG239" s="270"/>
      <c r="AH239" s="270"/>
      <c r="AI239" s="270"/>
      <c r="AJ239" s="270"/>
    </row>
    <row r="240" spans="2:38" ht="53" customHeight="1" x14ac:dyDescent="0.35">
      <c r="B240" s="344">
        <f t="shared" si="126"/>
        <v>90</v>
      </c>
      <c r="C240" s="345">
        <f t="shared" si="123"/>
        <v>0</v>
      </c>
      <c r="D240" s="345">
        <f t="shared" si="113"/>
        <v>2025</v>
      </c>
      <c r="E240" s="345">
        <f t="shared" si="114"/>
        <v>900</v>
      </c>
      <c r="F240" s="345">
        <v>600</v>
      </c>
      <c r="G240" s="345">
        <f t="shared" si="115"/>
        <v>0</v>
      </c>
      <c r="H240" s="345">
        <f t="shared" si="127"/>
        <v>66475</v>
      </c>
      <c r="I240" s="345" t="e">
        <f>#REF!*H240</f>
        <v>#REF!</v>
      </c>
      <c r="J240" s="346" t="e">
        <f t="shared" si="131"/>
        <v>#REF!</v>
      </c>
      <c r="K240" s="345">
        <v>66000</v>
      </c>
      <c r="L240" s="278"/>
      <c r="M240" s="346" t="e">
        <f t="shared" si="132"/>
        <v>#REF!</v>
      </c>
      <c r="N240" s="345">
        <f t="shared" si="116"/>
        <v>0</v>
      </c>
      <c r="O240" s="345" t="e">
        <f t="shared" ca="1" si="129"/>
        <v>#REF!</v>
      </c>
      <c r="P240" s="345" t="e">
        <f ca="1">IF(B240&lt;=55,$AK$5,#REF!)*(IF(O240&gt;=40000,40000,O240))</f>
        <v>#REF!</v>
      </c>
      <c r="Q240" s="345" t="e">
        <f t="shared" ca="1" si="117"/>
        <v>#VALUE!</v>
      </c>
      <c r="R240" s="345" t="e">
        <f t="shared" ca="1" si="118"/>
        <v>#REF!</v>
      </c>
      <c r="T240" s="345">
        <f t="shared" si="119"/>
        <v>0</v>
      </c>
      <c r="U240" s="345"/>
      <c r="V240" s="345" t="str">
        <f t="shared" si="121"/>
        <v>60 to 64</v>
      </c>
      <c r="W240" s="345" t="e">
        <f t="shared" ca="1" si="130"/>
        <v>#VALUE!</v>
      </c>
      <c r="X240" s="345" t="e">
        <f ca="1">IF(B240&lt;=55,$AK$3,#REF!)*(IF(W240&gt;=20000,20000,W240))</f>
        <v>#REF!</v>
      </c>
      <c r="Y240" s="345" t="e">
        <f t="shared" ca="1" si="122"/>
        <v>#VALUE!</v>
      </c>
      <c r="Z240" s="349" t="e">
        <f t="shared" ca="1" si="125"/>
        <v>#VALUE!</v>
      </c>
      <c r="AA240" s="270"/>
      <c r="AB240" s="270"/>
      <c r="AC240" s="270"/>
      <c r="AD240" s="270"/>
      <c r="AE240" s="270"/>
      <c r="AF240" s="270"/>
      <c r="AG240" s="270"/>
      <c r="AH240" s="270"/>
      <c r="AI240" s="270"/>
      <c r="AJ240" s="270"/>
    </row>
    <row r="241" spans="2:37" ht="53" customHeight="1" x14ac:dyDescent="0.35">
      <c r="B241" s="344">
        <f t="shared" si="126"/>
        <v>91</v>
      </c>
      <c r="C241" s="345">
        <f t="shared" si="123"/>
        <v>0</v>
      </c>
      <c r="D241" s="345">
        <f t="shared" si="113"/>
        <v>2055</v>
      </c>
      <c r="E241" s="345">
        <f t="shared" si="114"/>
        <v>900</v>
      </c>
      <c r="F241" s="345">
        <v>600</v>
      </c>
      <c r="G241" s="345">
        <f t="shared" si="115"/>
        <v>0</v>
      </c>
      <c r="H241" s="345">
        <f t="shared" si="127"/>
        <v>66445</v>
      </c>
      <c r="I241" s="345" t="e">
        <f>#REF!*H241</f>
        <v>#REF!</v>
      </c>
      <c r="J241" s="346" t="e">
        <f t="shared" si="131"/>
        <v>#REF!</v>
      </c>
      <c r="K241" s="345">
        <v>66000</v>
      </c>
      <c r="L241" s="278"/>
      <c r="M241" s="346" t="e">
        <f t="shared" si="132"/>
        <v>#REF!</v>
      </c>
      <c r="N241" s="345">
        <f t="shared" si="116"/>
        <v>0</v>
      </c>
      <c r="O241" s="345" t="e">
        <f t="shared" ca="1" si="129"/>
        <v>#REF!</v>
      </c>
      <c r="P241" s="345" t="e">
        <f ca="1">IF(B241&lt;=55,$AK$5,#REF!)*(IF(O241&gt;=40000,40000,O241))</f>
        <v>#REF!</v>
      </c>
      <c r="Q241" s="345" t="e">
        <f t="shared" ca="1" si="117"/>
        <v>#VALUE!</v>
      </c>
      <c r="R241" s="345" t="e">
        <f t="shared" ca="1" si="118"/>
        <v>#REF!</v>
      </c>
      <c r="T241" s="345">
        <f t="shared" si="119"/>
        <v>0</v>
      </c>
      <c r="U241" s="345"/>
      <c r="V241" s="345" t="str">
        <f t="shared" si="121"/>
        <v>60 to 64</v>
      </c>
      <c r="W241" s="345" t="e">
        <f t="shared" ca="1" si="130"/>
        <v>#VALUE!</v>
      </c>
      <c r="X241" s="345" t="e">
        <f ca="1">IF(B241&lt;=55,$AK$3,#REF!)*(IF(W241&gt;=20000,20000,W241))</f>
        <v>#REF!</v>
      </c>
      <c r="Y241" s="345" t="e">
        <f t="shared" ca="1" si="122"/>
        <v>#VALUE!</v>
      </c>
      <c r="Z241" s="349" t="e">
        <f t="shared" ca="1" si="125"/>
        <v>#VALUE!</v>
      </c>
      <c r="AA241" s="270"/>
      <c r="AB241" s="270"/>
      <c r="AC241" s="270"/>
      <c r="AD241" s="270"/>
      <c r="AE241" s="270"/>
      <c r="AF241" s="270"/>
      <c r="AG241" s="270"/>
      <c r="AH241" s="270"/>
      <c r="AI241" s="270"/>
      <c r="AJ241" s="270"/>
    </row>
    <row r="242" spans="2:37" ht="53" customHeight="1" x14ac:dyDescent="0.35">
      <c r="B242" s="344">
        <f t="shared" si="126"/>
        <v>92</v>
      </c>
      <c r="C242" s="345">
        <f t="shared" si="123"/>
        <v>0</v>
      </c>
      <c r="D242" s="345">
        <f t="shared" si="113"/>
        <v>2055</v>
      </c>
      <c r="E242" s="345">
        <f t="shared" si="114"/>
        <v>900</v>
      </c>
      <c r="F242" s="345">
        <v>600</v>
      </c>
      <c r="G242" s="345">
        <f t="shared" si="115"/>
        <v>0</v>
      </c>
      <c r="H242" s="345">
        <f t="shared" si="127"/>
        <v>66445</v>
      </c>
      <c r="I242" s="345" t="e">
        <f>#REF!*H242</f>
        <v>#REF!</v>
      </c>
      <c r="J242" s="346" t="e">
        <f t="shared" si="131"/>
        <v>#REF!</v>
      </c>
      <c r="K242" s="345">
        <v>66000</v>
      </c>
      <c r="L242" s="278"/>
      <c r="M242" s="346" t="e">
        <f t="shared" si="132"/>
        <v>#REF!</v>
      </c>
      <c r="N242" s="345">
        <f t="shared" si="116"/>
        <v>0</v>
      </c>
      <c r="O242" s="345" t="e">
        <f t="shared" ca="1" si="129"/>
        <v>#REF!</v>
      </c>
      <c r="P242" s="345" t="e">
        <f ca="1">IF(B242&lt;=55,$AK$5,#REF!)*(IF(O242&gt;=40000,40000,O242))</f>
        <v>#REF!</v>
      </c>
      <c r="Q242" s="345" t="e">
        <f t="shared" ca="1" si="117"/>
        <v>#VALUE!</v>
      </c>
      <c r="R242" s="345" t="e">
        <f t="shared" ca="1" si="118"/>
        <v>#REF!</v>
      </c>
      <c r="T242" s="345">
        <f t="shared" si="119"/>
        <v>0</v>
      </c>
      <c r="U242" s="345"/>
      <c r="V242" s="345" t="str">
        <f t="shared" si="121"/>
        <v>60 to 64</v>
      </c>
      <c r="W242" s="345" t="e">
        <f t="shared" ca="1" si="130"/>
        <v>#VALUE!</v>
      </c>
      <c r="X242" s="345" t="e">
        <f ca="1">IF(B242&lt;=55,$AK$3,#REF!)*(IF(W242&gt;=20000,20000,W242))</f>
        <v>#REF!</v>
      </c>
      <c r="Y242" s="345" t="e">
        <f t="shared" ca="1" si="122"/>
        <v>#VALUE!</v>
      </c>
      <c r="Z242" s="349" t="e">
        <f t="shared" ca="1" si="125"/>
        <v>#VALUE!</v>
      </c>
      <c r="AA242" s="270"/>
      <c r="AB242" s="270"/>
      <c r="AC242" s="270"/>
      <c r="AD242" s="270"/>
      <c r="AE242" s="270"/>
      <c r="AF242" s="270"/>
      <c r="AG242" s="270"/>
      <c r="AH242" s="270"/>
      <c r="AI242" s="270"/>
      <c r="AJ242" s="270"/>
    </row>
    <row r="243" spans="2:37" ht="53" customHeight="1" x14ac:dyDescent="0.35">
      <c r="B243" s="344">
        <f t="shared" si="126"/>
        <v>93</v>
      </c>
      <c r="C243" s="345">
        <f t="shared" si="123"/>
        <v>0</v>
      </c>
      <c r="D243" s="345">
        <f t="shared" si="113"/>
        <v>2055</v>
      </c>
      <c r="E243" s="345">
        <f t="shared" si="114"/>
        <v>900</v>
      </c>
      <c r="F243" s="345">
        <v>600</v>
      </c>
      <c r="G243" s="345">
        <f t="shared" si="115"/>
        <v>0</v>
      </c>
      <c r="H243" s="345">
        <f t="shared" si="127"/>
        <v>66445</v>
      </c>
      <c r="I243" s="345" t="e">
        <f>#REF!*H243</f>
        <v>#REF!</v>
      </c>
      <c r="J243" s="346" t="e">
        <f t="shared" si="131"/>
        <v>#REF!</v>
      </c>
      <c r="K243" s="345">
        <v>66000</v>
      </c>
      <c r="L243" s="278"/>
      <c r="M243" s="346" t="e">
        <f t="shared" si="132"/>
        <v>#REF!</v>
      </c>
      <c r="N243" s="345">
        <f t="shared" si="116"/>
        <v>0</v>
      </c>
      <c r="O243" s="345" t="e">
        <f t="shared" ca="1" si="129"/>
        <v>#REF!</v>
      </c>
      <c r="P243" s="345" t="e">
        <f ca="1">IF(B243&lt;=55,$AK$5,#REF!)*(IF(O243&gt;=40000,40000,O243))</f>
        <v>#REF!</v>
      </c>
      <c r="Q243" s="345" t="e">
        <f t="shared" ca="1" si="117"/>
        <v>#VALUE!</v>
      </c>
      <c r="R243" s="345" t="e">
        <f t="shared" ca="1" si="118"/>
        <v>#REF!</v>
      </c>
      <c r="T243" s="345">
        <f t="shared" si="119"/>
        <v>0</v>
      </c>
      <c r="U243" s="345"/>
      <c r="V243" s="345" t="str">
        <f t="shared" si="121"/>
        <v>60 to 64</v>
      </c>
      <c r="W243" s="345" t="e">
        <f t="shared" ca="1" si="130"/>
        <v>#VALUE!</v>
      </c>
      <c r="X243" s="345" t="e">
        <f ca="1">IF(B243&lt;=55,$AK$3,#REF!)*(IF(W243&gt;=20000,20000,W243))</f>
        <v>#REF!</v>
      </c>
      <c r="Y243" s="345" t="e">
        <f t="shared" ca="1" si="122"/>
        <v>#VALUE!</v>
      </c>
      <c r="Z243" s="349" t="e">
        <f t="shared" ca="1" si="125"/>
        <v>#VALUE!</v>
      </c>
      <c r="AA243" s="270"/>
      <c r="AB243" s="270"/>
      <c r="AC243" s="270"/>
      <c r="AD243" s="270"/>
      <c r="AE243" s="270"/>
      <c r="AF243" s="270"/>
      <c r="AG243" s="270"/>
      <c r="AH243" s="270"/>
      <c r="AI243" s="270"/>
      <c r="AJ243" s="270"/>
      <c r="AK243" s="365" t="s">
        <v>241</v>
      </c>
    </row>
    <row r="244" spans="2:37" ht="53" customHeight="1" x14ac:dyDescent="0.35">
      <c r="B244" s="344">
        <f t="shared" si="126"/>
        <v>94</v>
      </c>
      <c r="C244" s="345">
        <f t="shared" si="123"/>
        <v>0</v>
      </c>
      <c r="D244" s="345">
        <f t="shared" si="113"/>
        <v>2055</v>
      </c>
      <c r="E244" s="345">
        <f t="shared" si="114"/>
        <v>900</v>
      </c>
      <c r="F244" s="345">
        <v>600</v>
      </c>
      <c r="G244" s="345">
        <f t="shared" si="115"/>
        <v>0</v>
      </c>
      <c r="H244" s="345">
        <f t="shared" si="127"/>
        <v>66445</v>
      </c>
      <c r="I244" s="345" t="e">
        <f>#REF!*H244</f>
        <v>#REF!</v>
      </c>
      <c r="J244" s="346" t="e">
        <f t="shared" si="131"/>
        <v>#REF!</v>
      </c>
      <c r="K244" s="345">
        <v>66000</v>
      </c>
      <c r="L244" s="278"/>
      <c r="M244" s="346" t="e">
        <f t="shared" si="132"/>
        <v>#REF!</v>
      </c>
      <c r="N244" s="345">
        <f t="shared" si="116"/>
        <v>0</v>
      </c>
      <c r="O244" s="345" t="e">
        <f t="shared" ca="1" si="129"/>
        <v>#REF!</v>
      </c>
      <c r="P244" s="345" t="e">
        <f ca="1">IF(B244&lt;=55,$AK$5,#REF!)*(IF(O244&gt;=40000,40000,O244))</f>
        <v>#REF!</v>
      </c>
      <c r="Q244" s="345" t="e">
        <f t="shared" ca="1" si="117"/>
        <v>#VALUE!</v>
      </c>
      <c r="R244" s="345" t="e">
        <f t="shared" ca="1" si="118"/>
        <v>#REF!</v>
      </c>
      <c r="T244" s="345">
        <f t="shared" si="119"/>
        <v>0</v>
      </c>
      <c r="U244" s="345"/>
      <c r="V244" s="345" t="str">
        <f t="shared" si="121"/>
        <v>60 to 64</v>
      </c>
      <c r="W244" s="345" t="e">
        <f t="shared" ca="1" si="130"/>
        <v>#VALUE!</v>
      </c>
      <c r="X244" s="345" t="e">
        <f ca="1">IF(B244&lt;=55,$AK$3,#REF!)*(IF(W244&gt;=20000,20000,W244))</f>
        <v>#REF!</v>
      </c>
      <c r="Y244" s="345" t="e">
        <f t="shared" ca="1" si="122"/>
        <v>#VALUE!</v>
      </c>
      <c r="Z244" s="349" t="e">
        <f t="shared" ca="1" si="125"/>
        <v>#VALUE!</v>
      </c>
      <c r="AA244" s="270"/>
      <c r="AB244" s="270"/>
      <c r="AC244" s="270"/>
      <c r="AD244" s="270"/>
      <c r="AE244" s="270"/>
      <c r="AF244" s="270"/>
      <c r="AG244" s="270"/>
      <c r="AH244" s="270"/>
      <c r="AI244" s="270"/>
      <c r="AJ244" s="270"/>
      <c r="AK244" s="348">
        <f t="shared" ref="AK244:AK289" ca="1" si="133">X163+Y163+Z163</f>
        <v>-120534.57092456814</v>
      </c>
    </row>
    <row r="245" spans="2:37" ht="53" customHeight="1" x14ac:dyDescent="0.35">
      <c r="B245" s="344">
        <f t="shared" si="126"/>
        <v>95</v>
      </c>
      <c r="C245" s="345">
        <f t="shared" si="123"/>
        <v>0</v>
      </c>
      <c r="D245" s="345">
        <f t="shared" si="113"/>
        <v>2055</v>
      </c>
      <c r="E245" s="345">
        <f t="shared" si="114"/>
        <v>900</v>
      </c>
      <c r="F245" s="345"/>
      <c r="G245" s="345">
        <f t="shared" si="115"/>
        <v>0</v>
      </c>
      <c r="H245" s="345">
        <f t="shared" si="127"/>
        <v>67045</v>
      </c>
      <c r="I245" s="345" t="e">
        <f>#REF!*H245</f>
        <v>#REF!</v>
      </c>
      <c r="J245" s="346" t="e">
        <f t="shared" si="131"/>
        <v>#REF!</v>
      </c>
      <c r="K245" s="345">
        <v>66000</v>
      </c>
      <c r="L245" s="278"/>
      <c r="M245" s="346" t="e">
        <f t="shared" si="132"/>
        <v>#REF!</v>
      </c>
      <c r="N245" s="345">
        <f t="shared" si="116"/>
        <v>0</v>
      </c>
      <c r="O245" s="345" t="e">
        <f t="shared" ca="1" si="129"/>
        <v>#REF!</v>
      </c>
      <c r="P245" s="345" t="e">
        <f ca="1">IF(B245&lt;=55,$AK$5,#REF!)*(IF(O245&gt;=40000,40000,O245))</f>
        <v>#REF!</v>
      </c>
      <c r="Q245" s="345" t="e">
        <f t="shared" ca="1" si="117"/>
        <v>#VALUE!</v>
      </c>
      <c r="R245" s="345" t="e">
        <f t="shared" ca="1" si="118"/>
        <v>#REF!</v>
      </c>
      <c r="T245" s="345">
        <f t="shared" si="119"/>
        <v>0</v>
      </c>
      <c r="U245" s="345"/>
      <c r="V245" s="345" t="str">
        <f t="shared" si="121"/>
        <v>60 to 64</v>
      </c>
      <c r="W245" s="345" t="e">
        <f t="shared" ca="1" si="130"/>
        <v>#VALUE!</v>
      </c>
      <c r="X245" s="345" t="e">
        <f ca="1">IF(B245&lt;=55,$AK$3,#REF!)*(IF(W245&gt;=20000,20000,W245))</f>
        <v>#REF!</v>
      </c>
      <c r="Y245" s="345" t="e">
        <f t="shared" ca="1" si="122"/>
        <v>#VALUE!</v>
      </c>
      <c r="Z245" s="349" t="e">
        <f t="shared" ca="1" si="125"/>
        <v>#VALUE!</v>
      </c>
      <c r="AA245" s="270"/>
      <c r="AB245" s="270"/>
      <c r="AC245" s="270"/>
      <c r="AD245" s="270"/>
      <c r="AE245" s="270"/>
      <c r="AF245" s="270"/>
      <c r="AG245" s="270"/>
      <c r="AH245" s="270"/>
      <c r="AI245" s="270"/>
      <c r="AJ245" s="270"/>
      <c r="AK245" s="348">
        <f t="shared" ca="1" si="133"/>
        <v>-124549.82357515644</v>
      </c>
    </row>
    <row r="246" spans="2:37" ht="53" customHeight="1" x14ac:dyDescent="0.35">
      <c r="B246" s="344">
        <f t="shared" si="126"/>
        <v>96</v>
      </c>
      <c r="C246" s="345">
        <f t="shared" si="123"/>
        <v>0</v>
      </c>
      <c r="D246" s="345">
        <f t="shared" si="113"/>
        <v>2055</v>
      </c>
      <c r="E246" s="345">
        <f t="shared" si="114"/>
        <v>900</v>
      </c>
      <c r="F246" s="345"/>
      <c r="G246" s="345">
        <f t="shared" si="115"/>
        <v>0</v>
      </c>
      <c r="H246" s="345">
        <f t="shared" si="127"/>
        <v>67045</v>
      </c>
      <c r="I246" s="345" t="e">
        <f>#REF!*H246</f>
        <v>#REF!</v>
      </c>
      <c r="J246" s="346" t="e">
        <f t="shared" si="131"/>
        <v>#REF!</v>
      </c>
      <c r="K246" s="345">
        <v>66000</v>
      </c>
      <c r="L246" s="278"/>
      <c r="M246" s="346" t="e">
        <f t="shared" si="132"/>
        <v>#REF!</v>
      </c>
      <c r="N246" s="345">
        <f t="shared" si="116"/>
        <v>0</v>
      </c>
      <c r="O246" s="345" t="e">
        <f t="shared" ca="1" si="129"/>
        <v>#REF!</v>
      </c>
      <c r="P246" s="345" t="e">
        <f ca="1">IF(B246&lt;=55,$AK$5,#REF!)*(IF(O246&gt;=40000,40000,O246))</f>
        <v>#REF!</v>
      </c>
      <c r="Q246" s="345" t="e">
        <f t="shared" ca="1" si="117"/>
        <v>#VALUE!</v>
      </c>
      <c r="R246" s="345" t="e">
        <f t="shared" ca="1" si="118"/>
        <v>#REF!</v>
      </c>
      <c r="T246" s="345">
        <f t="shared" si="119"/>
        <v>0</v>
      </c>
      <c r="U246" s="345"/>
      <c r="V246" s="345" t="str">
        <f t="shared" si="121"/>
        <v>60 to 64</v>
      </c>
      <c r="W246" s="345" t="e">
        <f t="shared" ca="1" si="130"/>
        <v>#VALUE!</v>
      </c>
      <c r="X246" s="345" t="e">
        <f ca="1">IF(B246&lt;=55,$AK$3,#REF!)*(IF(W246&gt;=20000,20000,W246))</f>
        <v>#REF!</v>
      </c>
      <c r="Y246" s="345" t="e">
        <f t="shared" ca="1" si="122"/>
        <v>#VALUE!</v>
      </c>
      <c r="Z246" s="349" t="e">
        <f t="shared" ca="1" si="125"/>
        <v>#VALUE!</v>
      </c>
      <c r="AA246" s="270"/>
      <c r="AB246" s="270"/>
      <c r="AC246" s="270"/>
      <c r="AD246" s="270"/>
      <c r="AE246" s="270"/>
      <c r="AF246" s="270"/>
      <c r="AG246" s="270"/>
      <c r="AH246" s="270"/>
      <c r="AI246" s="270"/>
      <c r="AJ246" s="270"/>
      <c r="AK246" s="348">
        <f t="shared" ca="1" si="133"/>
        <v>-128906.37270104473</v>
      </c>
    </row>
    <row r="247" spans="2:37" ht="53" customHeight="1" x14ac:dyDescent="0.35">
      <c r="B247" s="344">
        <f t="shared" si="126"/>
        <v>97</v>
      </c>
      <c r="C247" s="345">
        <f t="shared" si="123"/>
        <v>0</v>
      </c>
      <c r="D247" s="345">
        <f t="shared" si="113"/>
        <v>2055</v>
      </c>
      <c r="E247" s="345">
        <f t="shared" si="114"/>
        <v>900</v>
      </c>
      <c r="F247" s="345"/>
      <c r="G247" s="345">
        <f t="shared" si="115"/>
        <v>0</v>
      </c>
      <c r="H247" s="345">
        <f t="shared" si="127"/>
        <v>67045</v>
      </c>
      <c r="I247" s="345" t="e">
        <f>#REF!*H247</f>
        <v>#REF!</v>
      </c>
      <c r="J247" s="346" t="e">
        <f t="shared" si="131"/>
        <v>#REF!</v>
      </c>
      <c r="K247" s="345">
        <v>66000</v>
      </c>
      <c r="L247" s="278"/>
      <c r="M247" s="346" t="e">
        <f t="shared" si="132"/>
        <v>#REF!</v>
      </c>
      <c r="N247" s="345">
        <f t="shared" si="116"/>
        <v>0</v>
      </c>
      <c r="O247" s="345" t="e">
        <f t="shared" ca="1" si="129"/>
        <v>#REF!</v>
      </c>
      <c r="P247" s="345" t="e">
        <f ca="1">IF(B247&lt;=55,$AK$5,#REF!)*(IF(O247&gt;=40000,40000,O247))</f>
        <v>#REF!</v>
      </c>
      <c r="Q247" s="345" t="e">
        <f t="shared" ca="1" si="117"/>
        <v>#VALUE!</v>
      </c>
      <c r="R247" s="345" t="e">
        <f t="shared" ca="1" si="118"/>
        <v>#REF!</v>
      </c>
      <c r="T247" s="345">
        <f t="shared" si="119"/>
        <v>0</v>
      </c>
      <c r="U247" s="345"/>
      <c r="V247" s="345" t="str">
        <f t="shared" si="121"/>
        <v>60 to 64</v>
      </c>
      <c r="W247" s="345" t="e">
        <f t="shared" ca="1" si="130"/>
        <v>#VALUE!</v>
      </c>
      <c r="X247" s="345" t="e">
        <f ca="1">IF(B247&lt;=55,$AK$3,#REF!)*(IF(W247&gt;=20000,20000,W247))</f>
        <v>#REF!</v>
      </c>
      <c r="Y247" s="345" t="e">
        <f t="shared" ca="1" si="122"/>
        <v>#VALUE!</v>
      </c>
      <c r="Z247" s="349" t="e">
        <f t="shared" ca="1" si="125"/>
        <v>#VALUE!</v>
      </c>
      <c r="AA247" s="270"/>
      <c r="AB247" s="270"/>
      <c r="AC247" s="270"/>
      <c r="AD247" s="270"/>
      <c r="AE247" s="270"/>
      <c r="AF247" s="270"/>
      <c r="AG247" s="270"/>
      <c r="AH247" s="270"/>
      <c r="AI247" s="270"/>
      <c r="AJ247" s="270"/>
      <c r="AK247" s="348">
        <f t="shared" ca="1" si="133"/>
        <v>-133633.22850263354</v>
      </c>
    </row>
    <row r="248" spans="2:37" ht="53" customHeight="1" x14ac:dyDescent="0.35">
      <c r="B248" s="344">
        <f t="shared" si="126"/>
        <v>98</v>
      </c>
      <c r="C248" s="345">
        <f t="shared" si="123"/>
        <v>0</v>
      </c>
      <c r="D248" s="345">
        <f t="shared" si="113"/>
        <v>2055</v>
      </c>
      <c r="E248" s="345">
        <f t="shared" si="114"/>
        <v>900</v>
      </c>
      <c r="F248" s="345"/>
      <c r="G248" s="345">
        <f t="shared" si="115"/>
        <v>0</v>
      </c>
      <c r="H248" s="345">
        <f t="shared" si="127"/>
        <v>67045</v>
      </c>
      <c r="I248" s="345" t="e">
        <f>#REF!*H248</f>
        <v>#REF!</v>
      </c>
      <c r="J248" s="346" t="e">
        <f t="shared" si="131"/>
        <v>#REF!</v>
      </c>
      <c r="K248" s="345">
        <v>66000</v>
      </c>
      <c r="L248" s="278"/>
      <c r="M248" s="346" t="e">
        <f t="shared" si="132"/>
        <v>#REF!</v>
      </c>
      <c r="N248" s="345">
        <f t="shared" si="116"/>
        <v>0</v>
      </c>
      <c r="O248" s="345" t="e">
        <f t="shared" ca="1" si="129"/>
        <v>#REF!</v>
      </c>
      <c r="P248" s="345" t="e">
        <f ca="1">IF(B248&lt;=55,$AK$5,#REF!)*(IF(O248&gt;=40000,40000,O248))</f>
        <v>#REF!</v>
      </c>
      <c r="Q248" s="345" t="e">
        <f t="shared" ca="1" si="117"/>
        <v>#VALUE!</v>
      </c>
      <c r="R248" s="345" t="e">
        <f t="shared" ca="1" si="118"/>
        <v>#REF!</v>
      </c>
      <c r="T248" s="345">
        <f t="shared" si="119"/>
        <v>0</v>
      </c>
      <c r="U248" s="345"/>
      <c r="V248" s="345" t="str">
        <f t="shared" si="121"/>
        <v>60 to 64</v>
      </c>
      <c r="W248" s="345" t="e">
        <f t="shared" ca="1" si="130"/>
        <v>#VALUE!</v>
      </c>
      <c r="X248" s="345" t="e">
        <f ca="1">IF(B248&lt;=55,$AK$3,#REF!)*(IF(W248&gt;=20000,20000,W248))</f>
        <v>#REF!</v>
      </c>
      <c r="Y248" s="345" t="e">
        <f t="shared" ca="1" si="122"/>
        <v>#VALUE!</v>
      </c>
      <c r="Z248" s="349" t="e">
        <f t="shared" ca="1" si="125"/>
        <v>#VALUE!</v>
      </c>
      <c r="AA248" s="270"/>
      <c r="AB248" s="270"/>
      <c r="AC248" s="270"/>
      <c r="AD248" s="270"/>
      <c r="AE248" s="270"/>
      <c r="AF248" s="270"/>
      <c r="AG248" s="270"/>
      <c r="AH248" s="270"/>
      <c r="AI248" s="270"/>
      <c r="AJ248" s="270"/>
      <c r="AK248" s="348">
        <f t="shared" ca="1" si="133"/>
        <v>-138761.8670473574</v>
      </c>
    </row>
    <row r="249" spans="2:37" ht="53" customHeight="1" x14ac:dyDescent="0.35">
      <c r="B249" s="344">
        <f t="shared" si="126"/>
        <v>99</v>
      </c>
      <c r="C249" s="345">
        <f t="shared" si="123"/>
        <v>0</v>
      </c>
      <c r="D249" s="345">
        <f t="shared" si="113"/>
        <v>2055</v>
      </c>
      <c r="E249" s="345">
        <f t="shared" si="114"/>
        <v>900</v>
      </c>
      <c r="F249" s="345"/>
      <c r="G249" s="345">
        <f t="shared" si="115"/>
        <v>0</v>
      </c>
      <c r="H249" s="345">
        <f t="shared" si="127"/>
        <v>67045</v>
      </c>
      <c r="I249" s="345" t="e">
        <f>#REF!*H249</f>
        <v>#REF!</v>
      </c>
      <c r="J249" s="346" t="e">
        <f t="shared" si="131"/>
        <v>#REF!</v>
      </c>
      <c r="K249" s="345">
        <v>66000</v>
      </c>
      <c r="L249" s="278"/>
      <c r="M249" s="346" t="e">
        <f t="shared" si="132"/>
        <v>#REF!</v>
      </c>
      <c r="N249" s="345">
        <f t="shared" si="116"/>
        <v>0</v>
      </c>
      <c r="O249" s="345" t="e">
        <f t="shared" ca="1" si="129"/>
        <v>#REF!</v>
      </c>
      <c r="P249" s="345" t="e">
        <f ca="1">IF(B249&lt;=55,$AK$5,#REF!)*(IF(O249&gt;=40000,40000,O249))</f>
        <v>#REF!</v>
      </c>
      <c r="Q249" s="345" t="e">
        <f t="shared" ca="1" si="117"/>
        <v>#VALUE!</v>
      </c>
      <c r="R249" s="345" t="e">
        <f t="shared" ca="1" si="118"/>
        <v>#REF!</v>
      </c>
      <c r="T249" s="345">
        <f t="shared" si="119"/>
        <v>0</v>
      </c>
      <c r="U249" s="345"/>
      <c r="V249" s="345" t="str">
        <f t="shared" si="121"/>
        <v>60 to 64</v>
      </c>
      <c r="W249" s="345" t="e">
        <f t="shared" ca="1" si="130"/>
        <v>#VALUE!</v>
      </c>
      <c r="X249" s="345" t="e">
        <f ca="1">IF(B249&lt;=55,$AK$3,#REF!)*(IF(W249&gt;=20000,20000,W249))</f>
        <v>#REF!</v>
      </c>
      <c r="Y249" s="345" t="e">
        <f t="shared" ca="1" si="122"/>
        <v>#VALUE!</v>
      </c>
      <c r="Z249" s="349" t="e">
        <f t="shared" ca="1" si="125"/>
        <v>#VALUE!</v>
      </c>
      <c r="AA249" s="270"/>
      <c r="AB249" s="270"/>
      <c r="AC249" s="270"/>
      <c r="AD249" s="270"/>
      <c r="AE249" s="270"/>
      <c r="AF249" s="270"/>
      <c r="AG249" s="270"/>
      <c r="AH249" s="270"/>
      <c r="AI249" s="270"/>
      <c r="AJ249" s="270"/>
      <c r="AK249" s="348">
        <f t="shared" ca="1" si="133"/>
        <v>-144326.43986838276</v>
      </c>
    </row>
    <row r="250" spans="2:37" ht="53" customHeight="1" x14ac:dyDescent="0.35">
      <c r="B250" s="344">
        <f t="shared" si="126"/>
        <v>100</v>
      </c>
      <c r="C250" s="345">
        <f t="shared" si="123"/>
        <v>0</v>
      </c>
      <c r="D250" s="345">
        <f t="shared" si="113"/>
        <v>2055</v>
      </c>
      <c r="E250" s="345">
        <f t="shared" si="114"/>
        <v>900</v>
      </c>
      <c r="F250" s="345"/>
      <c r="G250" s="345">
        <f t="shared" si="115"/>
        <v>0</v>
      </c>
      <c r="H250" s="345">
        <f t="shared" si="127"/>
        <v>67045</v>
      </c>
      <c r="I250" s="345" t="e">
        <f>#REF!*H250</f>
        <v>#REF!</v>
      </c>
      <c r="J250" s="346" t="e">
        <f t="shared" si="131"/>
        <v>#REF!</v>
      </c>
      <c r="K250" s="345">
        <v>66000</v>
      </c>
      <c r="L250" s="278"/>
      <c r="M250" s="346" t="e">
        <f t="shared" si="132"/>
        <v>#REF!</v>
      </c>
      <c r="N250" s="345">
        <f t="shared" si="116"/>
        <v>0</v>
      </c>
      <c r="O250" s="345" t="e">
        <f t="shared" ca="1" si="129"/>
        <v>#REF!</v>
      </c>
      <c r="P250" s="345" t="e">
        <f ca="1">IF(B250&lt;=55,$AK$5,#REF!)*(IF(O250&gt;=40000,40000,O250))</f>
        <v>#REF!</v>
      </c>
      <c r="Q250" s="345" t="e">
        <f t="shared" ca="1" si="117"/>
        <v>#VALUE!</v>
      </c>
      <c r="R250" s="345" t="e">
        <f t="shared" ca="1" si="118"/>
        <v>#REF!</v>
      </c>
      <c r="T250" s="345">
        <f t="shared" si="119"/>
        <v>0</v>
      </c>
      <c r="U250" s="345"/>
      <c r="V250" s="345" t="str">
        <f t="shared" si="121"/>
        <v>60 to 64</v>
      </c>
      <c r="W250" s="345" t="e">
        <f t="shared" ca="1" si="130"/>
        <v>#VALUE!</v>
      </c>
      <c r="X250" s="345" t="e">
        <f ca="1">IF(B250&lt;=55,$AK$3,#REF!)*(IF(W250&gt;=20000,20000,W250))</f>
        <v>#REF!</v>
      </c>
      <c r="Y250" s="345" t="e">
        <f t="shared" ca="1" si="122"/>
        <v>#VALUE!</v>
      </c>
      <c r="Z250" s="349" t="e">
        <f t="shared" ca="1" si="125"/>
        <v>#VALUE!</v>
      </c>
      <c r="AA250" s="270"/>
      <c r="AB250" s="270"/>
      <c r="AC250" s="270"/>
      <c r="AD250" s="270"/>
      <c r="AE250" s="270"/>
      <c r="AF250" s="270"/>
      <c r="AG250" s="270"/>
      <c r="AH250" s="270"/>
      <c r="AI250" s="270"/>
      <c r="AJ250" s="270"/>
      <c r="AK250" s="375">
        <f t="shared" ca="1" si="133"/>
        <v>-154519.92613819533</v>
      </c>
    </row>
    <row r="251" spans="2:37" ht="53" customHeight="1" x14ac:dyDescent="0.35">
      <c r="B251" s="344">
        <f t="shared" si="126"/>
        <v>101</v>
      </c>
      <c r="C251" s="345">
        <f t="shared" si="123"/>
        <v>0</v>
      </c>
      <c r="D251" s="345">
        <f t="shared" si="113"/>
        <v>2055</v>
      </c>
      <c r="E251" s="345">
        <f t="shared" si="114"/>
        <v>900</v>
      </c>
      <c r="F251" s="345"/>
      <c r="G251" s="345">
        <f t="shared" si="115"/>
        <v>0</v>
      </c>
      <c r="H251" s="345">
        <f t="shared" si="127"/>
        <v>67045</v>
      </c>
      <c r="I251" s="345" t="e">
        <f>#REF!*H251</f>
        <v>#REF!</v>
      </c>
      <c r="J251" s="346" t="e">
        <f t="shared" si="131"/>
        <v>#REF!</v>
      </c>
      <c r="K251" s="345">
        <v>66000</v>
      </c>
      <c r="L251" s="278"/>
      <c r="M251" s="346" t="e">
        <f t="shared" si="132"/>
        <v>#REF!</v>
      </c>
      <c r="N251" s="345">
        <f t="shared" si="116"/>
        <v>0</v>
      </c>
      <c r="O251" s="345" t="e">
        <f t="shared" ca="1" si="129"/>
        <v>#REF!</v>
      </c>
      <c r="P251" s="345" t="e">
        <f ca="1">IF(B251&lt;=55,$AK$5,#REF!)*(IF(O251&gt;=40000,40000,O251))</f>
        <v>#REF!</v>
      </c>
      <c r="Q251" s="345" t="e">
        <f t="shared" ca="1" si="117"/>
        <v>#VALUE!</v>
      </c>
      <c r="R251" s="345" t="e">
        <f t="shared" ca="1" si="118"/>
        <v>#REF!</v>
      </c>
      <c r="T251" s="345">
        <f t="shared" si="119"/>
        <v>0</v>
      </c>
      <c r="U251" s="345"/>
      <c r="V251" s="345" t="str">
        <f t="shared" si="121"/>
        <v>60 to 64</v>
      </c>
      <c r="W251" s="345" t="e">
        <f t="shared" ca="1" si="130"/>
        <v>#VALUE!</v>
      </c>
      <c r="X251" s="345" t="e">
        <f ca="1">IF(B251&lt;=55,$AK$3,#REF!)*(IF(W251&gt;=20000,20000,W251))</f>
        <v>#REF!</v>
      </c>
      <c r="Y251" s="345" t="e">
        <f t="shared" ca="1" si="122"/>
        <v>#VALUE!</v>
      </c>
      <c r="Z251" s="349" t="e">
        <f t="shared" ca="1" si="125"/>
        <v>#VALUE!</v>
      </c>
      <c r="AA251" s="270"/>
      <c r="AB251" s="270"/>
      <c r="AC251" s="270"/>
      <c r="AD251" s="270"/>
      <c r="AE251" s="270"/>
      <c r="AF251" s="270"/>
      <c r="AG251" s="270"/>
      <c r="AH251" s="270"/>
      <c r="AI251" s="270"/>
      <c r="AJ251" s="270"/>
      <c r="AK251" s="348">
        <f t="shared" ca="1" si="133"/>
        <v>-165579.85874094194</v>
      </c>
    </row>
    <row r="252" spans="2:37" ht="53" customHeight="1" x14ac:dyDescent="0.35">
      <c r="B252" s="344">
        <f t="shared" si="126"/>
        <v>102</v>
      </c>
      <c r="C252" s="345">
        <f t="shared" si="123"/>
        <v>0</v>
      </c>
      <c r="D252" s="345">
        <f t="shared" si="113"/>
        <v>2055</v>
      </c>
      <c r="E252" s="345">
        <f t="shared" si="114"/>
        <v>900</v>
      </c>
      <c r="F252" s="345"/>
      <c r="G252" s="345">
        <f t="shared" si="115"/>
        <v>0</v>
      </c>
      <c r="H252" s="345">
        <f t="shared" si="127"/>
        <v>67045</v>
      </c>
      <c r="I252" s="345" t="e">
        <f>#REF!*H252</f>
        <v>#REF!</v>
      </c>
      <c r="J252" s="346" t="e">
        <f t="shared" si="131"/>
        <v>#REF!</v>
      </c>
      <c r="K252" s="345">
        <v>66000</v>
      </c>
      <c r="L252" s="278"/>
      <c r="M252" s="346" t="e">
        <f t="shared" si="132"/>
        <v>#REF!</v>
      </c>
      <c r="N252" s="345">
        <f t="shared" si="116"/>
        <v>0</v>
      </c>
      <c r="O252" s="345" t="e">
        <f t="shared" ca="1" si="129"/>
        <v>#REF!</v>
      </c>
      <c r="P252" s="345" t="e">
        <f ca="1">IF(B252&lt;=55,$AK$5,#REF!)*(IF(O252&gt;=40000,40000,O252))</f>
        <v>#REF!</v>
      </c>
      <c r="Q252" s="345" t="e">
        <f t="shared" ca="1" si="117"/>
        <v>#VALUE!</v>
      </c>
      <c r="R252" s="345" t="e">
        <f t="shared" ca="1" si="118"/>
        <v>#REF!</v>
      </c>
      <c r="T252" s="345">
        <f t="shared" si="119"/>
        <v>0</v>
      </c>
      <c r="U252" s="345"/>
      <c r="V252" s="345" t="str">
        <f t="shared" si="121"/>
        <v>60 to 64</v>
      </c>
      <c r="W252" s="345" t="e">
        <f t="shared" ca="1" si="130"/>
        <v>#VALUE!</v>
      </c>
      <c r="X252" s="345" t="e">
        <f ca="1">IF(B252&lt;=55,$AK$3,#REF!)*(IF(W252&gt;=20000,20000,W252))</f>
        <v>#REF!</v>
      </c>
      <c r="Y252" s="345" t="e">
        <f t="shared" ca="1" si="122"/>
        <v>#VALUE!</v>
      </c>
      <c r="Z252" s="349" t="e">
        <f t="shared" ca="1" si="125"/>
        <v>#VALUE!</v>
      </c>
      <c r="AA252" s="270"/>
      <c r="AB252" s="270"/>
      <c r="AC252" s="270"/>
      <c r="AD252" s="270"/>
      <c r="AE252" s="270"/>
      <c r="AF252" s="270"/>
      <c r="AG252" s="270"/>
      <c r="AH252" s="270"/>
      <c r="AI252" s="270"/>
      <c r="AJ252" s="270"/>
      <c r="AK252" s="348">
        <f t="shared" ca="1" si="133"/>
        <v>-177579.88561492201</v>
      </c>
    </row>
    <row r="253" spans="2:37" ht="53" customHeight="1" x14ac:dyDescent="0.35">
      <c r="B253" s="344">
        <f t="shared" si="126"/>
        <v>103</v>
      </c>
      <c r="C253" s="345">
        <f t="shared" si="123"/>
        <v>0</v>
      </c>
      <c r="D253" s="345">
        <f t="shared" si="113"/>
        <v>2055</v>
      </c>
      <c r="E253" s="345">
        <f t="shared" si="114"/>
        <v>900</v>
      </c>
      <c r="F253" s="345"/>
      <c r="G253" s="345">
        <f t="shared" si="115"/>
        <v>0</v>
      </c>
      <c r="H253" s="345">
        <f t="shared" si="127"/>
        <v>67045</v>
      </c>
      <c r="I253" s="345" t="e">
        <f>#REF!*H253</f>
        <v>#REF!</v>
      </c>
      <c r="J253" s="346" t="e">
        <f t="shared" si="131"/>
        <v>#REF!</v>
      </c>
      <c r="K253" s="345">
        <v>66000</v>
      </c>
      <c r="L253" s="278"/>
      <c r="M253" s="346" t="e">
        <f t="shared" si="132"/>
        <v>#REF!</v>
      </c>
      <c r="N253" s="345">
        <f t="shared" si="116"/>
        <v>0</v>
      </c>
      <c r="O253" s="345" t="e">
        <f t="shared" ca="1" si="129"/>
        <v>#REF!</v>
      </c>
      <c r="P253" s="345" t="e">
        <f ca="1">IF(B253&lt;=55,$AK$5,#REF!)*(IF(O253&gt;=40000,40000,O253))</f>
        <v>#REF!</v>
      </c>
      <c r="Q253" s="345" t="e">
        <f t="shared" ca="1" si="117"/>
        <v>#VALUE!</v>
      </c>
      <c r="R253" s="345" t="e">
        <f t="shared" ca="1" si="118"/>
        <v>#REF!</v>
      </c>
      <c r="T253" s="345">
        <f t="shared" si="119"/>
        <v>0</v>
      </c>
      <c r="U253" s="345"/>
      <c r="V253" s="345" t="str">
        <f t="shared" si="121"/>
        <v>60 to 64</v>
      </c>
      <c r="W253" s="345" t="e">
        <f t="shared" ca="1" si="130"/>
        <v>#VALUE!</v>
      </c>
      <c r="X253" s="345" t="e">
        <f ca="1">IF(B253&lt;=55,$AK$3,#REF!)*(IF(W253&gt;=20000,20000,W253))</f>
        <v>#REF!</v>
      </c>
      <c r="Y253" s="345" t="e">
        <f t="shared" ca="1" si="122"/>
        <v>#VALUE!</v>
      </c>
      <c r="Z253" s="349" t="e">
        <f t="shared" ca="1" si="125"/>
        <v>#VALUE!</v>
      </c>
      <c r="AA253" s="270"/>
      <c r="AB253" s="270"/>
      <c r="AC253" s="270"/>
      <c r="AD253" s="270"/>
      <c r="AE253" s="270"/>
      <c r="AF253" s="270"/>
      <c r="AG253" s="270"/>
      <c r="AH253" s="270"/>
      <c r="AI253" s="270"/>
      <c r="AJ253" s="270"/>
      <c r="AK253" s="348">
        <f t="shared" ca="1" si="133"/>
        <v>-190599.91477319039</v>
      </c>
    </row>
    <row r="254" spans="2:37" ht="53" customHeight="1" x14ac:dyDescent="0.35">
      <c r="B254" s="344">
        <f t="shared" si="126"/>
        <v>104</v>
      </c>
      <c r="C254" s="345">
        <f t="shared" si="123"/>
        <v>0</v>
      </c>
      <c r="D254" s="345">
        <f t="shared" si="113"/>
        <v>2055</v>
      </c>
      <c r="E254" s="345">
        <f t="shared" si="114"/>
        <v>900</v>
      </c>
      <c r="F254" s="345"/>
      <c r="G254" s="345">
        <f t="shared" si="115"/>
        <v>0</v>
      </c>
      <c r="H254" s="345">
        <f t="shared" si="127"/>
        <v>67045</v>
      </c>
      <c r="I254" s="345" t="e">
        <f>#REF!*H254</f>
        <v>#REF!</v>
      </c>
      <c r="J254" s="346" t="e">
        <f t="shared" si="131"/>
        <v>#REF!</v>
      </c>
      <c r="K254" s="345">
        <v>66000</v>
      </c>
      <c r="L254" s="248"/>
      <c r="M254" s="346" t="e">
        <f t="shared" si="132"/>
        <v>#REF!</v>
      </c>
      <c r="N254" s="345">
        <f t="shared" si="116"/>
        <v>0</v>
      </c>
      <c r="O254" s="345" t="e">
        <f t="shared" ca="1" si="129"/>
        <v>#REF!</v>
      </c>
      <c r="P254" s="345" t="e">
        <f ca="1">IF(B254&lt;=55,$AK$5,#REF!)*(IF(O254&gt;=40000,40000,O254))</f>
        <v>#REF!</v>
      </c>
      <c r="Q254" s="345" t="e">
        <f t="shared" ca="1" si="117"/>
        <v>#VALUE!</v>
      </c>
      <c r="R254" s="345" t="e">
        <f t="shared" ca="1" si="118"/>
        <v>#REF!</v>
      </c>
      <c r="T254" s="345">
        <f t="shared" si="119"/>
        <v>0</v>
      </c>
      <c r="U254" s="345"/>
      <c r="V254" s="345" t="str">
        <f t="shared" si="121"/>
        <v>60 to 64</v>
      </c>
      <c r="W254" s="345" t="e">
        <f t="shared" ca="1" si="130"/>
        <v>#VALUE!</v>
      </c>
      <c r="X254" s="345" t="e">
        <f ca="1">IF(B254&lt;=55,$AK$3,#REF!)*(IF(W254&gt;=20000,20000,W254))</f>
        <v>#REF!</v>
      </c>
      <c r="Y254" s="345" t="e">
        <f t="shared" ca="1" si="122"/>
        <v>#VALUE!</v>
      </c>
      <c r="Z254" s="349" t="e">
        <f t="shared" ca="1" si="125"/>
        <v>#VALUE!</v>
      </c>
      <c r="AA254" s="270"/>
      <c r="AB254" s="270"/>
      <c r="AC254" s="270"/>
      <c r="AD254" s="270"/>
      <c r="AE254" s="270"/>
      <c r="AF254" s="270"/>
      <c r="AG254" s="270"/>
      <c r="AH254" s="270"/>
      <c r="AI254" s="270"/>
      <c r="AJ254" s="270"/>
      <c r="AK254" s="348">
        <f t="shared" ca="1" si="133"/>
        <v>-207124.23752891159</v>
      </c>
    </row>
    <row r="255" spans="2:37" ht="53" customHeight="1" x14ac:dyDescent="0.35">
      <c r="B255" s="344">
        <f t="shared" si="126"/>
        <v>105</v>
      </c>
      <c r="C255" s="345">
        <f t="shared" si="123"/>
        <v>0</v>
      </c>
      <c r="D255" s="345">
        <f t="shared" si="113"/>
        <v>2055</v>
      </c>
      <c r="E255" s="345">
        <f t="shared" si="114"/>
        <v>900</v>
      </c>
      <c r="F255" s="345"/>
      <c r="G255" s="345">
        <f t="shared" si="115"/>
        <v>0</v>
      </c>
      <c r="H255" s="345">
        <f t="shared" si="127"/>
        <v>67045</v>
      </c>
      <c r="I255" s="345" t="e">
        <f>#REF!*H255</f>
        <v>#REF!</v>
      </c>
      <c r="J255" s="346" t="e">
        <f t="shared" si="131"/>
        <v>#REF!</v>
      </c>
      <c r="K255" s="345">
        <v>66000</v>
      </c>
      <c r="L255" s="248"/>
      <c r="M255" s="346" t="e">
        <f t="shared" si="132"/>
        <v>#REF!</v>
      </c>
      <c r="N255" s="345">
        <f t="shared" si="116"/>
        <v>0</v>
      </c>
      <c r="O255" s="345" t="e">
        <f t="shared" ca="1" si="129"/>
        <v>#REF!</v>
      </c>
      <c r="P255" s="345" t="e">
        <f ca="1">IF(B255&lt;=55,$AK$5,#REF!)*(IF(O255&gt;=40000,40000,O255))</f>
        <v>#REF!</v>
      </c>
      <c r="Q255" s="345" t="e">
        <f t="shared" ca="1" si="117"/>
        <v>#VALUE!</v>
      </c>
      <c r="R255" s="345" t="e">
        <f t="shared" ca="1" si="118"/>
        <v>#REF!</v>
      </c>
      <c r="T255" s="345">
        <f t="shared" si="119"/>
        <v>0</v>
      </c>
      <c r="U255" s="345"/>
      <c r="V255" s="345" t="str">
        <f t="shared" si="121"/>
        <v>60 to 64</v>
      </c>
      <c r="W255" s="345" t="e">
        <f t="shared" ca="1" si="130"/>
        <v>#VALUE!</v>
      </c>
      <c r="X255" s="345" t="e">
        <f ca="1">IF(B255&lt;=55,$AK$3,#REF!)*(IF(W255&gt;=20000,20000,W255))</f>
        <v>#REF!</v>
      </c>
      <c r="Y255" s="345" t="e">
        <f t="shared" ca="1" si="122"/>
        <v>#VALUE!</v>
      </c>
      <c r="Z255" s="349" t="e">
        <f t="shared" ca="1" si="125"/>
        <v>#VALUE!</v>
      </c>
      <c r="AA255" s="270"/>
      <c r="AB255" s="270"/>
      <c r="AC255" s="270"/>
      <c r="AD255" s="270"/>
      <c r="AE255" s="270"/>
      <c r="AF255" s="270"/>
      <c r="AG255" s="270"/>
      <c r="AH255" s="270"/>
      <c r="AI255" s="270"/>
      <c r="AJ255" s="270"/>
      <c r="AK255" s="348">
        <f t="shared" ca="1" si="133"/>
        <v>-225053.12771886907</v>
      </c>
    </row>
    <row r="256" spans="2:37" ht="53" customHeight="1" x14ac:dyDescent="0.35">
      <c r="B256" s="344">
        <f t="shared" si="126"/>
        <v>106</v>
      </c>
      <c r="C256" s="345">
        <f t="shared" si="123"/>
        <v>0</v>
      </c>
      <c r="D256" s="345">
        <f t="shared" si="113"/>
        <v>2055</v>
      </c>
      <c r="E256" s="345">
        <f t="shared" si="114"/>
        <v>900</v>
      </c>
      <c r="F256" s="345"/>
      <c r="G256" s="345">
        <f t="shared" si="115"/>
        <v>0</v>
      </c>
      <c r="H256" s="345">
        <f t="shared" si="127"/>
        <v>67045</v>
      </c>
      <c r="I256" s="345" t="e">
        <f>#REF!*H256</f>
        <v>#REF!</v>
      </c>
      <c r="J256" s="346" t="e">
        <f t="shared" si="131"/>
        <v>#REF!</v>
      </c>
      <c r="K256" s="345">
        <v>66000</v>
      </c>
      <c r="L256" s="248"/>
      <c r="M256" s="346" t="e">
        <f t="shared" si="132"/>
        <v>#REF!</v>
      </c>
      <c r="N256" s="345">
        <f t="shared" si="116"/>
        <v>0</v>
      </c>
      <c r="O256" s="345" t="e">
        <f t="shared" ca="1" si="129"/>
        <v>#REF!</v>
      </c>
      <c r="P256" s="345" t="e">
        <f ca="1">IF(B256&lt;=55,$AK$5,#REF!)*(IF(O256&gt;=40000,40000,O256))</f>
        <v>#REF!</v>
      </c>
      <c r="Q256" s="345" t="e">
        <f t="shared" ca="1" si="117"/>
        <v>#VALUE!</v>
      </c>
      <c r="R256" s="345" t="e">
        <f t="shared" ca="1" si="118"/>
        <v>#REF!</v>
      </c>
      <c r="T256" s="345">
        <f t="shared" si="119"/>
        <v>0</v>
      </c>
      <c r="U256" s="345"/>
      <c r="V256" s="345" t="str">
        <f t="shared" si="121"/>
        <v>60 to 64</v>
      </c>
      <c r="W256" s="345" t="e">
        <f t="shared" ca="1" si="130"/>
        <v>#VALUE!</v>
      </c>
      <c r="X256" s="345" t="e">
        <f ca="1">IF(B256&lt;=55,$AK$3,#REF!)*(IF(W256&gt;=20000,20000,W256))</f>
        <v>#REF!</v>
      </c>
      <c r="Y256" s="345" t="e">
        <f t="shared" ca="1" si="122"/>
        <v>#VALUE!</v>
      </c>
      <c r="Z256" s="349" t="e">
        <f t="shared" ca="1" si="125"/>
        <v>#VALUE!</v>
      </c>
      <c r="AA256" s="270"/>
      <c r="AB256" s="270"/>
      <c r="AC256" s="270"/>
      <c r="AD256" s="270"/>
      <c r="AE256" s="270"/>
      <c r="AF256" s="270"/>
      <c r="AG256" s="270"/>
      <c r="AH256" s="270"/>
      <c r="AI256" s="270"/>
      <c r="AJ256" s="270"/>
      <c r="AK256" s="348">
        <f t="shared" ca="1" si="133"/>
        <v>-244505.97357497294</v>
      </c>
    </row>
    <row r="257" spans="1:37" ht="53" customHeight="1" x14ac:dyDescent="0.35">
      <c r="B257" s="344">
        <f t="shared" si="126"/>
        <v>107</v>
      </c>
      <c r="C257" s="345">
        <f t="shared" si="123"/>
        <v>0</v>
      </c>
      <c r="D257" s="345">
        <f t="shared" si="113"/>
        <v>2055</v>
      </c>
      <c r="E257" s="345">
        <f t="shared" si="114"/>
        <v>900</v>
      </c>
      <c r="F257" s="345"/>
      <c r="G257" s="345">
        <f t="shared" si="115"/>
        <v>0</v>
      </c>
      <c r="H257" s="345">
        <f t="shared" si="127"/>
        <v>67045</v>
      </c>
      <c r="I257" s="345" t="e">
        <f>#REF!*H257</f>
        <v>#REF!</v>
      </c>
      <c r="J257" s="346" t="e">
        <f t="shared" si="131"/>
        <v>#REF!</v>
      </c>
      <c r="K257" s="345">
        <v>66000</v>
      </c>
      <c r="L257" s="248"/>
      <c r="M257" s="346" t="e">
        <f t="shared" si="132"/>
        <v>#REF!</v>
      </c>
      <c r="N257" s="345">
        <f t="shared" si="116"/>
        <v>0</v>
      </c>
      <c r="O257" s="345" t="e">
        <f t="shared" ca="1" si="129"/>
        <v>#REF!</v>
      </c>
      <c r="P257" s="345" t="e">
        <f ca="1">IF(B257&lt;=55,$AK$5,#REF!)*(IF(O257&gt;=40000,40000,O257))</f>
        <v>#REF!</v>
      </c>
      <c r="Q257" s="345" t="e">
        <f t="shared" ca="1" si="117"/>
        <v>#VALUE!</v>
      </c>
      <c r="R257" s="345" t="e">
        <f t="shared" ca="1" si="118"/>
        <v>#REF!</v>
      </c>
      <c r="T257" s="345">
        <f t="shared" si="119"/>
        <v>0</v>
      </c>
      <c r="U257" s="345"/>
      <c r="V257" s="345" t="str">
        <f t="shared" si="121"/>
        <v>60 to 64</v>
      </c>
      <c r="W257" s="345" t="e">
        <f t="shared" ca="1" si="130"/>
        <v>#VALUE!</v>
      </c>
      <c r="X257" s="345" t="e">
        <f ca="1">IF(B257&lt;=55,$AK$3,#REF!)*(IF(W257&gt;=20000,20000,W257))</f>
        <v>#REF!</v>
      </c>
      <c r="Y257" s="345" t="e">
        <f t="shared" ca="1" si="122"/>
        <v>#VALUE!</v>
      </c>
      <c r="Z257" s="349" t="e">
        <f t="shared" ca="1" si="125"/>
        <v>#VALUE!</v>
      </c>
      <c r="AA257" s="270"/>
      <c r="AB257" s="270"/>
      <c r="AC257" s="270"/>
      <c r="AD257" s="270"/>
      <c r="AE257" s="270"/>
      <c r="AF257" s="270"/>
      <c r="AG257" s="270"/>
      <c r="AH257" s="270"/>
      <c r="AI257" s="270"/>
      <c r="AJ257" s="270"/>
      <c r="AK257" s="348">
        <f t="shared" ca="1" si="133"/>
        <v>-265612.31132884562</v>
      </c>
    </row>
    <row r="258" spans="1:37" ht="53" customHeight="1" x14ac:dyDescent="0.35">
      <c r="B258" s="344">
        <f t="shared" si="126"/>
        <v>108</v>
      </c>
      <c r="C258" s="345">
        <f t="shared" si="123"/>
        <v>0</v>
      </c>
      <c r="D258" s="345">
        <f t="shared" si="113"/>
        <v>2055</v>
      </c>
      <c r="E258" s="345">
        <f t="shared" si="114"/>
        <v>900</v>
      </c>
      <c r="F258" s="345"/>
      <c r="G258" s="345">
        <f t="shared" si="115"/>
        <v>0</v>
      </c>
      <c r="H258" s="345">
        <f t="shared" si="127"/>
        <v>67045</v>
      </c>
      <c r="I258" s="345" t="e">
        <f>#REF!*H258</f>
        <v>#REF!</v>
      </c>
      <c r="J258" s="346" t="e">
        <f t="shared" si="131"/>
        <v>#REF!</v>
      </c>
      <c r="K258" s="345">
        <v>66000</v>
      </c>
      <c r="L258" s="324"/>
      <c r="M258" s="346" t="e">
        <f t="shared" si="132"/>
        <v>#REF!</v>
      </c>
      <c r="N258" s="345">
        <f t="shared" si="116"/>
        <v>0</v>
      </c>
      <c r="O258" s="345" t="e">
        <f t="shared" ca="1" si="129"/>
        <v>#REF!</v>
      </c>
      <c r="P258" s="345" t="e">
        <f ca="1">IF(B258&lt;=55,$AK$5,#REF!)*(IF(O258&gt;=40000,40000,O258))</f>
        <v>#REF!</v>
      </c>
      <c r="Q258" s="345" t="e">
        <f t="shared" ca="1" si="117"/>
        <v>#VALUE!</v>
      </c>
      <c r="R258" s="345" t="e">
        <f t="shared" ca="1" si="118"/>
        <v>#REF!</v>
      </c>
      <c r="T258" s="345">
        <f t="shared" si="119"/>
        <v>0</v>
      </c>
      <c r="U258" s="345"/>
      <c r="V258" s="345" t="str">
        <f t="shared" si="121"/>
        <v>60 to 64</v>
      </c>
      <c r="W258" s="345" t="e">
        <f t="shared" ca="1" si="130"/>
        <v>#VALUE!</v>
      </c>
      <c r="X258" s="345" t="e">
        <f ca="1">IF(B258&lt;=55,$AK$3,#REF!)*(IF(W258&gt;=20000,20000,W258))</f>
        <v>#REF!</v>
      </c>
      <c r="Y258" s="345" t="e">
        <f t="shared" ca="1" si="122"/>
        <v>#VALUE!</v>
      </c>
      <c r="Z258" s="349" t="e">
        <f t="shared" ca="1" si="125"/>
        <v>#VALUE!</v>
      </c>
      <c r="AA258" s="270"/>
      <c r="AB258" s="270"/>
      <c r="AC258" s="270"/>
      <c r="AD258" s="270"/>
      <c r="AE258" s="270"/>
      <c r="AF258" s="270"/>
      <c r="AG258" s="270"/>
      <c r="AH258" s="270"/>
      <c r="AI258" s="270"/>
      <c r="AJ258" s="270"/>
      <c r="AK258" s="348">
        <f t="shared" ca="1" si="133"/>
        <v>-288512.68779179751</v>
      </c>
    </row>
    <row r="259" spans="1:37" ht="53" customHeight="1" x14ac:dyDescent="0.35">
      <c r="B259" s="344">
        <f t="shared" si="126"/>
        <v>109</v>
      </c>
      <c r="C259" s="345">
        <f t="shared" si="123"/>
        <v>0</v>
      </c>
      <c r="D259" s="345">
        <f t="shared" si="113"/>
        <v>2055</v>
      </c>
      <c r="E259" s="345">
        <f t="shared" si="114"/>
        <v>900</v>
      </c>
      <c r="F259" s="345"/>
      <c r="G259" s="345">
        <f t="shared" si="115"/>
        <v>0</v>
      </c>
      <c r="H259" s="345">
        <f t="shared" si="127"/>
        <v>67045</v>
      </c>
      <c r="I259" s="345" t="e">
        <f>#REF!*H259</f>
        <v>#REF!</v>
      </c>
      <c r="J259" s="346" t="e">
        <f t="shared" si="131"/>
        <v>#REF!</v>
      </c>
      <c r="K259" s="345">
        <v>66000</v>
      </c>
      <c r="L259" s="324"/>
      <c r="M259" s="346" t="e">
        <f t="shared" si="132"/>
        <v>#REF!</v>
      </c>
      <c r="N259" s="345">
        <f t="shared" si="116"/>
        <v>0</v>
      </c>
      <c r="O259" s="345" t="e">
        <f t="shared" ca="1" si="129"/>
        <v>#REF!</v>
      </c>
      <c r="P259" s="345" t="e">
        <f ca="1">IF(B259&lt;=55,$AK$5,#REF!)*(IF(O259&gt;=40000,40000,O259))</f>
        <v>#REF!</v>
      </c>
      <c r="Q259" s="345" t="e">
        <f t="shared" ca="1" si="117"/>
        <v>#VALUE!</v>
      </c>
      <c r="R259" s="345" t="e">
        <f t="shared" ca="1" si="118"/>
        <v>#REF!</v>
      </c>
      <c r="T259" s="345">
        <f t="shared" si="119"/>
        <v>0</v>
      </c>
      <c r="U259" s="345"/>
      <c r="V259" s="345" t="str">
        <f t="shared" si="121"/>
        <v>60 to 64</v>
      </c>
      <c r="W259" s="345" t="e">
        <f t="shared" ca="1" si="130"/>
        <v>#VALUE!</v>
      </c>
      <c r="X259" s="345" t="e">
        <f ca="1">IF(B259&lt;=55,$AK$3,#REF!)*(IF(W259&gt;=20000,20000,W259))</f>
        <v>#REF!</v>
      </c>
      <c r="Y259" s="345" t="e">
        <f t="shared" ca="1" si="122"/>
        <v>#VALUE!</v>
      </c>
      <c r="Z259" s="349" t="e">
        <f t="shared" ca="1" si="125"/>
        <v>#VALUE!</v>
      </c>
      <c r="AA259" s="270"/>
      <c r="AB259" s="270"/>
      <c r="AC259" s="270"/>
      <c r="AD259" s="270"/>
      <c r="AE259" s="270"/>
      <c r="AF259" s="270"/>
      <c r="AG259" s="270"/>
      <c r="AH259" s="270"/>
      <c r="AI259" s="270"/>
      <c r="AJ259" s="270"/>
      <c r="AK259" s="348">
        <f t="shared" ca="1" si="133"/>
        <v>-313036.26625410031</v>
      </c>
    </row>
    <row r="260" spans="1:37" ht="53" customHeight="1" x14ac:dyDescent="0.35">
      <c r="B260" s="344">
        <f t="shared" si="126"/>
        <v>110</v>
      </c>
      <c r="C260" s="345">
        <f t="shared" si="123"/>
        <v>0</v>
      </c>
      <c r="D260" s="345">
        <f t="shared" si="113"/>
        <v>2055</v>
      </c>
      <c r="E260" s="345">
        <f t="shared" si="114"/>
        <v>900</v>
      </c>
      <c r="F260" s="345"/>
      <c r="G260" s="345">
        <f t="shared" si="115"/>
        <v>0</v>
      </c>
      <c r="H260" s="345">
        <f t="shared" si="127"/>
        <v>67045</v>
      </c>
      <c r="I260" s="345" t="e">
        <f>#REF!*H260</f>
        <v>#REF!</v>
      </c>
      <c r="J260" s="346" t="e">
        <f t="shared" si="131"/>
        <v>#REF!</v>
      </c>
      <c r="K260" s="345">
        <v>66000</v>
      </c>
      <c r="L260" s="324"/>
      <c r="M260" s="346" t="e">
        <f t="shared" si="132"/>
        <v>#REF!</v>
      </c>
      <c r="N260" s="345">
        <f t="shared" si="116"/>
        <v>0</v>
      </c>
      <c r="O260" s="345" t="e">
        <f t="shared" ca="1" si="129"/>
        <v>#REF!</v>
      </c>
      <c r="P260" s="345" t="e">
        <f ca="1">IF(B260&lt;=55,$AK$5,#REF!)*(IF(O260&gt;=40000,40000,O260))</f>
        <v>#REF!</v>
      </c>
      <c r="Q260" s="345" t="e">
        <f t="shared" ca="1" si="117"/>
        <v>#VALUE!</v>
      </c>
      <c r="R260" s="345" t="e">
        <f t="shared" ca="1" si="118"/>
        <v>#REF!</v>
      </c>
      <c r="T260" s="345">
        <f t="shared" si="119"/>
        <v>0</v>
      </c>
      <c r="U260" s="345"/>
      <c r="V260" s="345" t="str">
        <f t="shared" si="121"/>
        <v>60 to 64</v>
      </c>
      <c r="W260" s="345" t="e">
        <f t="shared" ca="1" si="130"/>
        <v>#VALUE!</v>
      </c>
      <c r="X260" s="345" t="e">
        <f ca="1">IF(B260&lt;=55,$AK$3,#REF!)*(IF(W260&gt;=20000,20000,W260))</f>
        <v>#REF!</v>
      </c>
      <c r="Y260" s="345" t="e">
        <f t="shared" ca="1" si="122"/>
        <v>#VALUE!</v>
      </c>
      <c r="Z260" s="349" t="e">
        <f t="shared" ca="1" si="125"/>
        <v>#VALUE!</v>
      </c>
      <c r="AA260" s="270"/>
      <c r="AB260" s="270"/>
      <c r="AC260" s="270"/>
      <c r="AD260" s="270"/>
      <c r="AE260" s="270"/>
      <c r="AF260" s="270"/>
      <c r="AK260" s="348">
        <f t="shared" ca="1" si="133"/>
        <v>-339644.34888569883</v>
      </c>
    </row>
    <row r="261" spans="1:37" ht="53" customHeight="1" x14ac:dyDescent="0.35">
      <c r="AG261" s="252"/>
      <c r="AH261" s="252"/>
      <c r="AI261" s="252"/>
      <c r="AJ261" s="252"/>
      <c r="AK261" s="348">
        <f t="shared" ca="1" si="133"/>
        <v>-368514.11854098324</v>
      </c>
    </row>
    <row r="262" spans="1:37" ht="53" customHeight="1" x14ac:dyDescent="0.35">
      <c r="AG262" s="256"/>
      <c r="AH262" s="256"/>
      <c r="AI262" s="256"/>
      <c r="AJ262" s="256"/>
      <c r="AK262" s="348">
        <f t="shared" ca="1" si="133"/>
        <v>-399837.81861696683</v>
      </c>
    </row>
    <row r="263" spans="1:37" ht="53" customHeight="1" x14ac:dyDescent="0.35">
      <c r="B263" s="330" t="s">
        <v>344</v>
      </c>
      <c r="C263" s="330"/>
      <c r="D263" s="330"/>
      <c r="E263" s="330"/>
      <c r="F263" s="330"/>
      <c r="G263" s="330"/>
      <c r="H263" s="330"/>
      <c r="I263" s="330"/>
      <c r="J263" s="330"/>
      <c r="K263" s="330"/>
      <c r="L263" s="330"/>
      <c r="M263" s="330"/>
      <c r="N263" s="330"/>
      <c r="O263" s="330"/>
      <c r="P263" s="330"/>
      <c r="Q263" s="330"/>
      <c r="R263" s="330"/>
      <c r="S263" s="330"/>
      <c r="T263" s="330"/>
      <c r="U263" s="330"/>
      <c r="V263" s="330"/>
      <c r="W263" s="330"/>
      <c r="X263" s="330"/>
      <c r="Y263" s="330"/>
      <c r="Z263" s="330"/>
      <c r="AA263" s="252"/>
      <c r="AB263" s="252"/>
      <c r="AC263" s="252"/>
      <c r="AD263" s="252"/>
      <c r="AE263" s="252"/>
      <c r="AF263" s="252"/>
      <c r="AG263" s="274"/>
      <c r="AH263" s="274"/>
      <c r="AI263" s="274"/>
      <c r="AJ263" s="274"/>
      <c r="AK263" s="348">
        <f t="shared" ca="1" si="133"/>
        <v>-433824.03319940902</v>
      </c>
    </row>
    <row r="264" spans="1:37" ht="53" customHeight="1" x14ac:dyDescent="0.35">
      <c r="B264" s="353" t="s">
        <v>214</v>
      </c>
      <c r="C264" s="353"/>
      <c r="D264" s="353"/>
      <c r="E264" s="353"/>
      <c r="F264" s="353"/>
      <c r="G264" s="353"/>
      <c r="H264" s="353"/>
      <c r="I264" s="353"/>
      <c r="J264" s="353"/>
      <c r="K264" s="353"/>
      <c r="L264" s="256"/>
      <c r="M264" s="354" t="s">
        <v>343</v>
      </c>
      <c r="N264" s="354"/>
      <c r="O264" s="354"/>
      <c r="P264" s="354"/>
      <c r="Q264" s="354"/>
      <c r="R264" s="354"/>
      <c r="S264" s="333"/>
      <c r="T264" s="334" t="s">
        <v>216</v>
      </c>
      <c r="U264" s="334"/>
      <c r="V264" s="334"/>
      <c r="W264" s="334"/>
      <c r="X264" s="334"/>
      <c r="Y264" s="334"/>
      <c r="Z264" s="334"/>
      <c r="AA264" s="256"/>
      <c r="AB264" s="256"/>
      <c r="AC264" s="256"/>
      <c r="AD264" s="256"/>
      <c r="AE264" s="256"/>
      <c r="AF264" s="256"/>
      <c r="AG264" s="270"/>
      <c r="AH264" s="270"/>
      <c r="AI264" s="270"/>
      <c r="AJ264" s="270"/>
      <c r="AK264" s="348">
        <f t="shared" ca="1" si="133"/>
        <v>-470699.07602135878</v>
      </c>
    </row>
    <row r="265" spans="1:37" ht="53" customHeight="1" x14ac:dyDescent="0.35">
      <c r="B265" s="356" t="s">
        <v>3</v>
      </c>
      <c r="C265" s="357" t="s">
        <v>325</v>
      </c>
      <c r="D265" s="356" t="s">
        <v>222</v>
      </c>
      <c r="E265" s="356" t="s">
        <v>326</v>
      </c>
      <c r="F265" s="356" t="s">
        <v>224</v>
      </c>
      <c r="G265" s="356" t="s">
        <v>225</v>
      </c>
      <c r="H265" s="356" t="s">
        <v>226</v>
      </c>
      <c r="I265" s="356" t="s">
        <v>227</v>
      </c>
      <c r="J265" s="356" t="s">
        <v>228</v>
      </c>
      <c r="K265" s="356" t="s">
        <v>229</v>
      </c>
      <c r="L265" s="273"/>
      <c r="M265" s="358" t="s">
        <v>230</v>
      </c>
      <c r="N265" s="358" t="s">
        <v>231</v>
      </c>
      <c r="O265" s="358" t="s">
        <v>232</v>
      </c>
      <c r="P265" s="358" t="s">
        <v>233</v>
      </c>
      <c r="Q265" s="359" t="s">
        <v>234</v>
      </c>
      <c r="R265" s="358" t="s">
        <v>235</v>
      </c>
      <c r="T265" s="356" t="s">
        <v>236</v>
      </c>
      <c r="U265" s="356" t="s">
        <v>237</v>
      </c>
      <c r="V265" s="356" t="s">
        <v>238</v>
      </c>
      <c r="W265" s="356" t="s">
        <v>239</v>
      </c>
      <c r="X265" s="356" t="s">
        <v>240</v>
      </c>
      <c r="Y265" s="357" t="s">
        <v>234</v>
      </c>
      <c r="Z265" s="360" t="s">
        <v>241</v>
      </c>
      <c r="AA265" s="274"/>
      <c r="AB265" s="274"/>
      <c r="AC265" s="274"/>
      <c r="AD265" s="274"/>
      <c r="AE265" s="274"/>
      <c r="AF265" s="274"/>
      <c r="AG265" s="270"/>
      <c r="AH265" s="270"/>
      <c r="AI265" s="270"/>
      <c r="AJ265" s="270"/>
      <c r="AK265" s="348">
        <f t="shared" ca="1" si="133"/>
        <v>-510708.49748317426</v>
      </c>
    </row>
    <row r="266" spans="1:37" ht="53" customHeight="1" x14ac:dyDescent="0.35">
      <c r="B266" s="344">
        <v>55</v>
      </c>
      <c r="C266" s="345">
        <f ca="1">VLOOKUP(B266,$B$3:$Z$56,2)</f>
        <v>403.27670802814544</v>
      </c>
      <c r="D266" s="345">
        <f t="shared" ref="D266:D311" si="134">IF(B266&lt;=20,$AL$14,IF(B266&lt;=30,$AL$15,IF(B266&lt;=40,$AL$16,IF(B266&lt;=50,$AL$17,IF(B266&lt;=60,$AL$18,IF(B266&lt;=65,$AL$19,IF(B266&lt;=70,$AL$20,
IF(B266&lt;=73,$AL$21,IF(B266&lt;=75,$AL$22,IF(B266&lt;=78,$AL$23,IF(B266&lt;=80,$AL$24,IF(B266&lt;=83,$AL$25,IF(B266&lt;=85,$AL$26,IF(B266&lt;=90,$AL$27,$AL$28))))))))))))))</f>
        <v>800</v>
      </c>
      <c r="E266" s="345">
        <f t="shared" ref="E266:E311" si="135">IF(B266&lt;=20,$AM$14,IF(B266&lt;=30,$AM$15,IF(B266&lt;=40,$AM$16,IF(B266&lt;=50,$AM$17,IF(B266&lt;=60,$AM$18,IF(B266&lt;=65,$AM$19,IF(B266&lt;=70,$AM$20,
IF(B266&lt;=73,$AM$21,IF(B266&lt;=75,$AM$22,IF(B266&lt;=78,$AM$23,IF(B266&lt;=80,$AM$24,IF(B266&lt;=83,$AM$25,IF(B266&lt;=85,$AM$26,IF(B266&lt;=90,$AM$27,$AM$28))))))))))))))</f>
        <v>600</v>
      </c>
      <c r="F266" s="345">
        <v>600</v>
      </c>
      <c r="G266" s="345">
        <f t="shared" ref="G266:G311" si="136">IF(B266&gt;=$BH$31,0,IF(B266&lt;=35,$BJ$4,IF(B266&lt;=45,$BJ$5,IF(B266&lt;=50,$BJ$6,IF(B266&lt;=55,$BJ$7,IF(B266&lt;=60,$BJ$8,IF(B266&lt;=65,$BJ$9,IF(B266&lt;=70,$BJ$10,$BJ$11)))))))*$BH$37)</f>
        <v>6319.1338000000005</v>
      </c>
      <c r="H266" s="345">
        <f ca="1">$BH$42-C266-D266-E266-F266+G266</f>
        <v>73915.857091971848</v>
      </c>
      <c r="I266" s="345" t="e">
        <f ca="1">#REF!*H266</f>
        <v>#REF!</v>
      </c>
      <c r="J266" s="345" t="e">
        <f ca="1">H266+I266-66000</f>
        <v>#REF!</v>
      </c>
      <c r="K266" s="345">
        <v>66000</v>
      </c>
      <c r="L266" s="278"/>
      <c r="M266" s="346" t="e">
        <f ca="1">IF(J266&gt;=0,J266,0)</f>
        <v>#REF!</v>
      </c>
      <c r="N266" s="345">
        <f t="shared" ref="N266:N311" si="137">IF(B266&gt;=$BH$31,0,IF(B266&lt;=35,$BI$4,IF(B266&lt;=45,$BI$5,IF(B266&lt;=50,$BI$6,IF(B266&lt;=55,$BI$7,IF(B266&lt;=60,$BI$8,IF(B266&lt;=65,$BI$9,IF(B266&lt;=70,$BI$10,$BI$11)))))))*$BH$37)</f>
        <v>6922.7591999999995</v>
      </c>
      <c r="O266" s="345" t="e">
        <f ca="1">N266+M266+#REF!</f>
        <v>#REF!</v>
      </c>
      <c r="P266" s="345" t="e">
        <f ca="1">IF(B266&lt;=55,$AK$5,#REF!)*(IF(O266&gt;=40000,40000,O266))</f>
        <v>#VALUE!</v>
      </c>
      <c r="Q266" s="345" t="e">
        <f t="shared" ref="Q266:Q311" ca="1" si="138">$AK$6*IF(O266&gt;=40000,O266-40000,0)</f>
        <v>#VALUE!</v>
      </c>
      <c r="R266" s="345" t="e">
        <f t="shared" ref="R266:R311" ca="1" si="139">O266+P266+Q266</f>
        <v>#REF!</v>
      </c>
      <c r="T266" s="345">
        <f t="shared" ref="T266:T311" si="140">IF(B266&gt;=$BH$31,0,IF(B266&lt;=35,$BH$4,IF(B266&lt;=45,$BH$5,IF(B266&lt;=50,$BH$6,IF(B266&lt;=55,$BH$7,IF(B266&lt;=60,$BH$8,IF(B266&lt;=65,$BH$9,IF(B266&lt;=70,$BH$10,$BH$11)))))))*$BH$37)</f>
        <v>9032.1069999999982</v>
      </c>
      <c r="U266" s="345">
        <f t="shared" ref="U266:U272" si="141">$BH$56*12</f>
        <v>9805.6511999999984</v>
      </c>
      <c r="V266" s="345" t="str">
        <f t="shared" ref="V266:V311" si="142">IF(B266&lt;=34,$AM$31,IF(B266&lt;=39,$AM$32,IF(B266&lt;=44,$AM$33,IF(B266&lt;=49,$AM$34,IF(B266&lt;=54,$AM$35,IF(B266&lt;=59,$AM$36,$AM$37))))))</f>
        <v>55 to 59</v>
      </c>
      <c r="W266" s="345" t="e">
        <f>T266-U266-V266-(#REF!*12)+#REF!</f>
        <v>#VALUE!</v>
      </c>
      <c r="X266" s="345" t="e">
        <f>IF(B266&lt;=55,$AK$3,#REF!)*(IF(W266&gt;=20000,20000,W266))</f>
        <v>#VALUE!</v>
      </c>
      <c r="Y266" s="345" t="e">
        <f t="shared" ref="Y266:Y311" si="143">$AK$4*IF(W266&gt;=20000,W266-20000,0)</f>
        <v>#VALUE!</v>
      </c>
      <c r="Z266" s="349" t="e">
        <f>W266+X266+Y266</f>
        <v>#VALUE!</v>
      </c>
      <c r="AA266" s="270"/>
      <c r="AB266" s="270"/>
      <c r="AC266" s="270"/>
      <c r="AD266" s="270"/>
      <c r="AE266" s="270"/>
      <c r="AF266" s="270"/>
      <c r="AG266" s="270"/>
      <c r="AH266" s="270"/>
      <c r="AI266" s="270"/>
      <c r="AJ266" s="270"/>
      <c r="AK266" s="348">
        <f t="shared" ca="1" si="133"/>
        <v>-554118.71976924408</v>
      </c>
    </row>
    <row r="267" spans="1:37" ht="53" customHeight="1" x14ac:dyDescent="0.35">
      <c r="B267" s="344">
        <f>B266+1</f>
        <v>56</v>
      </c>
      <c r="C267" s="345">
        <f t="shared" ref="C267:C311" ca="1" si="144">IF(B267&gt;=67,$BI$55,C266+(1.0244%*C266))</f>
        <v>407.40787462518574</v>
      </c>
      <c r="D267" s="345">
        <f t="shared" si="134"/>
        <v>800</v>
      </c>
      <c r="E267" s="345">
        <f t="shared" si="135"/>
        <v>600</v>
      </c>
      <c r="F267" s="345">
        <v>600</v>
      </c>
      <c r="G267" s="345">
        <f t="shared" si="136"/>
        <v>6626.665500000001</v>
      </c>
      <c r="H267" s="345">
        <f ca="1">K266-C267-D267-E267-F267+G267</f>
        <v>70219.257625374812</v>
      </c>
      <c r="I267" s="345" t="e">
        <f ca="1">#REF!*H267</f>
        <v>#REF!</v>
      </c>
      <c r="J267" s="345" t="e">
        <f ca="1">H267+I267-66000</f>
        <v>#REF!</v>
      </c>
      <c r="K267" s="345">
        <v>66000</v>
      </c>
      <c r="L267" s="278"/>
      <c r="M267" s="346" t="e">
        <f t="shared" ref="M267:M271" ca="1" si="145">IF(J267&gt;=0,J267,0)</f>
        <v>#REF!</v>
      </c>
      <c r="N267" s="345">
        <f t="shared" si="137"/>
        <v>5362.7665000000006</v>
      </c>
      <c r="O267" s="345" t="e">
        <f ca="1">R266+N267+M267</f>
        <v>#REF!</v>
      </c>
      <c r="P267" s="345" t="e">
        <f ca="1">IF(B267&lt;=55,$AK$5,#REF!)*(IF(O267&gt;=40000,40000,O267))</f>
        <v>#REF!</v>
      </c>
      <c r="Q267" s="345" t="e">
        <f t="shared" ca="1" si="138"/>
        <v>#VALUE!</v>
      </c>
      <c r="R267" s="345" t="e">
        <f t="shared" ca="1" si="139"/>
        <v>#REF!</v>
      </c>
      <c r="T267" s="345">
        <f t="shared" si="140"/>
        <v>6040.1068000000005</v>
      </c>
      <c r="U267" s="345">
        <f t="shared" si="141"/>
        <v>9805.6511999999984</v>
      </c>
      <c r="V267" s="345" t="str">
        <f t="shared" si="142"/>
        <v>55 to 59</v>
      </c>
      <c r="W267" s="345" t="e">
        <f>IF(Z266+T267-U267-V267-(#REF!*12)&gt;=0,Z266+T267-U267-V267-(#REF!*12),0)</f>
        <v>#VALUE!</v>
      </c>
      <c r="X267" s="345" t="e">
        <f>IF(B267&lt;=55,$AK$3,#REF!)*(IF(W267&gt;=20000,20000,W267))</f>
        <v>#REF!</v>
      </c>
      <c r="Y267" s="345" t="e">
        <f t="shared" si="143"/>
        <v>#VALUE!</v>
      </c>
      <c r="Z267" s="349" t="e">
        <f t="shared" ref="Z267:Z311" si="146">W267+X267+Y267</f>
        <v>#VALUE!</v>
      </c>
      <c r="AA267" s="270"/>
      <c r="AB267" s="270"/>
      <c r="AC267" s="270"/>
      <c r="AD267" s="270"/>
      <c r="AE267" s="270"/>
      <c r="AF267" s="270"/>
      <c r="AG267" s="270"/>
      <c r="AH267" s="270"/>
      <c r="AI267" s="270"/>
      <c r="AJ267" s="270"/>
      <c r="AK267" s="348">
        <f t="shared" ca="1" si="133"/>
        <v>-601218.81094962987</v>
      </c>
    </row>
    <row r="268" spans="1:37" ht="53" customHeight="1" x14ac:dyDescent="0.35">
      <c r="B268" s="344">
        <f t="shared" ref="B268:B311" si="147">B267+1</f>
        <v>57</v>
      </c>
      <c r="C268" s="345">
        <f t="shared" ca="1" si="144"/>
        <v>411.58136089284613</v>
      </c>
      <c r="D268" s="345">
        <f t="shared" si="134"/>
        <v>800</v>
      </c>
      <c r="E268" s="345">
        <f t="shared" si="135"/>
        <v>600</v>
      </c>
      <c r="F268" s="345">
        <v>600</v>
      </c>
      <c r="G268" s="345">
        <f t="shared" si="136"/>
        <v>6626.665500000001</v>
      </c>
      <c r="H268" s="345">
        <f t="shared" ref="H268:H311" ca="1" si="148">$BH$42-C268-D268-E268-F268+G268</f>
        <v>74215.084139107159</v>
      </c>
      <c r="I268" s="345" t="e">
        <f ca="1">#REF!*H268</f>
        <v>#REF!</v>
      </c>
      <c r="J268" s="345" t="e">
        <f t="shared" ref="J268:J271" ca="1" si="149">H268+I268-66000</f>
        <v>#REF!</v>
      </c>
      <c r="K268" s="345">
        <v>66000</v>
      </c>
      <c r="L268" s="278"/>
      <c r="M268" s="346" t="e">
        <f t="shared" ca="1" si="145"/>
        <v>#REF!</v>
      </c>
      <c r="N268" s="345">
        <f t="shared" si="137"/>
        <v>5362.7665000000006</v>
      </c>
      <c r="O268" s="345" t="e">
        <f t="shared" ref="O268:O311" ca="1" si="150">R267+N268+M268</f>
        <v>#REF!</v>
      </c>
      <c r="P268" s="345" t="e">
        <f ca="1">IF(B268&lt;=55,$AK$5,#REF!)*(IF(O268&gt;=40000,40000,O268))</f>
        <v>#REF!</v>
      </c>
      <c r="Q268" s="345" t="e">
        <f t="shared" ca="1" si="138"/>
        <v>#VALUE!</v>
      </c>
      <c r="R268" s="345" t="e">
        <f t="shared" ca="1" si="139"/>
        <v>#REF!</v>
      </c>
      <c r="T268" s="345">
        <f t="shared" si="140"/>
        <v>6040.1068000000005</v>
      </c>
      <c r="U268" s="345">
        <f t="shared" si="141"/>
        <v>9805.6511999999984</v>
      </c>
      <c r="V268" s="345" t="str">
        <f t="shared" si="142"/>
        <v>55 to 59</v>
      </c>
      <c r="W268" s="345" t="e">
        <f>IF(Z267+T268-U268-V268-(#REF!*12)&gt;=0,Z267+T268-U268-V268-(#REF!*12),0)</f>
        <v>#VALUE!</v>
      </c>
      <c r="X268" s="345" t="e">
        <f>IF(B268&lt;=55,$AK$3,#REF!)*(IF(W268&gt;=20000,20000,W268))</f>
        <v>#REF!</v>
      </c>
      <c r="Y268" s="345" t="e">
        <f t="shared" si="143"/>
        <v>#VALUE!</v>
      </c>
      <c r="Z268" s="349" t="e">
        <f t="shared" si="146"/>
        <v>#VALUE!</v>
      </c>
      <c r="AA268" s="270"/>
      <c r="AB268" s="270"/>
      <c r="AC268" s="270"/>
      <c r="AD268" s="270"/>
      <c r="AE268" s="270"/>
      <c r="AF268" s="270"/>
      <c r="AG268" s="270"/>
      <c r="AH268" s="270"/>
      <c r="AI268" s="270"/>
      <c r="AJ268" s="270"/>
      <c r="AK268" s="348">
        <f t="shared" ca="1" si="133"/>
        <v>-652322.40988034836</v>
      </c>
    </row>
    <row r="269" spans="1:37" ht="53" customHeight="1" x14ac:dyDescent="0.35">
      <c r="B269" s="344">
        <f t="shared" si="147"/>
        <v>58</v>
      </c>
      <c r="C269" s="345">
        <f t="shared" ca="1" si="144"/>
        <v>415.79760035383242</v>
      </c>
      <c r="D269" s="345">
        <f t="shared" si="134"/>
        <v>800</v>
      </c>
      <c r="E269" s="345">
        <f t="shared" si="135"/>
        <v>600</v>
      </c>
      <c r="F269" s="345">
        <v>600</v>
      </c>
      <c r="G269" s="345">
        <f t="shared" si="136"/>
        <v>6626.665500000001</v>
      </c>
      <c r="H269" s="345">
        <f t="shared" ca="1" si="148"/>
        <v>74210.867899646168</v>
      </c>
      <c r="I269" s="345" t="e">
        <f ca="1">#REF!*H269</f>
        <v>#REF!</v>
      </c>
      <c r="J269" s="345" t="e">
        <f t="shared" ca="1" si="149"/>
        <v>#REF!</v>
      </c>
      <c r="K269" s="345">
        <v>66000</v>
      </c>
      <c r="L269" s="278"/>
      <c r="M269" s="346" t="e">
        <f t="shared" ca="1" si="145"/>
        <v>#REF!</v>
      </c>
      <c r="N269" s="345">
        <f t="shared" si="137"/>
        <v>5362.7665000000006</v>
      </c>
      <c r="O269" s="345" t="e">
        <f t="shared" ca="1" si="150"/>
        <v>#REF!</v>
      </c>
      <c r="P269" s="345" t="e">
        <f ca="1">IF(B269&lt;=55,$AK$5,#REF!)*(IF(O269&gt;=40000,40000,O269))</f>
        <v>#REF!</v>
      </c>
      <c r="Q269" s="345" t="e">
        <f t="shared" ca="1" si="138"/>
        <v>#VALUE!</v>
      </c>
      <c r="R269" s="345" t="e">
        <f t="shared" ca="1" si="139"/>
        <v>#REF!</v>
      </c>
      <c r="T269" s="345">
        <f t="shared" si="140"/>
        <v>6040.1068000000005</v>
      </c>
      <c r="U269" s="345">
        <f t="shared" si="141"/>
        <v>9805.6511999999984</v>
      </c>
      <c r="V269" s="345" t="str">
        <f t="shared" si="142"/>
        <v>55 to 59</v>
      </c>
      <c r="W269" s="345" t="e">
        <f>IF(Z268+T269-U269-V269-(#REF!*12)&gt;=0,Z268+T269-U269-V269-(#REF!*12),0)</f>
        <v>#VALUE!</v>
      </c>
      <c r="X269" s="345" t="e">
        <f>IF(B269&lt;=55,$AK$3,#REF!)*(IF(W269&gt;=20000,20000,W269))</f>
        <v>#REF!</v>
      </c>
      <c r="Y269" s="345" t="e">
        <f t="shared" si="143"/>
        <v>#VALUE!</v>
      </c>
      <c r="Z269" s="349" t="e">
        <f t="shared" si="146"/>
        <v>#VALUE!</v>
      </c>
      <c r="AA269" s="270"/>
      <c r="AB269" s="270"/>
      <c r="AC269" s="270"/>
      <c r="AD269" s="270"/>
      <c r="AE269" s="270"/>
      <c r="AF269" s="270"/>
      <c r="AG269" s="270"/>
      <c r="AH269" s="270"/>
      <c r="AI269" s="270"/>
      <c r="AJ269" s="270"/>
      <c r="AK269" s="348">
        <f t="shared" ca="1" si="133"/>
        <v>-707769.81472017791</v>
      </c>
    </row>
    <row r="270" spans="1:37" ht="53" customHeight="1" x14ac:dyDescent="0.35">
      <c r="A270" s="290"/>
      <c r="B270" s="344">
        <f t="shared" si="147"/>
        <v>59</v>
      </c>
      <c r="C270" s="345">
        <f t="shared" ca="1" si="144"/>
        <v>420.0570309718571</v>
      </c>
      <c r="D270" s="345">
        <f t="shared" si="134"/>
        <v>800</v>
      </c>
      <c r="E270" s="345">
        <f t="shared" si="135"/>
        <v>600</v>
      </c>
      <c r="F270" s="345">
        <v>600</v>
      </c>
      <c r="G270" s="345">
        <f t="shared" si="136"/>
        <v>6626.665500000001</v>
      </c>
      <c r="H270" s="345">
        <f t="shared" ca="1" si="148"/>
        <v>74206.608469028142</v>
      </c>
      <c r="I270" s="345" t="e">
        <f ca="1">#REF!*H270</f>
        <v>#REF!</v>
      </c>
      <c r="J270" s="345" t="e">
        <f t="shared" ca="1" si="149"/>
        <v>#REF!</v>
      </c>
      <c r="K270" s="345">
        <v>66000</v>
      </c>
      <c r="L270" s="278"/>
      <c r="M270" s="346" t="e">
        <f t="shared" ca="1" si="145"/>
        <v>#REF!</v>
      </c>
      <c r="N270" s="345">
        <f t="shared" si="137"/>
        <v>5362.7665000000006</v>
      </c>
      <c r="O270" s="345" t="e">
        <f t="shared" ca="1" si="150"/>
        <v>#REF!</v>
      </c>
      <c r="P270" s="345" t="e">
        <f ca="1">IF(B270&lt;=55,$AK$5,#REF!)*(IF(O270&gt;=40000,40000,O270))</f>
        <v>#REF!</v>
      </c>
      <c r="Q270" s="345" t="e">
        <f t="shared" ca="1" si="138"/>
        <v>#VALUE!</v>
      </c>
      <c r="R270" s="345" t="e">
        <f t="shared" ca="1" si="139"/>
        <v>#REF!</v>
      </c>
      <c r="T270" s="345">
        <f t="shared" si="140"/>
        <v>6040.1068000000005</v>
      </c>
      <c r="U270" s="345">
        <f t="shared" si="141"/>
        <v>9805.6511999999984</v>
      </c>
      <c r="V270" s="345" t="str">
        <f t="shared" si="142"/>
        <v>55 to 59</v>
      </c>
      <c r="W270" s="345" t="e">
        <f>IF(Z269+T270-U270-V270-(#REF!*12)&gt;=0,Z269+T270-U270-V270-(#REF!*12),0)</f>
        <v>#VALUE!</v>
      </c>
      <c r="X270" s="345" t="e">
        <f>IF(B270&lt;=55,$AK$3,#REF!)*(IF(W270&gt;=20000,20000,W270))</f>
        <v>#REF!</v>
      </c>
      <c r="Y270" s="345" t="e">
        <f t="shared" si="143"/>
        <v>#VALUE!</v>
      </c>
      <c r="Z270" s="349" t="e">
        <f t="shared" si="146"/>
        <v>#VALUE!</v>
      </c>
      <c r="AA270" s="270"/>
      <c r="AB270" s="270"/>
      <c r="AC270" s="270"/>
      <c r="AD270" s="270"/>
      <c r="AE270" s="270"/>
      <c r="AF270" s="270"/>
      <c r="AG270" s="329"/>
      <c r="AH270" s="329"/>
      <c r="AI270" s="329"/>
      <c r="AJ270" s="329"/>
      <c r="AK270" s="348">
        <f t="shared" ca="1" si="133"/>
        <v>-767930.24897139298</v>
      </c>
    </row>
    <row r="271" spans="1:37" ht="53" customHeight="1" x14ac:dyDescent="0.35">
      <c r="B271" s="344">
        <f t="shared" si="147"/>
        <v>60</v>
      </c>
      <c r="C271" s="345">
        <f t="shared" ca="1" si="144"/>
        <v>424.36009519713281</v>
      </c>
      <c r="D271" s="345">
        <f t="shared" si="134"/>
        <v>800</v>
      </c>
      <c r="E271" s="345">
        <f t="shared" si="135"/>
        <v>600</v>
      </c>
      <c r="F271" s="345">
        <v>600</v>
      </c>
      <c r="G271" s="345">
        <f t="shared" si="136"/>
        <v>6626.665500000001</v>
      </c>
      <c r="H271" s="345">
        <f t="shared" ca="1" si="148"/>
        <v>74202.305404802872</v>
      </c>
      <c r="I271" s="345" t="e">
        <f ca="1">#REF!*H271</f>
        <v>#REF!</v>
      </c>
      <c r="J271" s="345" t="e">
        <f t="shared" ca="1" si="149"/>
        <v>#REF!</v>
      </c>
      <c r="K271" s="345">
        <v>66000</v>
      </c>
      <c r="L271" s="278"/>
      <c r="M271" s="346" t="e">
        <f t="shared" ca="1" si="145"/>
        <v>#REF!</v>
      </c>
      <c r="N271" s="345">
        <f t="shared" si="137"/>
        <v>5362.7665000000006</v>
      </c>
      <c r="O271" s="345" t="e">
        <f t="shared" ca="1" si="150"/>
        <v>#REF!</v>
      </c>
      <c r="P271" s="345" t="e">
        <f ca="1">IF(B271&lt;=55,$AK$5,#REF!)*(IF(O271&gt;=40000,40000,O271))</f>
        <v>#REF!</v>
      </c>
      <c r="Q271" s="345" t="e">
        <f t="shared" ca="1" si="138"/>
        <v>#VALUE!</v>
      </c>
      <c r="R271" s="345" t="e">
        <f t="shared" ca="1" si="139"/>
        <v>#REF!</v>
      </c>
      <c r="T271" s="345">
        <f t="shared" si="140"/>
        <v>6040.1068000000005</v>
      </c>
      <c r="U271" s="345">
        <f t="shared" si="141"/>
        <v>9805.6511999999984</v>
      </c>
      <c r="V271" s="345" t="str">
        <f t="shared" si="142"/>
        <v>60 to 64</v>
      </c>
      <c r="W271" s="345" t="e">
        <f>IF(Z270+T271-U271-V271-(#REF!*12)&gt;=0,Z270+T271-U271-V271-(#REF!*12),0)</f>
        <v>#VALUE!</v>
      </c>
      <c r="X271" s="345" t="e">
        <f>IF(B271&lt;=55,$AK$3,#REF!)*(IF(W271&gt;=20000,20000,W271))</f>
        <v>#REF!</v>
      </c>
      <c r="Y271" s="345" t="e">
        <f t="shared" si="143"/>
        <v>#VALUE!</v>
      </c>
      <c r="Z271" s="349" t="e">
        <f t="shared" si="146"/>
        <v>#VALUE!</v>
      </c>
      <c r="AA271" s="270"/>
      <c r="AB271" s="270"/>
      <c r="AC271" s="270"/>
      <c r="AD271" s="270"/>
      <c r="AE271" s="270"/>
      <c r="AF271" s="270"/>
      <c r="AG271" s="270"/>
      <c r="AH271" s="270"/>
      <c r="AI271" s="270"/>
      <c r="AJ271" s="270"/>
      <c r="AK271" s="348">
        <f t="shared" ca="1" si="133"/>
        <v>-833204.32013396139</v>
      </c>
    </row>
    <row r="272" spans="1:37" ht="53" customHeight="1" x14ac:dyDescent="0.35">
      <c r="B272" s="350">
        <f t="shared" si="147"/>
        <v>61</v>
      </c>
      <c r="C272" s="346">
        <f t="shared" ca="1" si="144"/>
        <v>428.70724001233225</v>
      </c>
      <c r="D272" s="346">
        <f t="shared" si="134"/>
        <v>1020</v>
      </c>
      <c r="E272" s="346">
        <f t="shared" si="135"/>
        <v>600</v>
      </c>
      <c r="F272" s="346">
        <v>600</v>
      </c>
      <c r="G272" s="345">
        <f t="shared" si="136"/>
        <v>6750.9483999999993</v>
      </c>
      <c r="H272" s="346">
        <f t="shared" ca="1" si="148"/>
        <v>74102.241159987665</v>
      </c>
      <c r="I272" s="346" t="e">
        <f ca="1">#REF!*H272</f>
        <v>#REF!</v>
      </c>
      <c r="J272" s="346" t="e">
        <f ca="1">IF(H272+I272-66000&gt;0,H272+I272-66000,0)</f>
        <v>#REF!</v>
      </c>
      <c r="K272" s="346">
        <v>66000</v>
      </c>
      <c r="L272" s="292"/>
      <c r="M272" s="346" t="e">
        <f ca="1">IF(J272&gt;=0,J272,0)</f>
        <v>#REF!</v>
      </c>
      <c r="N272" s="345">
        <f t="shared" si="137"/>
        <v>5143.8491999999997</v>
      </c>
      <c r="O272" s="346" t="e">
        <f t="shared" ca="1" si="150"/>
        <v>#REF!</v>
      </c>
      <c r="P272" s="346" t="e">
        <f ca="1">IF(B272&lt;=55,$AK$5,#REF!)*(IF(O272&gt;=40000,40000,O272))</f>
        <v>#REF!</v>
      </c>
      <c r="Q272" s="345" t="e">
        <f t="shared" ca="1" si="138"/>
        <v>#VALUE!</v>
      </c>
      <c r="R272" s="346" t="e">
        <f t="shared" ca="1" si="139"/>
        <v>#REF!</v>
      </c>
      <c r="S272" s="290"/>
      <c r="T272" s="345">
        <f t="shared" si="140"/>
        <v>2209.7613999999999</v>
      </c>
      <c r="U272" s="346">
        <f t="shared" si="141"/>
        <v>9805.6511999999984</v>
      </c>
      <c r="V272" s="346" t="str">
        <f t="shared" si="142"/>
        <v>60 to 64</v>
      </c>
      <c r="W272" s="345" t="e">
        <f>IF(Z271+T272-U272-V272-(#REF!*12)&gt;=0,Z271+T272-U272-V272-(#REF!*12),0)</f>
        <v>#VALUE!</v>
      </c>
      <c r="X272" s="346" t="e">
        <f>IF(B272&lt;=55,$AK$3,#REF!)*(IF(W272&gt;=20000,20000,W272))</f>
        <v>#REF!</v>
      </c>
      <c r="Y272" s="345" t="e">
        <f t="shared" si="143"/>
        <v>#VALUE!</v>
      </c>
      <c r="Z272" s="374" t="e">
        <f t="shared" si="146"/>
        <v>#VALUE!</v>
      </c>
      <c r="AA272" s="329"/>
      <c r="AB272" s="329"/>
      <c r="AC272" s="329"/>
      <c r="AD272" s="329"/>
      <c r="AE272" s="329"/>
      <c r="AF272" s="329"/>
      <c r="AG272" s="270"/>
      <c r="AH272" s="270"/>
      <c r="AI272" s="270"/>
      <c r="AJ272" s="270"/>
      <c r="AK272" s="348">
        <f t="shared" ca="1" si="133"/>
        <v>-904026.68734534807</v>
      </c>
    </row>
    <row r="273" spans="2:37" ht="53" customHeight="1" x14ac:dyDescent="0.35">
      <c r="B273" s="344">
        <f t="shared" si="147"/>
        <v>62</v>
      </c>
      <c r="C273" s="345">
        <f t="shared" ca="1" si="144"/>
        <v>433.09891697901855</v>
      </c>
      <c r="D273" s="345">
        <f t="shared" si="134"/>
        <v>1020</v>
      </c>
      <c r="E273" s="345">
        <f t="shared" si="135"/>
        <v>600</v>
      </c>
      <c r="F273" s="345">
        <v>600</v>
      </c>
      <c r="G273" s="345">
        <f t="shared" si="136"/>
        <v>6750.9483999999993</v>
      </c>
      <c r="H273" s="345">
        <f t="shared" ca="1" si="148"/>
        <v>74097.849483020982</v>
      </c>
      <c r="I273" s="345" t="e">
        <f ca="1">#REF!*H273</f>
        <v>#REF!</v>
      </c>
      <c r="J273" s="346" t="e">
        <f t="shared" ref="J273:J311" ca="1" si="151">IF(H273+I273-66000&gt;0,H273+I273-66000,0)</f>
        <v>#REF!</v>
      </c>
      <c r="K273" s="345">
        <v>66000</v>
      </c>
      <c r="L273" s="278"/>
      <c r="M273" s="346" t="e">
        <f t="shared" ref="M273:M311" ca="1" si="152">IF(J273&gt;=0,J273,0)</f>
        <v>#REF!</v>
      </c>
      <c r="N273" s="345">
        <f t="shared" si="137"/>
        <v>5143.8491999999997</v>
      </c>
      <c r="O273" s="345" t="e">
        <f t="shared" ca="1" si="150"/>
        <v>#REF!</v>
      </c>
      <c r="P273" s="345" t="e">
        <f ca="1">IF(B273&lt;=55,$AK$5,#REF!)*(IF(O273&gt;=40000,40000,O273))</f>
        <v>#REF!</v>
      </c>
      <c r="Q273" s="345" t="e">
        <f t="shared" ca="1" si="138"/>
        <v>#VALUE!</v>
      </c>
      <c r="R273" s="345" t="e">
        <f t="shared" ca="1" si="139"/>
        <v>#REF!</v>
      </c>
      <c r="T273" s="345">
        <f t="shared" si="140"/>
        <v>2209.7613999999999</v>
      </c>
      <c r="U273" s="345"/>
      <c r="V273" s="345" t="str">
        <f t="shared" si="142"/>
        <v>60 to 64</v>
      </c>
      <c r="W273" s="345" t="e">
        <f>IF(Z272+T273-U273-V273-(#REF!*12)&gt;=0,Z272+T273-U273-V273-(#REF!*12),0)</f>
        <v>#VALUE!</v>
      </c>
      <c r="X273" s="345" t="e">
        <f>IF(B273&lt;=55,$AK$3,#REF!)*(IF(W273&gt;=20000,20000,W273))</f>
        <v>#REF!</v>
      </c>
      <c r="Y273" s="345" t="e">
        <f t="shared" si="143"/>
        <v>#VALUE!</v>
      </c>
      <c r="Z273" s="349" t="e">
        <f t="shared" si="146"/>
        <v>#VALUE!</v>
      </c>
      <c r="AA273" s="270"/>
      <c r="AB273" s="270"/>
      <c r="AC273" s="270"/>
      <c r="AD273" s="270"/>
      <c r="AE273" s="270"/>
      <c r="AF273" s="270"/>
      <c r="AG273" s="270"/>
      <c r="AH273" s="270"/>
      <c r="AI273" s="270"/>
      <c r="AJ273" s="270"/>
      <c r="AK273" s="348">
        <f t="shared" ca="1" si="133"/>
        <v>-980868.95576970256</v>
      </c>
    </row>
    <row r="274" spans="2:37" ht="53" customHeight="1" x14ac:dyDescent="0.35">
      <c r="B274" s="344">
        <f t="shared" si="147"/>
        <v>63</v>
      </c>
      <c r="C274" s="345">
        <f t="shared" ca="1" si="144"/>
        <v>437.53558228455159</v>
      </c>
      <c r="D274" s="345">
        <f t="shared" si="134"/>
        <v>1020</v>
      </c>
      <c r="E274" s="345">
        <f t="shared" si="135"/>
        <v>600</v>
      </c>
      <c r="F274" s="345">
        <v>600</v>
      </c>
      <c r="G274" s="345">
        <f t="shared" si="136"/>
        <v>6750.9483999999993</v>
      </c>
      <c r="H274" s="345">
        <f t="shared" ca="1" si="148"/>
        <v>74093.412817715449</v>
      </c>
      <c r="I274" s="345" t="e">
        <f ca="1">#REF!*H274</f>
        <v>#REF!</v>
      </c>
      <c r="J274" s="346" t="e">
        <f t="shared" ca="1" si="151"/>
        <v>#REF!</v>
      </c>
      <c r="K274" s="345">
        <v>66000</v>
      </c>
      <c r="L274" s="295"/>
      <c r="M274" s="346" t="e">
        <f t="shared" ca="1" si="152"/>
        <v>#REF!</v>
      </c>
      <c r="N274" s="345">
        <f t="shared" si="137"/>
        <v>5143.8491999999997</v>
      </c>
      <c r="O274" s="345" t="e">
        <f t="shared" ca="1" si="150"/>
        <v>#REF!</v>
      </c>
      <c r="P274" s="345" t="e">
        <f ca="1">IF(B274&lt;=55,$AK$5,#REF!)*(IF(O274&gt;=40000,40000,O274))</f>
        <v>#REF!</v>
      </c>
      <c r="Q274" s="345" t="e">
        <f t="shared" ca="1" si="138"/>
        <v>#VALUE!</v>
      </c>
      <c r="R274" s="345" t="e">
        <f t="shared" ca="1" si="139"/>
        <v>#REF!</v>
      </c>
      <c r="S274" s="294"/>
      <c r="T274" s="345">
        <f t="shared" si="140"/>
        <v>2209.7613999999999</v>
      </c>
      <c r="U274" s="345"/>
      <c r="V274" s="345" t="str">
        <f t="shared" si="142"/>
        <v>60 to 64</v>
      </c>
      <c r="W274" s="345" t="e">
        <f>IF(Z273+T274-U274-V274-(#REF!*12)&gt;=0,Z273+T274-U274-V274-(#REF!*12),0)</f>
        <v>#VALUE!</v>
      </c>
      <c r="X274" s="345" t="e">
        <f>IF(B274&lt;=55,$AK$3,#REF!)*(IF(W274&gt;=20000,20000,W274))</f>
        <v>#REF!</v>
      </c>
      <c r="Y274" s="345" t="e">
        <f t="shared" si="143"/>
        <v>#VALUE!</v>
      </c>
      <c r="Z274" s="349" t="e">
        <f t="shared" si="146"/>
        <v>#VALUE!</v>
      </c>
      <c r="AA274" s="270"/>
      <c r="AB274" s="270"/>
      <c r="AC274" s="270"/>
      <c r="AD274" s="270"/>
      <c r="AE274" s="270"/>
      <c r="AF274" s="270"/>
      <c r="AG274" s="270"/>
      <c r="AH274" s="270"/>
      <c r="AI274" s="270"/>
      <c r="AJ274" s="270"/>
      <c r="AK274" s="348">
        <f t="shared" ca="1" si="133"/>
        <v>-1064242.8170101272</v>
      </c>
    </row>
    <row r="275" spans="2:37" ht="53" customHeight="1" x14ac:dyDescent="0.35">
      <c r="B275" s="344">
        <f t="shared" si="147"/>
        <v>64</v>
      </c>
      <c r="C275" s="345">
        <f t="shared" ca="1" si="144"/>
        <v>442.01769678947454</v>
      </c>
      <c r="D275" s="345">
        <f t="shared" si="134"/>
        <v>1020</v>
      </c>
      <c r="E275" s="345">
        <f t="shared" si="135"/>
        <v>600</v>
      </c>
      <c r="F275" s="345">
        <v>600</v>
      </c>
      <c r="G275" s="345">
        <f t="shared" si="136"/>
        <v>6750.9483999999993</v>
      </c>
      <c r="H275" s="345">
        <f t="shared" ca="1" si="148"/>
        <v>74088.930703210513</v>
      </c>
      <c r="I275" s="345" t="e">
        <f ca="1">#REF!*H275</f>
        <v>#REF!</v>
      </c>
      <c r="J275" s="346" t="e">
        <f t="shared" ca="1" si="151"/>
        <v>#REF!</v>
      </c>
      <c r="K275" s="345">
        <v>66000</v>
      </c>
      <c r="L275" s="278"/>
      <c r="M275" s="346" t="e">
        <f t="shared" ca="1" si="152"/>
        <v>#REF!</v>
      </c>
      <c r="N275" s="345">
        <f t="shared" si="137"/>
        <v>5143.8491999999997</v>
      </c>
      <c r="O275" s="345" t="e">
        <f t="shared" ca="1" si="150"/>
        <v>#REF!</v>
      </c>
      <c r="P275" s="345" t="e">
        <f ca="1">IF(B275&lt;=55,$AK$5,#REF!)*(IF(O275&gt;=40000,40000,O275))</f>
        <v>#REF!</v>
      </c>
      <c r="Q275" s="345" t="e">
        <f t="shared" ca="1" si="138"/>
        <v>#VALUE!</v>
      </c>
      <c r="R275" s="345" t="e">
        <f t="shared" ca="1" si="139"/>
        <v>#REF!</v>
      </c>
      <c r="S275" s="297"/>
      <c r="T275" s="345">
        <f t="shared" si="140"/>
        <v>2209.7613999999999</v>
      </c>
      <c r="U275" s="345"/>
      <c r="V275" s="345" t="str">
        <f t="shared" si="142"/>
        <v>60 to 64</v>
      </c>
      <c r="W275" s="345" t="e">
        <f>IF(Z274+T275-U275-V275-(#REF!*12)&gt;=0,Z274+T275-U275-V275-(#REF!*12),0)</f>
        <v>#VALUE!</v>
      </c>
      <c r="X275" s="345" t="e">
        <f>IF(B275&lt;=55,$AK$3,#REF!)*(IF(W275&gt;=20000,20000,W275))</f>
        <v>#REF!</v>
      </c>
      <c r="Y275" s="345" t="e">
        <f t="shared" si="143"/>
        <v>#VALUE!</v>
      </c>
      <c r="Z275" s="349" t="e">
        <f t="shared" si="146"/>
        <v>#VALUE!</v>
      </c>
      <c r="AA275" s="270"/>
      <c r="AB275" s="270"/>
      <c r="AC275" s="270"/>
      <c r="AD275" s="270"/>
      <c r="AE275" s="270"/>
      <c r="AF275" s="270"/>
      <c r="AG275" s="270"/>
      <c r="AH275" s="270"/>
      <c r="AI275" s="270"/>
      <c r="AJ275" s="270"/>
      <c r="AK275" s="348">
        <f t="shared" ca="1" si="133"/>
        <v>-1154703.4564559881</v>
      </c>
    </row>
    <row r="276" spans="2:37" ht="53" customHeight="1" x14ac:dyDescent="0.35">
      <c r="B276" s="344">
        <f t="shared" si="147"/>
        <v>65</v>
      </c>
      <c r="C276" s="345">
        <f t="shared" ca="1" si="144"/>
        <v>446.54572607538591</v>
      </c>
      <c r="D276" s="345">
        <f t="shared" si="134"/>
        <v>1020</v>
      </c>
      <c r="E276" s="345">
        <f t="shared" si="135"/>
        <v>600</v>
      </c>
      <c r="F276" s="345">
        <v>600</v>
      </c>
      <c r="G276" s="345">
        <f t="shared" si="136"/>
        <v>0</v>
      </c>
      <c r="H276" s="345">
        <f t="shared" ca="1" si="148"/>
        <v>67333.45427392461</v>
      </c>
      <c r="I276" s="345" t="e">
        <f ca="1">#REF!*H276</f>
        <v>#REF!</v>
      </c>
      <c r="J276" s="346" t="e">
        <f t="shared" ca="1" si="151"/>
        <v>#REF!</v>
      </c>
      <c r="K276" s="345">
        <v>66000</v>
      </c>
      <c r="L276" s="278"/>
      <c r="M276" s="346" t="e">
        <f t="shared" ca="1" si="152"/>
        <v>#REF!</v>
      </c>
      <c r="N276" s="345">
        <f t="shared" si="137"/>
        <v>0</v>
      </c>
      <c r="O276" s="345" t="e">
        <f t="shared" ca="1" si="150"/>
        <v>#REF!</v>
      </c>
      <c r="P276" s="345" t="e">
        <f ca="1">IF(B276&lt;=55,$AK$5,#REF!)*(IF(O276&gt;=40000,40000,O276))</f>
        <v>#REF!</v>
      </c>
      <c r="Q276" s="345" t="e">
        <f t="shared" ca="1" si="138"/>
        <v>#VALUE!</v>
      </c>
      <c r="R276" s="345" t="e">
        <f t="shared" ca="1" si="139"/>
        <v>#REF!</v>
      </c>
      <c r="T276" s="345">
        <f t="shared" si="140"/>
        <v>0</v>
      </c>
      <c r="U276" s="345"/>
      <c r="V276" s="345" t="str">
        <f t="shared" si="142"/>
        <v>60 to 64</v>
      </c>
      <c r="W276" s="345" t="e">
        <f>IF(Z275+T276-U276-V276-(#REF!*12)&gt;=0,Z275+T276-U276-V276-(#REF!*12),0)</f>
        <v>#VALUE!</v>
      </c>
      <c r="X276" s="345" t="e">
        <f>IF(B276&lt;=55,$AK$3,#REF!)*(IF(W276&gt;=20000,20000,W276))</f>
        <v>#REF!</v>
      </c>
      <c r="Y276" s="345" t="e">
        <f t="shared" si="143"/>
        <v>#VALUE!</v>
      </c>
      <c r="Z276" s="349" t="e">
        <f t="shared" si="146"/>
        <v>#VALUE!</v>
      </c>
      <c r="AA276" s="270"/>
      <c r="AB276" s="270"/>
      <c r="AC276" s="270"/>
      <c r="AD276" s="270"/>
      <c r="AE276" s="270"/>
      <c r="AF276" s="270"/>
      <c r="AG276" s="270"/>
      <c r="AH276" s="270"/>
      <c r="AI276" s="270"/>
      <c r="AJ276" s="270"/>
      <c r="AK276" s="348">
        <f t="shared" ca="1" si="133"/>
        <v>-1252853.2502547472</v>
      </c>
    </row>
    <row r="277" spans="2:37" ht="53" customHeight="1" x14ac:dyDescent="0.35">
      <c r="B277" s="344">
        <f t="shared" si="147"/>
        <v>66</v>
      </c>
      <c r="C277" s="345">
        <f t="shared" ca="1" si="144"/>
        <v>451.12014049330219</v>
      </c>
      <c r="D277" s="345">
        <f t="shared" si="134"/>
        <v>1100</v>
      </c>
      <c r="E277" s="345">
        <f t="shared" si="135"/>
        <v>600</v>
      </c>
      <c r="F277" s="345">
        <v>600</v>
      </c>
      <c r="G277" s="345">
        <f t="shared" si="136"/>
        <v>0</v>
      </c>
      <c r="H277" s="345">
        <f t="shared" ca="1" si="148"/>
        <v>67248.879859506691</v>
      </c>
      <c r="I277" s="345" t="e">
        <f ca="1">#REF!*H277</f>
        <v>#REF!</v>
      </c>
      <c r="J277" s="346" t="e">
        <f t="shared" ca="1" si="151"/>
        <v>#REF!</v>
      </c>
      <c r="K277" s="345">
        <v>66000</v>
      </c>
      <c r="L277" s="278"/>
      <c r="M277" s="346" t="e">
        <f t="shared" ca="1" si="152"/>
        <v>#REF!</v>
      </c>
      <c r="N277" s="345">
        <f t="shared" si="137"/>
        <v>0</v>
      </c>
      <c r="O277" s="345" t="e">
        <f t="shared" ca="1" si="150"/>
        <v>#REF!</v>
      </c>
      <c r="P277" s="345" t="e">
        <f ca="1">IF(B277&lt;=55,$AK$5,#REF!)*(IF(O277&gt;=40000,40000,O277))</f>
        <v>#REF!</v>
      </c>
      <c r="Q277" s="345" t="e">
        <f t="shared" ca="1" si="138"/>
        <v>#VALUE!</v>
      </c>
      <c r="R277" s="345" t="e">
        <f t="shared" ca="1" si="139"/>
        <v>#REF!</v>
      </c>
      <c r="S277" s="266"/>
      <c r="T277" s="345">
        <f t="shared" si="140"/>
        <v>0</v>
      </c>
      <c r="U277" s="345"/>
      <c r="V277" s="345" t="str">
        <f t="shared" si="142"/>
        <v>60 to 64</v>
      </c>
      <c r="W277" s="345" t="e">
        <f>IF(Z276+T277-U277-V277-(#REF!*12)&gt;=0,Z276+T277-U277-V277-(#REF!*12),0)</f>
        <v>#VALUE!</v>
      </c>
      <c r="X277" s="345" t="e">
        <f>IF(B277&lt;=55,$AK$3,#REF!)*(IF(W277&gt;=20000,20000,W277))</f>
        <v>#REF!</v>
      </c>
      <c r="Y277" s="345" t="e">
        <f t="shared" si="143"/>
        <v>#VALUE!</v>
      </c>
      <c r="Z277" s="349" t="e">
        <f t="shared" si="146"/>
        <v>#VALUE!</v>
      </c>
      <c r="AA277" s="270"/>
      <c r="AB277" s="270"/>
      <c r="AC277" s="270"/>
      <c r="AD277" s="270"/>
      <c r="AE277" s="270"/>
      <c r="AF277" s="270"/>
      <c r="AG277" s="270"/>
      <c r="AH277" s="270"/>
      <c r="AI277" s="270"/>
      <c r="AJ277" s="270"/>
      <c r="AK277" s="348">
        <f t="shared" ca="1" si="133"/>
        <v>-1359345.7765264008</v>
      </c>
    </row>
    <row r="278" spans="2:37" ht="53" customHeight="1" x14ac:dyDescent="0.35">
      <c r="B278" s="344">
        <f t="shared" si="147"/>
        <v>67</v>
      </c>
      <c r="C278" s="345">
        <f t="shared" si="144"/>
        <v>0</v>
      </c>
      <c r="D278" s="345">
        <f t="shared" si="134"/>
        <v>1100</v>
      </c>
      <c r="E278" s="345">
        <f t="shared" si="135"/>
        <v>600</v>
      </c>
      <c r="F278" s="345">
        <v>600</v>
      </c>
      <c r="G278" s="345">
        <f t="shared" si="136"/>
        <v>0</v>
      </c>
      <c r="H278" s="345">
        <f t="shared" si="148"/>
        <v>67700</v>
      </c>
      <c r="I278" s="345" t="e">
        <f>#REF!*H278</f>
        <v>#REF!</v>
      </c>
      <c r="J278" s="346" t="e">
        <f t="shared" si="151"/>
        <v>#REF!</v>
      </c>
      <c r="K278" s="345">
        <v>66000</v>
      </c>
      <c r="L278" s="278"/>
      <c r="M278" s="346" t="e">
        <f t="shared" si="152"/>
        <v>#REF!</v>
      </c>
      <c r="N278" s="345">
        <f t="shared" si="137"/>
        <v>0</v>
      </c>
      <c r="O278" s="345" t="e">
        <f t="shared" ca="1" si="150"/>
        <v>#REF!</v>
      </c>
      <c r="P278" s="345" t="e">
        <f ca="1">IF(B278&lt;=55,$AK$5,#REF!)*(IF(O278&gt;=40000,40000,O278))</f>
        <v>#REF!</v>
      </c>
      <c r="Q278" s="345" t="e">
        <f t="shared" ca="1" si="138"/>
        <v>#VALUE!</v>
      </c>
      <c r="R278" s="345" t="e">
        <f t="shared" ca="1" si="139"/>
        <v>#REF!</v>
      </c>
      <c r="T278" s="345">
        <f t="shared" si="140"/>
        <v>0</v>
      </c>
      <c r="U278" s="345"/>
      <c r="V278" s="345" t="str">
        <f t="shared" si="142"/>
        <v>60 to 64</v>
      </c>
      <c r="W278" s="345" t="e">
        <f>IF(Z277+T278-U278-V278-(#REF!*12)&gt;=0,Z277+T278-U278-V278-(#REF!*12),0)</f>
        <v>#VALUE!</v>
      </c>
      <c r="X278" s="345" t="e">
        <f>IF(B278&lt;=55,$AK$3,#REF!)*(IF(W278&gt;=20000,20000,W278))</f>
        <v>#REF!</v>
      </c>
      <c r="Y278" s="345" t="e">
        <f t="shared" si="143"/>
        <v>#VALUE!</v>
      </c>
      <c r="Z278" s="349" t="e">
        <f t="shared" si="146"/>
        <v>#VALUE!</v>
      </c>
      <c r="AA278" s="270"/>
      <c r="AB278" s="270"/>
      <c r="AC278" s="270"/>
      <c r="AD278" s="270"/>
      <c r="AE278" s="270"/>
      <c r="AF278" s="270"/>
      <c r="AG278" s="270"/>
      <c r="AH278" s="270"/>
      <c r="AI278" s="270"/>
      <c r="AJ278" s="270"/>
      <c r="AK278" s="348">
        <f t="shared" ca="1" si="133"/>
        <v>-1474890.1675311448</v>
      </c>
    </row>
    <row r="279" spans="2:37" ht="53" customHeight="1" x14ac:dyDescent="0.35">
      <c r="B279" s="344">
        <f t="shared" si="147"/>
        <v>68</v>
      </c>
      <c r="C279" s="345">
        <f t="shared" si="144"/>
        <v>0</v>
      </c>
      <c r="D279" s="345">
        <f t="shared" si="134"/>
        <v>1100</v>
      </c>
      <c r="E279" s="345">
        <f t="shared" si="135"/>
        <v>600</v>
      </c>
      <c r="F279" s="345">
        <v>600</v>
      </c>
      <c r="G279" s="345">
        <f t="shared" si="136"/>
        <v>0</v>
      </c>
      <c r="H279" s="345">
        <f t="shared" si="148"/>
        <v>67700</v>
      </c>
      <c r="I279" s="345" t="e">
        <f>#REF!*H279</f>
        <v>#REF!</v>
      </c>
      <c r="J279" s="346" t="e">
        <f t="shared" si="151"/>
        <v>#REF!</v>
      </c>
      <c r="K279" s="345">
        <v>66000</v>
      </c>
      <c r="L279" s="278"/>
      <c r="M279" s="346" t="e">
        <f t="shared" si="152"/>
        <v>#REF!</v>
      </c>
      <c r="N279" s="345">
        <f t="shared" si="137"/>
        <v>0</v>
      </c>
      <c r="O279" s="345" t="e">
        <f t="shared" ca="1" si="150"/>
        <v>#REF!</v>
      </c>
      <c r="P279" s="345" t="e">
        <f ca="1">IF(B279&lt;=55,$AK$5,#REF!)*(IF(O279&gt;=40000,40000,O279))</f>
        <v>#REF!</v>
      </c>
      <c r="Q279" s="345" t="e">
        <f t="shared" ca="1" si="138"/>
        <v>#VALUE!</v>
      </c>
      <c r="R279" s="345" t="e">
        <f t="shared" ca="1" si="139"/>
        <v>#REF!</v>
      </c>
      <c r="T279" s="345">
        <f t="shared" si="140"/>
        <v>0</v>
      </c>
      <c r="U279" s="345"/>
      <c r="V279" s="345" t="str">
        <f t="shared" si="142"/>
        <v>60 to 64</v>
      </c>
      <c r="W279" s="345" t="e">
        <f>IF(Z278+T279-U279-V279-(#REF!*12)&gt;=0,Z278+T279-U279-V279-(#REF!*12),0)</f>
        <v>#VALUE!</v>
      </c>
      <c r="X279" s="345" t="e">
        <f>IF(B279&lt;=55,$AK$3,#REF!)*(IF(W279&gt;=20000,20000,W279))</f>
        <v>#REF!</v>
      </c>
      <c r="Y279" s="345" t="e">
        <f t="shared" si="143"/>
        <v>#VALUE!</v>
      </c>
      <c r="Z279" s="349" t="e">
        <f t="shared" si="146"/>
        <v>#VALUE!</v>
      </c>
      <c r="AA279" s="270"/>
      <c r="AB279" s="270"/>
      <c r="AC279" s="270"/>
      <c r="AD279" s="270"/>
      <c r="AE279" s="270"/>
      <c r="AF279" s="270"/>
      <c r="AG279" s="270"/>
      <c r="AH279" s="270"/>
      <c r="AI279" s="270"/>
      <c r="AJ279" s="270"/>
      <c r="AK279" s="348">
        <f t="shared" ca="1" si="133"/>
        <v>-1600255.8317712923</v>
      </c>
    </row>
    <row r="280" spans="2:37" ht="53" customHeight="1" x14ac:dyDescent="0.35">
      <c r="B280" s="344">
        <f t="shared" si="147"/>
        <v>69</v>
      </c>
      <c r="C280" s="345">
        <f t="shared" si="144"/>
        <v>0</v>
      </c>
      <c r="D280" s="345">
        <f t="shared" si="134"/>
        <v>1100</v>
      </c>
      <c r="E280" s="345">
        <f t="shared" si="135"/>
        <v>600</v>
      </c>
      <c r="F280" s="345">
        <v>600</v>
      </c>
      <c r="G280" s="345">
        <f t="shared" si="136"/>
        <v>0</v>
      </c>
      <c r="H280" s="345">
        <f t="shared" si="148"/>
        <v>67700</v>
      </c>
      <c r="I280" s="345" t="e">
        <f>#REF!*H280</f>
        <v>#REF!</v>
      </c>
      <c r="J280" s="346" t="e">
        <f t="shared" si="151"/>
        <v>#REF!</v>
      </c>
      <c r="K280" s="345">
        <v>66000</v>
      </c>
      <c r="L280" s="278"/>
      <c r="M280" s="346" t="e">
        <f t="shared" si="152"/>
        <v>#REF!</v>
      </c>
      <c r="N280" s="345">
        <f t="shared" si="137"/>
        <v>0</v>
      </c>
      <c r="O280" s="345" t="e">
        <f t="shared" ca="1" si="150"/>
        <v>#REF!</v>
      </c>
      <c r="P280" s="345" t="e">
        <f ca="1">IF(B280&lt;=55,$AK$5,#REF!)*(IF(O280&gt;=40000,40000,O280))</f>
        <v>#REF!</v>
      </c>
      <c r="Q280" s="345" t="e">
        <f t="shared" ca="1" si="138"/>
        <v>#VALUE!</v>
      </c>
      <c r="R280" s="345" t="e">
        <f t="shared" ca="1" si="139"/>
        <v>#REF!</v>
      </c>
      <c r="T280" s="345">
        <f t="shared" si="140"/>
        <v>0</v>
      </c>
      <c r="U280" s="345"/>
      <c r="V280" s="345" t="str">
        <f t="shared" si="142"/>
        <v>60 to 64</v>
      </c>
      <c r="W280" s="345" t="e">
        <f>IF(Z279+T280-U280-V280-(#REF!*12)&gt;=0,Z279+T280-U280-V280-(#REF!*12),0)</f>
        <v>#VALUE!</v>
      </c>
      <c r="X280" s="345" t="e">
        <f>IF(B280&lt;=55,$AK$3,#REF!)*(IF(W280&gt;=20000,20000,W280))</f>
        <v>#REF!</v>
      </c>
      <c r="Y280" s="345" t="e">
        <f t="shared" si="143"/>
        <v>#VALUE!</v>
      </c>
      <c r="Z280" s="349" t="e">
        <f t="shared" si="146"/>
        <v>#VALUE!</v>
      </c>
      <c r="AA280" s="270"/>
      <c r="AB280" s="270"/>
      <c r="AC280" s="270"/>
      <c r="AD280" s="270"/>
      <c r="AE280" s="270"/>
      <c r="AF280" s="270"/>
      <c r="AG280" s="270"/>
      <c r="AH280" s="270"/>
      <c r="AI280" s="270"/>
      <c r="AJ280" s="270"/>
      <c r="AK280" s="348">
        <f t="shared" ca="1" si="133"/>
        <v>-1736277.5774718521</v>
      </c>
    </row>
    <row r="281" spans="2:37" ht="53" customHeight="1" x14ac:dyDescent="0.35">
      <c r="B281" s="344">
        <f t="shared" si="147"/>
        <v>70</v>
      </c>
      <c r="C281" s="345">
        <f t="shared" si="144"/>
        <v>0</v>
      </c>
      <c r="D281" s="345">
        <f t="shared" si="134"/>
        <v>1100</v>
      </c>
      <c r="E281" s="345">
        <f t="shared" si="135"/>
        <v>600</v>
      </c>
      <c r="F281" s="345">
        <v>600</v>
      </c>
      <c r="G281" s="345">
        <f t="shared" si="136"/>
        <v>0</v>
      </c>
      <c r="H281" s="345">
        <f t="shared" si="148"/>
        <v>67700</v>
      </c>
      <c r="I281" s="345" t="e">
        <f>#REF!*H281</f>
        <v>#REF!</v>
      </c>
      <c r="J281" s="346" t="e">
        <f t="shared" si="151"/>
        <v>#REF!</v>
      </c>
      <c r="K281" s="345">
        <v>66000</v>
      </c>
      <c r="L281" s="278"/>
      <c r="M281" s="346" t="e">
        <f t="shared" si="152"/>
        <v>#REF!</v>
      </c>
      <c r="N281" s="345">
        <f t="shared" si="137"/>
        <v>0</v>
      </c>
      <c r="O281" s="345" t="e">
        <f t="shared" ca="1" si="150"/>
        <v>#REF!</v>
      </c>
      <c r="P281" s="345" t="e">
        <f ca="1">IF(B281&lt;=55,$AK$5,#REF!)*(IF(O281&gt;=40000,40000,O281))</f>
        <v>#REF!</v>
      </c>
      <c r="Q281" s="345" t="e">
        <f t="shared" ca="1" si="138"/>
        <v>#VALUE!</v>
      </c>
      <c r="R281" s="345" t="e">
        <f t="shared" ca="1" si="139"/>
        <v>#REF!</v>
      </c>
      <c r="T281" s="345">
        <f t="shared" si="140"/>
        <v>0</v>
      </c>
      <c r="U281" s="345"/>
      <c r="V281" s="345" t="str">
        <f t="shared" si="142"/>
        <v>60 to 64</v>
      </c>
      <c r="W281" s="345" t="e">
        <f>IF(Z280+T281-U281-V281-(#REF!*12)&gt;=0,Z280+T281-U281-V281-(#REF!*12),0)</f>
        <v>#VALUE!</v>
      </c>
      <c r="X281" s="345" t="e">
        <f>IF(B281&lt;=55,$AK$3,#REF!)*(IF(W281&gt;=20000,20000,W281))</f>
        <v>#REF!</v>
      </c>
      <c r="Y281" s="345" t="e">
        <f t="shared" si="143"/>
        <v>#VALUE!</v>
      </c>
      <c r="Z281" s="349" t="e">
        <f t="shared" si="146"/>
        <v>#VALUE!</v>
      </c>
      <c r="AA281" s="270"/>
      <c r="AB281" s="270"/>
      <c r="AC281" s="270"/>
      <c r="AD281" s="270"/>
      <c r="AE281" s="270"/>
      <c r="AF281" s="270"/>
      <c r="AG281" s="270"/>
      <c r="AH281" s="270"/>
      <c r="AI281" s="270"/>
      <c r="AJ281" s="270"/>
      <c r="AK281" s="348">
        <f t="shared" ca="1" si="133"/>
        <v>-1883861.1715569596</v>
      </c>
    </row>
    <row r="282" spans="2:37" ht="53" customHeight="1" x14ac:dyDescent="0.35">
      <c r="B282" s="344">
        <f t="shared" si="147"/>
        <v>71</v>
      </c>
      <c r="C282" s="345">
        <f t="shared" si="144"/>
        <v>0</v>
      </c>
      <c r="D282" s="345">
        <f t="shared" si="134"/>
        <v>1195</v>
      </c>
      <c r="E282" s="345">
        <f t="shared" si="135"/>
        <v>900</v>
      </c>
      <c r="F282" s="345">
        <v>600</v>
      </c>
      <c r="G282" s="345">
        <f t="shared" si="136"/>
        <v>0</v>
      </c>
      <c r="H282" s="345">
        <f t="shared" si="148"/>
        <v>67305</v>
      </c>
      <c r="I282" s="345" t="e">
        <f>#REF!*H282</f>
        <v>#REF!</v>
      </c>
      <c r="J282" s="346" t="e">
        <f t="shared" si="151"/>
        <v>#REF!</v>
      </c>
      <c r="K282" s="345">
        <v>66000</v>
      </c>
      <c r="L282" s="278"/>
      <c r="M282" s="346" t="e">
        <f t="shared" si="152"/>
        <v>#REF!</v>
      </c>
      <c r="N282" s="345">
        <f t="shared" si="137"/>
        <v>0</v>
      </c>
      <c r="O282" s="345" t="e">
        <f t="shared" ca="1" si="150"/>
        <v>#REF!</v>
      </c>
      <c r="P282" s="345" t="e">
        <f ca="1">IF(B282&lt;=55,$AK$5,#REF!)*(IF(O282&gt;=40000,40000,O282))</f>
        <v>#REF!</v>
      </c>
      <c r="Q282" s="345" t="e">
        <f t="shared" ca="1" si="138"/>
        <v>#VALUE!</v>
      </c>
      <c r="R282" s="345" t="e">
        <f t="shared" ca="1" si="139"/>
        <v>#REF!</v>
      </c>
      <c r="S282" s="304"/>
      <c r="T282" s="345">
        <f t="shared" si="140"/>
        <v>0</v>
      </c>
      <c r="U282" s="345"/>
      <c r="V282" s="345" t="str">
        <f t="shared" si="142"/>
        <v>60 to 64</v>
      </c>
      <c r="W282" s="345" t="e">
        <f>IF(Z281+T282-U282-V282-(#REF!*12)&gt;=0,Z281+T282-U282-V282-(#REF!*12),0)</f>
        <v>#VALUE!</v>
      </c>
      <c r="X282" s="345" t="e">
        <f>IF(B282&lt;=55,$AK$3,#REF!)*(IF(W282&gt;=20000,20000,W282))</f>
        <v>#REF!</v>
      </c>
      <c r="Y282" s="345" t="e">
        <f t="shared" si="143"/>
        <v>#VALUE!</v>
      </c>
      <c r="Z282" s="349" t="e">
        <f t="shared" si="146"/>
        <v>#VALUE!</v>
      </c>
      <c r="AA282" s="270"/>
      <c r="AB282" s="270"/>
      <c r="AC282" s="270"/>
      <c r="AD282" s="270"/>
      <c r="AE282" s="270"/>
      <c r="AF282" s="270"/>
      <c r="AG282" s="270"/>
      <c r="AH282" s="270"/>
      <c r="AI282" s="270"/>
      <c r="AJ282" s="270"/>
      <c r="AK282" s="348">
        <f t="shared" ca="1" si="133"/>
        <v>-2043989.3711393012</v>
      </c>
    </row>
    <row r="283" spans="2:37" ht="53" customHeight="1" x14ac:dyDescent="0.35">
      <c r="B283" s="344">
        <f t="shared" si="147"/>
        <v>72</v>
      </c>
      <c r="C283" s="345">
        <f t="shared" si="144"/>
        <v>0</v>
      </c>
      <c r="D283" s="345">
        <f t="shared" si="134"/>
        <v>1195</v>
      </c>
      <c r="E283" s="345">
        <f t="shared" si="135"/>
        <v>900</v>
      </c>
      <c r="F283" s="345">
        <v>600</v>
      </c>
      <c r="G283" s="345">
        <f t="shared" si="136"/>
        <v>0</v>
      </c>
      <c r="H283" s="345">
        <f t="shared" si="148"/>
        <v>67305</v>
      </c>
      <c r="I283" s="345" t="e">
        <f>#REF!*H283</f>
        <v>#REF!</v>
      </c>
      <c r="J283" s="346" t="e">
        <f t="shared" si="151"/>
        <v>#REF!</v>
      </c>
      <c r="K283" s="345">
        <v>66000</v>
      </c>
      <c r="L283" s="278"/>
      <c r="M283" s="346" t="e">
        <f t="shared" si="152"/>
        <v>#REF!</v>
      </c>
      <c r="N283" s="345">
        <f t="shared" si="137"/>
        <v>0</v>
      </c>
      <c r="O283" s="345" t="e">
        <f t="shared" ca="1" si="150"/>
        <v>#REF!</v>
      </c>
      <c r="P283" s="345" t="e">
        <f ca="1">IF(B283&lt;=55,$AK$5,#REF!)*(IF(O283&gt;=40000,40000,O283))</f>
        <v>#REF!</v>
      </c>
      <c r="Q283" s="345" t="e">
        <f t="shared" ca="1" si="138"/>
        <v>#VALUE!</v>
      </c>
      <c r="R283" s="345" t="e">
        <f t="shared" ca="1" si="139"/>
        <v>#REF!</v>
      </c>
      <c r="T283" s="345">
        <f t="shared" si="140"/>
        <v>0</v>
      </c>
      <c r="U283" s="345"/>
      <c r="V283" s="345" t="str">
        <f t="shared" si="142"/>
        <v>60 to 64</v>
      </c>
      <c r="W283" s="345" t="e">
        <f>IF(Z282+T283-U283-V283-(#REF!*12)&gt;=0,Z282+T283-U283-V283-(#REF!*12),0)</f>
        <v>#VALUE!</v>
      </c>
      <c r="X283" s="345" t="e">
        <f>IF(B283&lt;=55,$AK$3,#REF!)*(IF(W283&gt;=20000,20000,W283))</f>
        <v>#REF!</v>
      </c>
      <c r="Y283" s="345" t="e">
        <f t="shared" si="143"/>
        <v>#VALUE!</v>
      </c>
      <c r="Z283" s="349" t="e">
        <f t="shared" si="146"/>
        <v>#VALUE!</v>
      </c>
      <c r="AA283" s="270"/>
      <c r="AB283" s="270"/>
      <c r="AC283" s="270"/>
      <c r="AD283" s="270"/>
      <c r="AE283" s="270"/>
      <c r="AF283" s="270"/>
      <c r="AG283" s="270"/>
      <c r="AH283" s="270"/>
      <c r="AI283" s="270"/>
      <c r="AJ283" s="270"/>
      <c r="AK283" s="348">
        <f t="shared" ca="1" si="133"/>
        <v>-2217728.4676861418</v>
      </c>
    </row>
    <row r="284" spans="2:37" ht="53" customHeight="1" x14ac:dyDescent="0.35">
      <c r="B284" s="344">
        <f t="shared" si="147"/>
        <v>73</v>
      </c>
      <c r="C284" s="345">
        <f t="shared" si="144"/>
        <v>0</v>
      </c>
      <c r="D284" s="345">
        <f t="shared" si="134"/>
        <v>1195</v>
      </c>
      <c r="E284" s="345">
        <f t="shared" si="135"/>
        <v>900</v>
      </c>
      <c r="F284" s="345">
        <v>600</v>
      </c>
      <c r="G284" s="345">
        <f t="shared" si="136"/>
        <v>0</v>
      </c>
      <c r="H284" s="345">
        <f t="shared" si="148"/>
        <v>67305</v>
      </c>
      <c r="I284" s="345" t="e">
        <f>#REF!*H284</f>
        <v>#REF!</v>
      </c>
      <c r="J284" s="346" t="e">
        <f t="shared" si="151"/>
        <v>#REF!</v>
      </c>
      <c r="K284" s="345">
        <v>66000</v>
      </c>
      <c r="L284" s="307"/>
      <c r="M284" s="346" t="e">
        <f t="shared" si="152"/>
        <v>#REF!</v>
      </c>
      <c r="N284" s="345">
        <f t="shared" si="137"/>
        <v>0</v>
      </c>
      <c r="O284" s="345" t="e">
        <f t="shared" ca="1" si="150"/>
        <v>#REF!</v>
      </c>
      <c r="P284" s="345" t="e">
        <f ca="1">IF(B284&lt;=55,$AK$5,#REF!)*(IF(O284&gt;=40000,40000,O284))</f>
        <v>#REF!</v>
      </c>
      <c r="Q284" s="345" t="e">
        <f t="shared" ca="1" si="138"/>
        <v>#VALUE!</v>
      </c>
      <c r="R284" s="345" t="e">
        <f t="shared" ca="1" si="139"/>
        <v>#REF!</v>
      </c>
      <c r="S284" s="306"/>
      <c r="T284" s="345">
        <f t="shared" si="140"/>
        <v>0</v>
      </c>
      <c r="U284" s="345"/>
      <c r="V284" s="345" t="str">
        <f t="shared" si="142"/>
        <v>60 to 64</v>
      </c>
      <c r="W284" s="345" t="e">
        <f>IF(Z283+T284-U284-V284-(#REF!*12)&gt;=0,Z283+T284-U284-V284-(#REF!*12),0)</f>
        <v>#VALUE!</v>
      </c>
      <c r="X284" s="345" t="e">
        <f>IF(B284&lt;=55,$AK$3,#REF!)*(IF(W284&gt;=20000,20000,W284))</f>
        <v>#REF!</v>
      </c>
      <c r="Y284" s="345" t="e">
        <f t="shared" si="143"/>
        <v>#VALUE!</v>
      </c>
      <c r="Z284" s="349" t="e">
        <f t="shared" si="146"/>
        <v>#VALUE!</v>
      </c>
      <c r="AA284" s="270"/>
      <c r="AB284" s="270"/>
      <c r="AC284" s="270"/>
      <c r="AD284" s="270"/>
      <c r="AE284" s="270"/>
      <c r="AF284" s="270"/>
      <c r="AG284" s="270"/>
      <c r="AH284" s="270"/>
      <c r="AI284" s="270"/>
      <c r="AJ284" s="270"/>
      <c r="AK284" s="348">
        <f t="shared" ca="1" si="133"/>
        <v>-2406235.3874394638</v>
      </c>
    </row>
    <row r="285" spans="2:37" ht="53" customHeight="1" x14ac:dyDescent="0.35">
      <c r="B285" s="344">
        <f t="shared" si="147"/>
        <v>74</v>
      </c>
      <c r="C285" s="345">
        <f t="shared" si="144"/>
        <v>0</v>
      </c>
      <c r="D285" s="345">
        <f t="shared" si="134"/>
        <v>1320</v>
      </c>
      <c r="E285" s="345">
        <f t="shared" si="135"/>
        <v>900</v>
      </c>
      <c r="F285" s="345">
        <v>600</v>
      </c>
      <c r="G285" s="345">
        <f t="shared" si="136"/>
        <v>0</v>
      </c>
      <c r="H285" s="345">
        <f t="shared" si="148"/>
        <v>67180</v>
      </c>
      <c r="I285" s="345" t="e">
        <f>#REF!*H285</f>
        <v>#REF!</v>
      </c>
      <c r="J285" s="346" t="e">
        <f t="shared" si="151"/>
        <v>#REF!</v>
      </c>
      <c r="K285" s="345">
        <v>66000</v>
      </c>
      <c r="L285" s="278"/>
      <c r="M285" s="346" t="e">
        <f t="shared" si="152"/>
        <v>#REF!</v>
      </c>
      <c r="N285" s="345">
        <f t="shared" si="137"/>
        <v>0</v>
      </c>
      <c r="O285" s="345" t="e">
        <f t="shared" ca="1" si="150"/>
        <v>#REF!</v>
      </c>
      <c r="P285" s="345" t="e">
        <f ca="1">IF(B285&lt;=55,$AK$5,#REF!)*(IF(O285&gt;=40000,40000,O285))</f>
        <v>#REF!</v>
      </c>
      <c r="Q285" s="345" t="e">
        <f t="shared" ca="1" si="138"/>
        <v>#VALUE!</v>
      </c>
      <c r="R285" s="345" t="e">
        <f t="shared" ca="1" si="139"/>
        <v>#REF!</v>
      </c>
      <c r="T285" s="345">
        <f t="shared" si="140"/>
        <v>0</v>
      </c>
      <c r="U285" s="345"/>
      <c r="V285" s="345" t="str">
        <f t="shared" si="142"/>
        <v>60 to 64</v>
      </c>
      <c r="W285" s="345" t="e">
        <f>IF(Z284+T285-U285-V285-(#REF!*12)&gt;=0,Z284+T285-U285-V285-(#REF!*12),0)</f>
        <v>#VALUE!</v>
      </c>
      <c r="X285" s="345" t="e">
        <f>IF(B285&lt;=55,$AK$3,#REF!)*(IF(W285&gt;=20000,20000,W285))</f>
        <v>#REF!</v>
      </c>
      <c r="Y285" s="345" t="e">
        <f t="shared" si="143"/>
        <v>#VALUE!</v>
      </c>
      <c r="Z285" s="349" t="e">
        <f t="shared" si="146"/>
        <v>#VALUE!</v>
      </c>
      <c r="AA285" s="270"/>
      <c r="AB285" s="270"/>
      <c r="AC285" s="270"/>
      <c r="AD285" s="270"/>
      <c r="AE285" s="270"/>
      <c r="AF285" s="270"/>
      <c r="AG285" s="270"/>
      <c r="AH285" s="270"/>
      <c r="AI285" s="270"/>
      <c r="AJ285" s="270"/>
      <c r="AK285" s="348">
        <f t="shared" ca="1" si="133"/>
        <v>-2610765.3953718184</v>
      </c>
    </row>
    <row r="286" spans="2:37" ht="53" customHeight="1" x14ac:dyDescent="0.35">
      <c r="B286" s="344">
        <f t="shared" si="147"/>
        <v>75</v>
      </c>
      <c r="C286" s="345">
        <f t="shared" si="144"/>
        <v>0</v>
      </c>
      <c r="D286" s="345">
        <f t="shared" si="134"/>
        <v>1320</v>
      </c>
      <c r="E286" s="345">
        <f t="shared" si="135"/>
        <v>900</v>
      </c>
      <c r="F286" s="345">
        <v>600</v>
      </c>
      <c r="G286" s="345">
        <f t="shared" si="136"/>
        <v>0</v>
      </c>
      <c r="H286" s="345">
        <f t="shared" si="148"/>
        <v>67180</v>
      </c>
      <c r="I286" s="345" t="e">
        <f>#REF!*H286</f>
        <v>#REF!</v>
      </c>
      <c r="J286" s="346" t="e">
        <f t="shared" si="151"/>
        <v>#REF!</v>
      </c>
      <c r="K286" s="345">
        <v>66000</v>
      </c>
      <c r="L286" s="278"/>
      <c r="M286" s="346" t="e">
        <f t="shared" si="152"/>
        <v>#REF!</v>
      </c>
      <c r="N286" s="345">
        <f t="shared" si="137"/>
        <v>0</v>
      </c>
      <c r="O286" s="345" t="e">
        <f t="shared" ca="1" si="150"/>
        <v>#REF!</v>
      </c>
      <c r="P286" s="345" t="e">
        <f ca="1">IF(B286&lt;=55,$AK$5,#REF!)*(IF(O286&gt;=40000,40000,O286))</f>
        <v>#REF!</v>
      </c>
      <c r="Q286" s="345" t="e">
        <f t="shared" ca="1" si="138"/>
        <v>#VALUE!</v>
      </c>
      <c r="R286" s="345" t="e">
        <f t="shared" ca="1" si="139"/>
        <v>#REF!</v>
      </c>
      <c r="T286" s="345">
        <f t="shared" si="140"/>
        <v>0</v>
      </c>
      <c r="U286" s="345"/>
      <c r="V286" s="345" t="str">
        <f t="shared" si="142"/>
        <v>60 to 64</v>
      </c>
      <c r="W286" s="345" t="e">
        <f>IF(Z285+T286-U286-V286-(#REF!*12)&gt;=0,Z285+T286-U286-V286-(#REF!*12),0)</f>
        <v>#VALUE!</v>
      </c>
      <c r="X286" s="345" t="e">
        <f>IF(B286&lt;=55,$AK$3,#REF!)*(IF(W286&gt;=20000,20000,W286))</f>
        <v>#REF!</v>
      </c>
      <c r="Y286" s="345" t="e">
        <f t="shared" si="143"/>
        <v>#VALUE!</v>
      </c>
      <c r="Z286" s="349" t="e">
        <f t="shared" si="146"/>
        <v>#VALUE!</v>
      </c>
      <c r="AA286" s="270"/>
      <c r="AB286" s="270"/>
      <c r="AC286" s="270"/>
      <c r="AD286" s="270"/>
      <c r="AE286" s="270"/>
      <c r="AF286" s="270"/>
      <c r="AG286" s="270"/>
      <c r="AH286" s="270"/>
      <c r="AI286" s="270"/>
      <c r="AJ286" s="270"/>
      <c r="AK286" s="348">
        <f t="shared" ca="1" si="133"/>
        <v>-2832680.453978423</v>
      </c>
    </row>
    <row r="287" spans="2:37" ht="53" customHeight="1" x14ac:dyDescent="0.35">
      <c r="B287" s="344">
        <f t="shared" si="147"/>
        <v>76</v>
      </c>
      <c r="C287" s="345">
        <f t="shared" si="144"/>
        <v>0</v>
      </c>
      <c r="D287" s="345">
        <f t="shared" si="134"/>
        <v>1530</v>
      </c>
      <c r="E287" s="345">
        <f t="shared" si="135"/>
        <v>900</v>
      </c>
      <c r="F287" s="345">
        <v>600</v>
      </c>
      <c r="G287" s="345">
        <f t="shared" si="136"/>
        <v>0</v>
      </c>
      <c r="H287" s="345">
        <f t="shared" si="148"/>
        <v>66970</v>
      </c>
      <c r="I287" s="345" t="e">
        <f>#REF!*H287</f>
        <v>#REF!</v>
      </c>
      <c r="J287" s="346" t="e">
        <f t="shared" si="151"/>
        <v>#REF!</v>
      </c>
      <c r="K287" s="345">
        <v>66000</v>
      </c>
      <c r="L287" s="278"/>
      <c r="M287" s="346" t="e">
        <f t="shared" si="152"/>
        <v>#REF!</v>
      </c>
      <c r="N287" s="345">
        <f t="shared" si="137"/>
        <v>0</v>
      </c>
      <c r="O287" s="345" t="e">
        <f t="shared" ca="1" si="150"/>
        <v>#REF!</v>
      </c>
      <c r="P287" s="345" t="e">
        <f ca="1">IF(B287&lt;=55,$AK$5,#REF!)*(IF(O287&gt;=40000,40000,O287))</f>
        <v>#REF!</v>
      </c>
      <c r="Q287" s="345" t="e">
        <f t="shared" ca="1" si="138"/>
        <v>#VALUE!</v>
      </c>
      <c r="R287" s="345" t="e">
        <f t="shared" ca="1" si="139"/>
        <v>#REF!</v>
      </c>
      <c r="T287" s="345">
        <f t="shared" si="140"/>
        <v>0</v>
      </c>
      <c r="U287" s="345"/>
      <c r="V287" s="345" t="str">
        <f t="shared" si="142"/>
        <v>60 to 64</v>
      </c>
      <c r="W287" s="345" t="e">
        <f>IF(Z286+T287-U287-V287-(#REF!*12)&gt;=0,Z286+T287-U287-V287-(#REF!*12),0)</f>
        <v>#VALUE!</v>
      </c>
      <c r="X287" s="345" t="e">
        <f>IF(B287&lt;=55,$AK$3,#REF!)*(IF(W287&gt;=20000,20000,W287))</f>
        <v>#REF!</v>
      </c>
      <c r="Y287" s="345" t="e">
        <f t="shared" si="143"/>
        <v>#VALUE!</v>
      </c>
      <c r="Z287" s="349" t="e">
        <f t="shared" si="146"/>
        <v>#VALUE!</v>
      </c>
      <c r="AA287" s="270"/>
      <c r="AB287" s="270"/>
      <c r="AC287" s="270"/>
      <c r="AD287" s="270"/>
      <c r="AE287" s="270"/>
      <c r="AF287" s="270"/>
      <c r="AG287" s="270"/>
      <c r="AH287" s="270"/>
      <c r="AI287" s="270"/>
      <c r="AJ287" s="270"/>
      <c r="AK287" s="348">
        <f t="shared" ca="1" si="133"/>
        <v>-3073458.2925665891</v>
      </c>
    </row>
    <row r="288" spans="2:37" ht="53" customHeight="1" x14ac:dyDescent="0.35">
      <c r="B288" s="344">
        <f t="shared" si="147"/>
        <v>77</v>
      </c>
      <c r="C288" s="345">
        <f t="shared" si="144"/>
        <v>0</v>
      </c>
      <c r="D288" s="345">
        <f t="shared" si="134"/>
        <v>1530</v>
      </c>
      <c r="E288" s="345">
        <f t="shared" si="135"/>
        <v>900</v>
      </c>
      <c r="F288" s="345">
        <v>600</v>
      </c>
      <c r="G288" s="345">
        <f t="shared" si="136"/>
        <v>0</v>
      </c>
      <c r="H288" s="345">
        <f t="shared" si="148"/>
        <v>66970</v>
      </c>
      <c r="I288" s="345" t="e">
        <f>#REF!*H288</f>
        <v>#REF!</v>
      </c>
      <c r="J288" s="346" t="e">
        <f t="shared" si="151"/>
        <v>#REF!</v>
      </c>
      <c r="K288" s="345">
        <v>66000</v>
      </c>
      <c r="L288" s="278"/>
      <c r="M288" s="346" t="e">
        <f t="shared" si="152"/>
        <v>#REF!</v>
      </c>
      <c r="N288" s="345">
        <f t="shared" si="137"/>
        <v>0</v>
      </c>
      <c r="O288" s="345" t="e">
        <f t="shared" ca="1" si="150"/>
        <v>#REF!</v>
      </c>
      <c r="P288" s="345" t="e">
        <f ca="1">IF(B288&lt;=55,$AK$5,#REF!)*(IF(O288&gt;=40000,40000,O288))</f>
        <v>#REF!</v>
      </c>
      <c r="Q288" s="345" t="e">
        <f t="shared" ca="1" si="138"/>
        <v>#VALUE!</v>
      </c>
      <c r="R288" s="345" t="e">
        <f t="shared" ca="1" si="139"/>
        <v>#REF!</v>
      </c>
      <c r="T288" s="345">
        <f t="shared" si="140"/>
        <v>0</v>
      </c>
      <c r="U288" s="345"/>
      <c r="V288" s="345" t="str">
        <f t="shared" si="142"/>
        <v>60 to 64</v>
      </c>
      <c r="W288" s="345" t="e">
        <f>IF(Z287+T288-U288-V288-(#REF!*12)&gt;=0,Z287+T288-U288-V288-(#REF!*12),0)</f>
        <v>#VALUE!</v>
      </c>
      <c r="X288" s="345" t="e">
        <f>IF(B288&lt;=55,$AK$3,#REF!)*(IF(W288&gt;=20000,20000,W288))</f>
        <v>#REF!</v>
      </c>
      <c r="Y288" s="345" t="e">
        <f t="shared" si="143"/>
        <v>#VALUE!</v>
      </c>
      <c r="Z288" s="349" t="e">
        <f t="shared" si="146"/>
        <v>#VALUE!</v>
      </c>
      <c r="AA288" s="270"/>
      <c r="AB288" s="270"/>
      <c r="AC288" s="270"/>
      <c r="AD288" s="270"/>
      <c r="AE288" s="270"/>
      <c r="AF288" s="270"/>
      <c r="AG288" s="270"/>
      <c r="AH288" s="270"/>
      <c r="AI288" s="270"/>
      <c r="AJ288" s="270"/>
      <c r="AK288" s="348">
        <f t="shared" ca="1" si="133"/>
        <v>-3334702.2474347493</v>
      </c>
    </row>
    <row r="289" spans="2:37" ht="53" customHeight="1" x14ac:dyDescent="0.35">
      <c r="B289" s="344">
        <f t="shared" si="147"/>
        <v>78</v>
      </c>
      <c r="C289" s="345">
        <f t="shared" si="144"/>
        <v>0</v>
      </c>
      <c r="D289" s="345">
        <f t="shared" si="134"/>
        <v>1530</v>
      </c>
      <c r="E289" s="345">
        <f t="shared" si="135"/>
        <v>900</v>
      </c>
      <c r="F289" s="345">
        <v>600</v>
      </c>
      <c r="G289" s="345">
        <f t="shared" si="136"/>
        <v>0</v>
      </c>
      <c r="H289" s="345">
        <f t="shared" si="148"/>
        <v>66970</v>
      </c>
      <c r="I289" s="345" t="e">
        <f>#REF!*H289</f>
        <v>#REF!</v>
      </c>
      <c r="J289" s="346" t="e">
        <f t="shared" si="151"/>
        <v>#REF!</v>
      </c>
      <c r="K289" s="345">
        <v>66000</v>
      </c>
      <c r="L289" s="278"/>
      <c r="M289" s="346" t="e">
        <f t="shared" si="152"/>
        <v>#REF!</v>
      </c>
      <c r="N289" s="345">
        <f t="shared" si="137"/>
        <v>0</v>
      </c>
      <c r="O289" s="345" t="e">
        <f t="shared" ca="1" si="150"/>
        <v>#REF!</v>
      </c>
      <c r="P289" s="345" t="e">
        <f ca="1">IF(B289&lt;=55,$AK$5,#REF!)*(IF(O289&gt;=40000,40000,O289))</f>
        <v>#REF!</v>
      </c>
      <c r="Q289" s="345" t="e">
        <f t="shared" ca="1" si="138"/>
        <v>#VALUE!</v>
      </c>
      <c r="R289" s="345" t="e">
        <f t="shared" ca="1" si="139"/>
        <v>#REF!</v>
      </c>
      <c r="T289" s="345">
        <f t="shared" si="140"/>
        <v>0</v>
      </c>
      <c r="U289" s="345"/>
      <c r="V289" s="345" t="str">
        <f t="shared" si="142"/>
        <v>60 to 64</v>
      </c>
      <c r="W289" s="345" t="e">
        <f>IF(Z288+T289-U289-V289-(#REF!*12)&gt;=0,Z288+T289-U289-V289-(#REF!*12),0)</f>
        <v>#VALUE!</v>
      </c>
      <c r="X289" s="345" t="e">
        <f>IF(B289&lt;=55,$AK$3,#REF!)*(IF(W289&gt;=20000,20000,W289))</f>
        <v>#REF!</v>
      </c>
      <c r="Y289" s="345" t="e">
        <f t="shared" si="143"/>
        <v>#VALUE!</v>
      </c>
      <c r="Z289" s="349" t="e">
        <f t="shared" si="146"/>
        <v>#VALUE!</v>
      </c>
      <c r="AA289" s="270"/>
      <c r="AB289" s="270"/>
      <c r="AC289" s="270"/>
      <c r="AD289" s="270"/>
      <c r="AE289" s="270"/>
      <c r="AF289" s="270"/>
      <c r="AG289" s="270"/>
      <c r="AH289" s="270"/>
      <c r="AI289" s="270"/>
      <c r="AJ289" s="270"/>
      <c r="AK289" s="348">
        <f t="shared" ca="1" si="133"/>
        <v>-3618151.9384667026</v>
      </c>
    </row>
    <row r="290" spans="2:37" ht="53" customHeight="1" x14ac:dyDescent="0.35">
      <c r="B290" s="344">
        <f t="shared" si="147"/>
        <v>79</v>
      </c>
      <c r="C290" s="345">
        <f t="shared" si="144"/>
        <v>0</v>
      </c>
      <c r="D290" s="345">
        <f t="shared" si="134"/>
        <v>1590</v>
      </c>
      <c r="E290" s="345">
        <f t="shared" si="135"/>
        <v>900</v>
      </c>
      <c r="F290" s="345">
        <v>600</v>
      </c>
      <c r="G290" s="345">
        <f t="shared" si="136"/>
        <v>0</v>
      </c>
      <c r="H290" s="345">
        <f t="shared" si="148"/>
        <v>66910</v>
      </c>
      <c r="I290" s="345" t="e">
        <f>#REF!*H290</f>
        <v>#REF!</v>
      </c>
      <c r="J290" s="346" t="e">
        <f t="shared" si="151"/>
        <v>#REF!</v>
      </c>
      <c r="K290" s="345">
        <v>66000</v>
      </c>
      <c r="L290" s="278"/>
      <c r="M290" s="346" t="e">
        <f t="shared" si="152"/>
        <v>#REF!</v>
      </c>
      <c r="N290" s="345">
        <f t="shared" si="137"/>
        <v>0</v>
      </c>
      <c r="O290" s="345" t="e">
        <f t="shared" ca="1" si="150"/>
        <v>#REF!</v>
      </c>
      <c r="P290" s="345" t="e">
        <f ca="1">IF(B290&lt;=55,$AK$5,#REF!)*(IF(O290&gt;=40000,40000,O290))</f>
        <v>#REF!</v>
      </c>
      <c r="Q290" s="345" t="e">
        <f t="shared" ca="1" si="138"/>
        <v>#VALUE!</v>
      </c>
      <c r="R290" s="345" t="e">
        <f t="shared" ca="1" si="139"/>
        <v>#REF!</v>
      </c>
      <c r="T290" s="345">
        <f t="shared" si="140"/>
        <v>0</v>
      </c>
      <c r="U290" s="345"/>
      <c r="V290" s="345" t="str">
        <f t="shared" si="142"/>
        <v>60 to 64</v>
      </c>
      <c r="W290" s="345" t="e">
        <f>IF(Z289+T290-U290-V290-(#REF!*12)&gt;=0,Z289+T290-U290-V290-(#REF!*12),0)</f>
        <v>#VALUE!</v>
      </c>
      <c r="X290" s="345" t="e">
        <f>IF(B290&lt;=55,$AK$3,#REF!)*(IF(W290&gt;=20000,20000,W290))</f>
        <v>#REF!</v>
      </c>
      <c r="Y290" s="345" t="e">
        <f t="shared" si="143"/>
        <v>#VALUE!</v>
      </c>
      <c r="Z290" s="349" t="e">
        <f t="shared" si="146"/>
        <v>#VALUE!</v>
      </c>
      <c r="AA290" s="270"/>
      <c r="AB290" s="270"/>
      <c r="AC290" s="270"/>
      <c r="AD290" s="270"/>
      <c r="AE290" s="270"/>
      <c r="AF290" s="270"/>
      <c r="AG290" s="270"/>
      <c r="AH290" s="270"/>
      <c r="AI290" s="270"/>
      <c r="AJ290" s="270"/>
    </row>
    <row r="291" spans="2:37" ht="53" customHeight="1" x14ac:dyDescent="0.35">
      <c r="B291" s="344">
        <f t="shared" si="147"/>
        <v>80</v>
      </c>
      <c r="C291" s="345">
        <f t="shared" si="144"/>
        <v>0</v>
      </c>
      <c r="D291" s="345">
        <f t="shared" si="134"/>
        <v>1590</v>
      </c>
      <c r="E291" s="345">
        <f t="shared" si="135"/>
        <v>900</v>
      </c>
      <c r="F291" s="345">
        <v>600</v>
      </c>
      <c r="G291" s="345">
        <f t="shared" si="136"/>
        <v>0</v>
      </c>
      <c r="H291" s="345">
        <f t="shared" si="148"/>
        <v>66910</v>
      </c>
      <c r="I291" s="345" t="e">
        <f>#REF!*H291</f>
        <v>#REF!</v>
      </c>
      <c r="J291" s="346" t="e">
        <f t="shared" si="151"/>
        <v>#REF!</v>
      </c>
      <c r="K291" s="345">
        <v>66000</v>
      </c>
      <c r="L291" s="278"/>
      <c r="M291" s="346" t="e">
        <f t="shared" si="152"/>
        <v>#REF!</v>
      </c>
      <c r="N291" s="345">
        <f t="shared" si="137"/>
        <v>0</v>
      </c>
      <c r="O291" s="345" t="e">
        <f t="shared" ca="1" si="150"/>
        <v>#REF!</v>
      </c>
      <c r="P291" s="345" t="e">
        <f ca="1">IF(B291&lt;=55,$AK$5,#REF!)*(IF(O291&gt;=40000,40000,O291))</f>
        <v>#REF!</v>
      </c>
      <c r="Q291" s="345" t="e">
        <f t="shared" ca="1" si="138"/>
        <v>#VALUE!</v>
      </c>
      <c r="R291" s="345" t="e">
        <f t="shared" ca="1" si="139"/>
        <v>#REF!</v>
      </c>
      <c r="T291" s="345">
        <f t="shared" si="140"/>
        <v>0</v>
      </c>
      <c r="U291" s="345"/>
      <c r="V291" s="345" t="str">
        <f t="shared" si="142"/>
        <v>60 to 64</v>
      </c>
      <c r="W291" s="345" t="e">
        <f>IF(Z290+T291-U291-V291-(#REF!*12)&gt;=0,Z290+T291-U291-V291-(#REF!*12),0)</f>
        <v>#VALUE!</v>
      </c>
      <c r="X291" s="345" t="e">
        <f>IF(B291&lt;=55,$AK$3,#REF!)*(IF(W291&gt;=20000,20000,W291))</f>
        <v>#REF!</v>
      </c>
      <c r="Y291" s="345" t="e">
        <f t="shared" si="143"/>
        <v>#VALUE!</v>
      </c>
      <c r="Z291" s="349" t="e">
        <f t="shared" si="146"/>
        <v>#VALUE!</v>
      </c>
      <c r="AA291" s="270"/>
      <c r="AB291" s="270"/>
      <c r="AC291" s="270"/>
      <c r="AD291" s="270"/>
      <c r="AE291" s="270"/>
      <c r="AF291" s="270"/>
      <c r="AG291" s="270"/>
      <c r="AH291" s="270"/>
      <c r="AI291" s="270"/>
      <c r="AJ291" s="270"/>
    </row>
    <row r="292" spans="2:37" ht="53" customHeight="1" x14ac:dyDescent="0.35">
      <c r="B292" s="344">
        <f t="shared" si="147"/>
        <v>81</v>
      </c>
      <c r="C292" s="345">
        <f t="shared" si="144"/>
        <v>0</v>
      </c>
      <c r="D292" s="345">
        <f t="shared" si="134"/>
        <v>1675</v>
      </c>
      <c r="E292" s="345">
        <f t="shared" si="135"/>
        <v>900</v>
      </c>
      <c r="F292" s="345">
        <v>600</v>
      </c>
      <c r="G292" s="345">
        <f t="shared" si="136"/>
        <v>0</v>
      </c>
      <c r="H292" s="345">
        <f t="shared" si="148"/>
        <v>66825</v>
      </c>
      <c r="I292" s="345" t="e">
        <f>#REF!*H292</f>
        <v>#REF!</v>
      </c>
      <c r="J292" s="346" t="e">
        <f t="shared" si="151"/>
        <v>#REF!</v>
      </c>
      <c r="K292" s="345">
        <v>66000</v>
      </c>
      <c r="L292" s="278"/>
      <c r="M292" s="346" t="e">
        <f t="shared" si="152"/>
        <v>#REF!</v>
      </c>
      <c r="N292" s="345">
        <f t="shared" si="137"/>
        <v>0</v>
      </c>
      <c r="O292" s="345" t="e">
        <f t="shared" ca="1" si="150"/>
        <v>#REF!</v>
      </c>
      <c r="P292" s="345" t="e">
        <f ca="1">IF(B292&lt;=55,$AK$5,#REF!)*(IF(O292&gt;=40000,40000,O292))</f>
        <v>#REF!</v>
      </c>
      <c r="Q292" s="345" t="e">
        <f t="shared" ca="1" si="138"/>
        <v>#VALUE!</v>
      </c>
      <c r="R292" s="345" t="e">
        <f t="shared" ca="1" si="139"/>
        <v>#REF!</v>
      </c>
      <c r="T292" s="345">
        <f t="shared" si="140"/>
        <v>0</v>
      </c>
      <c r="U292" s="345"/>
      <c r="V292" s="345" t="str">
        <f t="shared" si="142"/>
        <v>60 to 64</v>
      </c>
      <c r="W292" s="345" t="e">
        <f>IF(Z291+T292-U292-V292-(#REF!*12)&gt;=0,Z291+T292-U292-V292-(#REF!*12),0)</f>
        <v>#VALUE!</v>
      </c>
      <c r="X292" s="345" t="e">
        <f>IF(B292&lt;=55,$AK$3,#REF!)*(IF(W292&gt;=20000,20000,W292))</f>
        <v>#REF!</v>
      </c>
      <c r="Y292" s="345" t="e">
        <f t="shared" si="143"/>
        <v>#VALUE!</v>
      </c>
      <c r="Z292" s="349" t="e">
        <f t="shared" si="146"/>
        <v>#VALUE!</v>
      </c>
      <c r="AA292" s="270"/>
      <c r="AB292" s="270"/>
      <c r="AC292" s="270"/>
      <c r="AD292" s="270"/>
      <c r="AE292" s="270"/>
      <c r="AF292" s="270"/>
      <c r="AG292" s="270"/>
      <c r="AH292" s="270"/>
      <c r="AI292" s="270"/>
      <c r="AJ292" s="270"/>
    </row>
    <row r="293" spans="2:37" ht="53" customHeight="1" x14ac:dyDescent="0.35">
      <c r="B293" s="344">
        <f t="shared" si="147"/>
        <v>82</v>
      </c>
      <c r="C293" s="345">
        <f t="shared" si="144"/>
        <v>0</v>
      </c>
      <c r="D293" s="345">
        <f t="shared" si="134"/>
        <v>1675</v>
      </c>
      <c r="E293" s="345">
        <f t="shared" si="135"/>
        <v>900</v>
      </c>
      <c r="F293" s="345">
        <v>600</v>
      </c>
      <c r="G293" s="345">
        <f t="shared" si="136"/>
        <v>0</v>
      </c>
      <c r="H293" s="345">
        <f t="shared" si="148"/>
        <v>66825</v>
      </c>
      <c r="I293" s="345" t="e">
        <f>#REF!*H293</f>
        <v>#REF!</v>
      </c>
      <c r="J293" s="346" t="e">
        <f t="shared" si="151"/>
        <v>#REF!</v>
      </c>
      <c r="K293" s="345">
        <v>66000</v>
      </c>
      <c r="L293" s="278"/>
      <c r="M293" s="346" t="e">
        <f t="shared" si="152"/>
        <v>#REF!</v>
      </c>
      <c r="N293" s="345">
        <f t="shared" si="137"/>
        <v>0</v>
      </c>
      <c r="O293" s="345" t="e">
        <f t="shared" ca="1" si="150"/>
        <v>#REF!</v>
      </c>
      <c r="P293" s="345" t="e">
        <f ca="1">IF(B293&lt;=55,$AK$5,#REF!)*(IF(O293&gt;=40000,40000,O293))</f>
        <v>#REF!</v>
      </c>
      <c r="Q293" s="345" t="e">
        <f t="shared" ca="1" si="138"/>
        <v>#VALUE!</v>
      </c>
      <c r="R293" s="345" t="e">
        <f t="shared" ca="1" si="139"/>
        <v>#REF!</v>
      </c>
      <c r="T293" s="345">
        <f t="shared" si="140"/>
        <v>0</v>
      </c>
      <c r="U293" s="345"/>
      <c r="V293" s="345" t="str">
        <f t="shared" si="142"/>
        <v>60 to 64</v>
      </c>
      <c r="W293" s="345" t="e">
        <f>IF(Z292+T293-U293-V293-(#REF!*12)&gt;=0,Z292+T293-U293-V293-(#REF!*12),0)</f>
        <v>#VALUE!</v>
      </c>
      <c r="X293" s="345" t="e">
        <f>IF(B293&lt;=55,$AK$3,#REF!)*(IF(W293&gt;=20000,20000,W293))</f>
        <v>#REF!</v>
      </c>
      <c r="Y293" s="345" t="e">
        <f t="shared" si="143"/>
        <v>#VALUE!</v>
      </c>
      <c r="Z293" s="349" t="e">
        <f t="shared" si="146"/>
        <v>#VALUE!</v>
      </c>
      <c r="AA293" s="270"/>
      <c r="AB293" s="270"/>
      <c r="AC293" s="270"/>
      <c r="AD293" s="270"/>
      <c r="AE293" s="270"/>
      <c r="AF293" s="270"/>
      <c r="AG293" s="270"/>
      <c r="AH293" s="270"/>
      <c r="AI293" s="270"/>
      <c r="AJ293" s="270"/>
    </row>
    <row r="294" spans="2:37" ht="53" customHeight="1" x14ac:dyDescent="0.35">
      <c r="B294" s="344">
        <f t="shared" si="147"/>
        <v>83</v>
      </c>
      <c r="C294" s="345">
        <f t="shared" si="144"/>
        <v>0</v>
      </c>
      <c r="D294" s="345">
        <f t="shared" si="134"/>
        <v>1675</v>
      </c>
      <c r="E294" s="345">
        <f t="shared" si="135"/>
        <v>900</v>
      </c>
      <c r="F294" s="345">
        <v>600</v>
      </c>
      <c r="G294" s="345">
        <f t="shared" si="136"/>
        <v>0</v>
      </c>
      <c r="H294" s="345">
        <f t="shared" si="148"/>
        <v>66825</v>
      </c>
      <c r="I294" s="345" t="e">
        <f>#REF!*H294</f>
        <v>#REF!</v>
      </c>
      <c r="J294" s="346" t="e">
        <f t="shared" si="151"/>
        <v>#REF!</v>
      </c>
      <c r="K294" s="345">
        <v>66000</v>
      </c>
      <c r="L294" s="278"/>
      <c r="M294" s="346" t="e">
        <f t="shared" si="152"/>
        <v>#REF!</v>
      </c>
      <c r="N294" s="345">
        <f t="shared" si="137"/>
        <v>0</v>
      </c>
      <c r="O294" s="345" t="e">
        <f t="shared" ca="1" si="150"/>
        <v>#REF!</v>
      </c>
      <c r="P294" s="345" t="e">
        <f ca="1">IF(B294&lt;=55,$AK$5,#REF!)*(IF(O294&gt;=40000,40000,O294))</f>
        <v>#REF!</v>
      </c>
      <c r="Q294" s="345" t="e">
        <f t="shared" ca="1" si="138"/>
        <v>#VALUE!</v>
      </c>
      <c r="R294" s="345" t="e">
        <f t="shared" ca="1" si="139"/>
        <v>#REF!</v>
      </c>
      <c r="T294" s="345">
        <f t="shared" si="140"/>
        <v>0</v>
      </c>
      <c r="U294" s="345"/>
      <c r="V294" s="345" t="str">
        <f t="shared" si="142"/>
        <v>60 to 64</v>
      </c>
      <c r="W294" s="345" t="e">
        <f>IF(Z293+T294-U294-V294-(#REF!*12)&gt;=0,Z293+T294-U294-V294-(#REF!*12),0)</f>
        <v>#VALUE!</v>
      </c>
      <c r="X294" s="345" t="e">
        <f>IF(B294&lt;=55,$AK$3,#REF!)*(IF(W294&gt;=20000,20000,W294))</f>
        <v>#REF!</v>
      </c>
      <c r="Y294" s="345" t="e">
        <f t="shared" si="143"/>
        <v>#VALUE!</v>
      </c>
      <c r="Z294" s="349" t="e">
        <f t="shared" si="146"/>
        <v>#VALUE!</v>
      </c>
      <c r="AA294" s="270"/>
      <c r="AB294" s="270"/>
      <c r="AC294" s="270"/>
      <c r="AD294" s="270"/>
      <c r="AE294" s="270"/>
      <c r="AF294" s="270"/>
      <c r="AG294" s="270"/>
      <c r="AH294" s="270"/>
      <c r="AI294" s="270"/>
      <c r="AJ294" s="270"/>
    </row>
    <row r="295" spans="2:37" ht="53" customHeight="1" x14ac:dyDescent="0.35">
      <c r="B295" s="344">
        <f t="shared" si="147"/>
        <v>84</v>
      </c>
      <c r="C295" s="345">
        <f t="shared" si="144"/>
        <v>0</v>
      </c>
      <c r="D295" s="345">
        <f t="shared" si="134"/>
        <v>1935</v>
      </c>
      <c r="E295" s="345">
        <f t="shared" si="135"/>
        <v>900</v>
      </c>
      <c r="F295" s="345">
        <v>600</v>
      </c>
      <c r="G295" s="345">
        <f t="shared" si="136"/>
        <v>0</v>
      </c>
      <c r="H295" s="345">
        <f t="shared" si="148"/>
        <v>66565</v>
      </c>
      <c r="I295" s="345" t="e">
        <f>#REF!*H295</f>
        <v>#REF!</v>
      </c>
      <c r="J295" s="346" t="e">
        <f t="shared" si="151"/>
        <v>#REF!</v>
      </c>
      <c r="K295" s="345">
        <v>66000</v>
      </c>
      <c r="L295" s="278"/>
      <c r="M295" s="346" t="e">
        <f t="shared" si="152"/>
        <v>#REF!</v>
      </c>
      <c r="N295" s="345">
        <f t="shared" si="137"/>
        <v>0</v>
      </c>
      <c r="O295" s="345" t="e">
        <f t="shared" ca="1" si="150"/>
        <v>#REF!</v>
      </c>
      <c r="P295" s="345" t="e">
        <f ca="1">IF(B295&lt;=55,$AK$5,#REF!)*(IF(O295&gt;=40000,40000,O295))</f>
        <v>#REF!</v>
      </c>
      <c r="Q295" s="345" t="e">
        <f t="shared" ca="1" si="138"/>
        <v>#VALUE!</v>
      </c>
      <c r="R295" s="345" t="e">
        <f t="shared" ca="1" si="139"/>
        <v>#REF!</v>
      </c>
      <c r="T295" s="345">
        <f t="shared" si="140"/>
        <v>0</v>
      </c>
      <c r="U295" s="345"/>
      <c r="V295" s="345" t="str">
        <f t="shared" si="142"/>
        <v>60 to 64</v>
      </c>
      <c r="W295" s="345" t="e">
        <f>IF(Z294+T295-U295-V295-(#REF!*12)&gt;=0,Z294+T295-U295-V295-(#REF!*12),0)</f>
        <v>#VALUE!</v>
      </c>
      <c r="X295" s="345" t="e">
        <f>IF(B295&lt;=55,$AK$3,#REF!)*(IF(W295&gt;=20000,20000,W295))</f>
        <v>#REF!</v>
      </c>
      <c r="Y295" s="345" t="e">
        <f t="shared" si="143"/>
        <v>#VALUE!</v>
      </c>
      <c r="Z295" s="349" t="e">
        <f t="shared" si="146"/>
        <v>#VALUE!</v>
      </c>
      <c r="AA295" s="270"/>
      <c r="AB295" s="270"/>
      <c r="AC295" s="270"/>
      <c r="AD295" s="270"/>
      <c r="AE295" s="270"/>
      <c r="AF295" s="270"/>
      <c r="AG295" s="270"/>
      <c r="AH295" s="270"/>
      <c r="AI295" s="270"/>
      <c r="AJ295" s="270"/>
    </row>
    <row r="296" spans="2:37" ht="53" customHeight="1" x14ac:dyDescent="0.35">
      <c r="B296" s="344">
        <f t="shared" si="147"/>
        <v>85</v>
      </c>
      <c r="C296" s="345">
        <f t="shared" si="144"/>
        <v>0</v>
      </c>
      <c r="D296" s="345">
        <f t="shared" si="134"/>
        <v>1935</v>
      </c>
      <c r="E296" s="345">
        <f t="shared" si="135"/>
        <v>900</v>
      </c>
      <c r="F296" s="345"/>
      <c r="G296" s="345">
        <f t="shared" si="136"/>
        <v>0</v>
      </c>
      <c r="H296" s="345">
        <f t="shared" si="148"/>
        <v>67165</v>
      </c>
      <c r="I296" s="345" t="e">
        <f>#REF!*H296</f>
        <v>#REF!</v>
      </c>
      <c r="J296" s="346" t="e">
        <f t="shared" si="151"/>
        <v>#REF!</v>
      </c>
      <c r="K296" s="345">
        <v>66000</v>
      </c>
      <c r="L296" s="278"/>
      <c r="M296" s="346" t="e">
        <f t="shared" si="152"/>
        <v>#REF!</v>
      </c>
      <c r="N296" s="345">
        <f t="shared" si="137"/>
        <v>0</v>
      </c>
      <c r="O296" s="345" t="e">
        <f t="shared" ca="1" si="150"/>
        <v>#REF!</v>
      </c>
      <c r="P296" s="345" t="e">
        <f ca="1">IF(B296&lt;=55,$AK$5,#REF!)*(IF(O296&gt;=40000,40000,O296))</f>
        <v>#REF!</v>
      </c>
      <c r="Q296" s="345" t="e">
        <f t="shared" ca="1" si="138"/>
        <v>#VALUE!</v>
      </c>
      <c r="R296" s="345" t="e">
        <f t="shared" ca="1" si="139"/>
        <v>#REF!</v>
      </c>
      <c r="T296" s="345">
        <f t="shared" si="140"/>
        <v>0</v>
      </c>
      <c r="U296" s="345"/>
      <c r="V296" s="345" t="str">
        <f t="shared" si="142"/>
        <v>60 to 64</v>
      </c>
      <c r="W296" s="345" t="e">
        <f>IF(Z295+T296-U296-V296-(#REF!*12)&gt;=0,Z295+T296-U296-V296-(#REF!*12),0)</f>
        <v>#VALUE!</v>
      </c>
      <c r="X296" s="345" t="e">
        <f>IF(B296&lt;=55,$AK$3,#REF!)*(IF(W296&gt;=20000,20000,W296))</f>
        <v>#REF!</v>
      </c>
      <c r="Y296" s="345" t="e">
        <f t="shared" si="143"/>
        <v>#VALUE!</v>
      </c>
      <c r="Z296" s="349" t="e">
        <f t="shared" si="146"/>
        <v>#VALUE!</v>
      </c>
      <c r="AA296" s="270"/>
      <c r="AB296" s="270"/>
      <c r="AC296" s="270"/>
      <c r="AD296" s="270"/>
      <c r="AE296" s="270"/>
      <c r="AF296" s="270"/>
      <c r="AG296" s="270"/>
      <c r="AH296" s="270"/>
      <c r="AI296" s="270"/>
      <c r="AJ296" s="270"/>
    </row>
    <row r="297" spans="2:37" ht="53" customHeight="1" x14ac:dyDescent="0.35">
      <c r="B297" s="344">
        <f t="shared" si="147"/>
        <v>86</v>
      </c>
      <c r="C297" s="345">
        <f t="shared" si="144"/>
        <v>0</v>
      </c>
      <c r="D297" s="345">
        <f t="shared" si="134"/>
        <v>2025</v>
      </c>
      <c r="E297" s="345">
        <f t="shared" si="135"/>
        <v>900</v>
      </c>
      <c r="F297" s="345"/>
      <c r="G297" s="345">
        <f t="shared" si="136"/>
        <v>0</v>
      </c>
      <c r="H297" s="345">
        <f t="shared" si="148"/>
        <v>67075</v>
      </c>
      <c r="I297" s="345" t="e">
        <f>#REF!*H297</f>
        <v>#REF!</v>
      </c>
      <c r="J297" s="346" t="e">
        <f t="shared" si="151"/>
        <v>#REF!</v>
      </c>
      <c r="K297" s="345">
        <v>66000</v>
      </c>
      <c r="L297" s="278"/>
      <c r="M297" s="346" t="e">
        <f t="shared" si="152"/>
        <v>#REF!</v>
      </c>
      <c r="N297" s="345">
        <f t="shared" si="137"/>
        <v>0</v>
      </c>
      <c r="O297" s="345" t="e">
        <f t="shared" ca="1" si="150"/>
        <v>#REF!</v>
      </c>
      <c r="P297" s="345" t="e">
        <f ca="1">IF(B297&lt;=55,$AK$5,#REF!)*(IF(O297&gt;=40000,40000,O297))</f>
        <v>#REF!</v>
      </c>
      <c r="Q297" s="345" t="e">
        <f t="shared" ca="1" si="138"/>
        <v>#VALUE!</v>
      </c>
      <c r="R297" s="345" t="e">
        <f t="shared" ca="1" si="139"/>
        <v>#REF!</v>
      </c>
      <c r="T297" s="345">
        <f t="shared" si="140"/>
        <v>0</v>
      </c>
      <c r="U297" s="345"/>
      <c r="V297" s="345" t="str">
        <f t="shared" si="142"/>
        <v>60 to 64</v>
      </c>
      <c r="W297" s="345" t="e">
        <f>IF(Z296+T297-U297-V297-(#REF!*12)&gt;=0,Z296+T297-U297-V297-(#REF!*12),0)</f>
        <v>#VALUE!</v>
      </c>
      <c r="X297" s="345" t="e">
        <f>IF(B297&lt;=55,$AK$3,#REF!)*(IF(W297&gt;=20000,20000,W297))</f>
        <v>#REF!</v>
      </c>
      <c r="Y297" s="345" t="e">
        <f t="shared" si="143"/>
        <v>#VALUE!</v>
      </c>
      <c r="Z297" s="349" t="e">
        <f t="shared" si="146"/>
        <v>#VALUE!</v>
      </c>
      <c r="AA297" s="270"/>
      <c r="AB297" s="270"/>
      <c r="AC297" s="270"/>
      <c r="AD297" s="270"/>
      <c r="AE297" s="270"/>
      <c r="AF297" s="270"/>
      <c r="AG297" s="270"/>
      <c r="AH297" s="270"/>
      <c r="AI297" s="270"/>
      <c r="AJ297" s="270"/>
    </row>
    <row r="298" spans="2:37" ht="53" customHeight="1" x14ac:dyDescent="0.35">
      <c r="B298" s="344">
        <f t="shared" si="147"/>
        <v>87</v>
      </c>
      <c r="C298" s="345">
        <f t="shared" si="144"/>
        <v>0</v>
      </c>
      <c r="D298" s="345">
        <f t="shared" si="134"/>
        <v>2025</v>
      </c>
      <c r="E298" s="345">
        <f t="shared" si="135"/>
        <v>900</v>
      </c>
      <c r="F298" s="345"/>
      <c r="G298" s="345">
        <f t="shared" si="136"/>
        <v>0</v>
      </c>
      <c r="H298" s="345">
        <f t="shared" si="148"/>
        <v>67075</v>
      </c>
      <c r="I298" s="345" t="e">
        <f>#REF!*H298</f>
        <v>#REF!</v>
      </c>
      <c r="J298" s="346" t="e">
        <f t="shared" si="151"/>
        <v>#REF!</v>
      </c>
      <c r="K298" s="345">
        <v>66000</v>
      </c>
      <c r="L298" s="278"/>
      <c r="M298" s="346" t="e">
        <f t="shared" si="152"/>
        <v>#REF!</v>
      </c>
      <c r="N298" s="345">
        <f t="shared" si="137"/>
        <v>0</v>
      </c>
      <c r="O298" s="345" t="e">
        <f t="shared" ca="1" si="150"/>
        <v>#REF!</v>
      </c>
      <c r="P298" s="345" t="e">
        <f ca="1">IF(B298&lt;=55,$AK$5,#REF!)*(IF(O298&gt;=40000,40000,O298))</f>
        <v>#REF!</v>
      </c>
      <c r="Q298" s="345" t="e">
        <f t="shared" ca="1" si="138"/>
        <v>#VALUE!</v>
      </c>
      <c r="R298" s="345" t="e">
        <f t="shared" ca="1" si="139"/>
        <v>#REF!</v>
      </c>
      <c r="T298" s="345">
        <f t="shared" si="140"/>
        <v>0</v>
      </c>
      <c r="U298" s="345"/>
      <c r="V298" s="345" t="str">
        <f t="shared" si="142"/>
        <v>60 to 64</v>
      </c>
      <c r="W298" s="345" t="e">
        <f>IF(Z297+T298-U298-V298-(#REF!*12)&gt;=0,Z297+T298-U298-V298-(#REF!*12),0)</f>
        <v>#VALUE!</v>
      </c>
      <c r="X298" s="345" t="e">
        <f>IF(B298&lt;=55,$AK$3,#REF!)*(IF(W298&gt;=20000,20000,W298))</f>
        <v>#REF!</v>
      </c>
      <c r="Y298" s="345" t="e">
        <f t="shared" si="143"/>
        <v>#VALUE!</v>
      </c>
      <c r="Z298" s="349" t="e">
        <f t="shared" si="146"/>
        <v>#VALUE!</v>
      </c>
      <c r="AA298" s="270"/>
      <c r="AB298" s="270"/>
      <c r="AC298" s="270"/>
      <c r="AD298" s="270"/>
      <c r="AE298" s="270"/>
      <c r="AF298" s="270"/>
      <c r="AG298" s="270"/>
      <c r="AH298" s="270"/>
      <c r="AI298" s="270"/>
      <c r="AJ298" s="270"/>
    </row>
    <row r="299" spans="2:37" ht="53" customHeight="1" x14ac:dyDescent="0.35">
      <c r="B299" s="344">
        <f t="shared" si="147"/>
        <v>88</v>
      </c>
      <c r="C299" s="345">
        <f t="shared" si="144"/>
        <v>0</v>
      </c>
      <c r="D299" s="345">
        <f t="shared" si="134"/>
        <v>2025</v>
      </c>
      <c r="E299" s="345">
        <f t="shared" si="135"/>
        <v>900</v>
      </c>
      <c r="F299" s="345"/>
      <c r="G299" s="345">
        <f t="shared" si="136"/>
        <v>0</v>
      </c>
      <c r="H299" s="345">
        <f t="shared" si="148"/>
        <v>67075</v>
      </c>
      <c r="I299" s="345" t="e">
        <f>#REF!*H299</f>
        <v>#REF!</v>
      </c>
      <c r="J299" s="346" t="e">
        <f t="shared" si="151"/>
        <v>#REF!</v>
      </c>
      <c r="K299" s="345">
        <v>66000</v>
      </c>
      <c r="L299" s="278"/>
      <c r="M299" s="346" t="e">
        <f t="shared" si="152"/>
        <v>#REF!</v>
      </c>
      <c r="N299" s="345">
        <f t="shared" si="137"/>
        <v>0</v>
      </c>
      <c r="O299" s="345" t="e">
        <f t="shared" ca="1" si="150"/>
        <v>#REF!</v>
      </c>
      <c r="P299" s="345" t="e">
        <f ca="1">IF(B299&lt;=55,$AK$5,#REF!)*(IF(O299&gt;=40000,40000,O299))</f>
        <v>#REF!</v>
      </c>
      <c r="Q299" s="345" t="e">
        <f t="shared" ca="1" si="138"/>
        <v>#VALUE!</v>
      </c>
      <c r="R299" s="345" t="e">
        <f t="shared" ca="1" si="139"/>
        <v>#REF!</v>
      </c>
      <c r="T299" s="345">
        <f t="shared" si="140"/>
        <v>0</v>
      </c>
      <c r="U299" s="345"/>
      <c r="V299" s="345" t="str">
        <f t="shared" si="142"/>
        <v>60 to 64</v>
      </c>
      <c r="W299" s="345" t="e">
        <f>IF(Z298+T299-U299-V299-(#REF!*12)&gt;=0,Z298+T299-U299-V299-(#REF!*12),0)</f>
        <v>#VALUE!</v>
      </c>
      <c r="X299" s="345" t="e">
        <f>IF(B299&lt;=55,$AK$3,#REF!)*(IF(W299&gt;=20000,20000,W299))</f>
        <v>#REF!</v>
      </c>
      <c r="Y299" s="345" t="e">
        <f t="shared" si="143"/>
        <v>#VALUE!</v>
      </c>
      <c r="Z299" s="349" t="e">
        <f t="shared" si="146"/>
        <v>#VALUE!</v>
      </c>
      <c r="AA299" s="270"/>
      <c r="AB299" s="270"/>
      <c r="AC299" s="270"/>
      <c r="AD299" s="270"/>
      <c r="AE299" s="270"/>
      <c r="AF299" s="270"/>
      <c r="AG299" s="270"/>
      <c r="AH299" s="270"/>
      <c r="AI299" s="270"/>
      <c r="AJ299" s="270"/>
    </row>
    <row r="300" spans="2:37" ht="53" customHeight="1" x14ac:dyDescent="0.35">
      <c r="B300" s="344">
        <f t="shared" si="147"/>
        <v>89</v>
      </c>
      <c r="C300" s="345">
        <f t="shared" si="144"/>
        <v>0</v>
      </c>
      <c r="D300" s="345">
        <f t="shared" si="134"/>
        <v>2025</v>
      </c>
      <c r="E300" s="345">
        <f t="shared" si="135"/>
        <v>900</v>
      </c>
      <c r="F300" s="345"/>
      <c r="G300" s="345">
        <f t="shared" si="136"/>
        <v>0</v>
      </c>
      <c r="H300" s="345">
        <f t="shared" si="148"/>
        <v>67075</v>
      </c>
      <c r="I300" s="345" t="e">
        <f>#REF!*H300</f>
        <v>#REF!</v>
      </c>
      <c r="J300" s="346" t="e">
        <f t="shared" si="151"/>
        <v>#REF!</v>
      </c>
      <c r="K300" s="345">
        <v>66000</v>
      </c>
      <c r="L300" s="278"/>
      <c r="M300" s="346" t="e">
        <f t="shared" si="152"/>
        <v>#REF!</v>
      </c>
      <c r="N300" s="345">
        <f t="shared" si="137"/>
        <v>0</v>
      </c>
      <c r="O300" s="345" t="e">
        <f t="shared" ca="1" si="150"/>
        <v>#REF!</v>
      </c>
      <c r="P300" s="345" t="e">
        <f ca="1">IF(B300&lt;=55,$AK$5,#REF!)*(IF(O300&gt;=40000,40000,O300))</f>
        <v>#REF!</v>
      </c>
      <c r="Q300" s="345" t="e">
        <f t="shared" ca="1" si="138"/>
        <v>#VALUE!</v>
      </c>
      <c r="R300" s="345" t="e">
        <f t="shared" ca="1" si="139"/>
        <v>#REF!</v>
      </c>
      <c r="T300" s="345">
        <f t="shared" si="140"/>
        <v>0</v>
      </c>
      <c r="U300" s="345"/>
      <c r="V300" s="345" t="str">
        <f t="shared" si="142"/>
        <v>60 to 64</v>
      </c>
      <c r="W300" s="345" t="e">
        <f>IF(Z299+T300-U300-V300-(#REF!*12)&gt;=0,Z299+T300-U300-V300-(#REF!*12),0)</f>
        <v>#VALUE!</v>
      </c>
      <c r="X300" s="345" t="e">
        <f>IF(B300&lt;=55,$AK$3,#REF!)*(IF(W300&gt;=20000,20000,W300))</f>
        <v>#REF!</v>
      </c>
      <c r="Y300" s="345" t="e">
        <f t="shared" si="143"/>
        <v>#VALUE!</v>
      </c>
      <c r="Z300" s="349" t="e">
        <f t="shared" si="146"/>
        <v>#VALUE!</v>
      </c>
      <c r="AA300" s="270"/>
      <c r="AB300" s="270"/>
      <c r="AC300" s="270"/>
      <c r="AD300" s="270"/>
      <c r="AE300" s="270"/>
      <c r="AF300" s="270"/>
      <c r="AG300" s="270"/>
      <c r="AH300" s="270"/>
      <c r="AI300" s="270"/>
      <c r="AJ300" s="270"/>
    </row>
    <row r="301" spans="2:37" ht="53" customHeight="1" x14ac:dyDescent="0.35">
      <c r="B301" s="344">
        <f t="shared" si="147"/>
        <v>90</v>
      </c>
      <c r="C301" s="345">
        <f t="shared" si="144"/>
        <v>0</v>
      </c>
      <c r="D301" s="345">
        <f t="shared" si="134"/>
        <v>2025</v>
      </c>
      <c r="E301" s="345">
        <f t="shared" si="135"/>
        <v>900</v>
      </c>
      <c r="F301" s="345"/>
      <c r="G301" s="345">
        <f t="shared" si="136"/>
        <v>0</v>
      </c>
      <c r="H301" s="345">
        <f t="shared" si="148"/>
        <v>67075</v>
      </c>
      <c r="I301" s="345" t="e">
        <f>#REF!*H301</f>
        <v>#REF!</v>
      </c>
      <c r="J301" s="346" t="e">
        <f t="shared" si="151"/>
        <v>#REF!</v>
      </c>
      <c r="K301" s="345">
        <v>66000</v>
      </c>
      <c r="L301" s="278"/>
      <c r="M301" s="346" t="e">
        <f t="shared" si="152"/>
        <v>#REF!</v>
      </c>
      <c r="N301" s="345">
        <f t="shared" si="137"/>
        <v>0</v>
      </c>
      <c r="O301" s="345" t="e">
        <f t="shared" ca="1" si="150"/>
        <v>#REF!</v>
      </c>
      <c r="P301" s="345" t="e">
        <f ca="1">IF(B301&lt;=55,$AK$5,#REF!)*(IF(O301&gt;=40000,40000,O301))</f>
        <v>#REF!</v>
      </c>
      <c r="Q301" s="345" t="e">
        <f t="shared" ca="1" si="138"/>
        <v>#VALUE!</v>
      </c>
      <c r="R301" s="345" t="e">
        <f t="shared" ca="1" si="139"/>
        <v>#REF!</v>
      </c>
      <c r="T301" s="345">
        <f t="shared" si="140"/>
        <v>0</v>
      </c>
      <c r="U301" s="345"/>
      <c r="V301" s="345" t="str">
        <f t="shared" si="142"/>
        <v>60 to 64</v>
      </c>
      <c r="W301" s="345" t="e">
        <f>IF(Z300+T301-U301-V301-(#REF!*12)&gt;=0,Z300+T301-U301-V301-(#REF!*12),0)</f>
        <v>#VALUE!</v>
      </c>
      <c r="X301" s="345" t="e">
        <f>IF(B301&lt;=55,$AK$3,#REF!)*(IF(W301&gt;=20000,20000,W301))</f>
        <v>#REF!</v>
      </c>
      <c r="Y301" s="345" t="e">
        <f t="shared" si="143"/>
        <v>#VALUE!</v>
      </c>
      <c r="Z301" s="349" t="e">
        <f t="shared" si="146"/>
        <v>#VALUE!</v>
      </c>
      <c r="AA301" s="270"/>
      <c r="AB301" s="270"/>
      <c r="AC301" s="270"/>
      <c r="AD301" s="270"/>
      <c r="AE301" s="270"/>
      <c r="AF301" s="270"/>
      <c r="AG301" s="270"/>
      <c r="AH301" s="270"/>
      <c r="AI301" s="270"/>
      <c r="AJ301" s="270"/>
    </row>
    <row r="302" spans="2:37" ht="53" customHeight="1" x14ac:dyDescent="0.35">
      <c r="B302" s="344">
        <f t="shared" si="147"/>
        <v>91</v>
      </c>
      <c r="C302" s="345">
        <f t="shared" si="144"/>
        <v>0</v>
      </c>
      <c r="D302" s="345">
        <f t="shared" si="134"/>
        <v>2055</v>
      </c>
      <c r="E302" s="345">
        <f t="shared" si="135"/>
        <v>900</v>
      </c>
      <c r="F302" s="345"/>
      <c r="G302" s="345">
        <f t="shared" si="136"/>
        <v>0</v>
      </c>
      <c r="H302" s="345">
        <f t="shared" si="148"/>
        <v>67045</v>
      </c>
      <c r="I302" s="345" t="e">
        <f>#REF!*H302</f>
        <v>#REF!</v>
      </c>
      <c r="J302" s="346" t="e">
        <f t="shared" si="151"/>
        <v>#REF!</v>
      </c>
      <c r="K302" s="345">
        <v>66000</v>
      </c>
      <c r="L302" s="278"/>
      <c r="M302" s="346" t="e">
        <f t="shared" si="152"/>
        <v>#REF!</v>
      </c>
      <c r="N302" s="345">
        <f t="shared" si="137"/>
        <v>0</v>
      </c>
      <c r="O302" s="345" t="e">
        <f t="shared" ca="1" si="150"/>
        <v>#REF!</v>
      </c>
      <c r="P302" s="345" t="e">
        <f ca="1">IF(B302&lt;=55,$AK$5,#REF!)*(IF(O302&gt;=40000,40000,O302))</f>
        <v>#REF!</v>
      </c>
      <c r="Q302" s="345" t="e">
        <f t="shared" ca="1" si="138"/>
        <v>#VALUE!</v>
      </c>
      <c r="R302" s="345" t="e">
        <f t="shared" ca="1" si="139"/>
        <v>#REF!</v>
      </c>
      <c r="T302" s="345">
        <f t="shared" si="140"/>
        <v>0</v>
      </c>
      <c r="U302" s="345"/>
      <c r="V302" s="345" t="str">
        <f t="shared" si="142"/>
        <v>60 to 64</v>
      </c>
      <c r="W302" s="345" t="e">
        <f>IF(Z301+T302-U302-V302-(#REF!*12)&gt;=0,Z301+T302-U302-V302-(#REF!*12),0)</f>
        <v>#VALUE!</v>
      </c>
      <c r="X302" s="345" t="e">
        <f>IF(B302&lt;=55,$AK$3,#REF!)*(IF(W302&gt;=20000,20000,W302))</f>
        <v>#REF!</v>
      </c>
      <c r="Y302" s="345" t="e">
        <f t="shared" si="143"/>
        <v>#VALUE!</v>
      </c>
      <c r="Z302" s="349" t="e">
        <f t="shared" si="146"/>
        <v>#VALUE!</v>
      </c>
      <c r="AA302" s="270"/>
      <c r="AB302" s="270"/>
      <c r="AC302" s="270"/>
      <c r="AD302" s="270"/>
      <c r="AE302" s="270"/>
      <c r="AF302" s="270"/>
      <c r="AG302" s="270"/>
      <c r="AH302" s="270"/>
      <c r="AI302" s="270"/>
      <c r="AJ302" s="270"/>
    </row>
    <row r="303" spans="2:37" ht="53" customHeight="1" x14ac:dyDescent="0.35">
      <c r="B303" s="344">
        <f t="shared" si="147"/>
        <v>92</v>
      </c>
      <c r="C303" s="345">
        <f t="shared" si="144"/>
        <v>0</v>
      </c>
      <c r="D303" s="345">
        <f t="shared" si="134"/>
        <v>2055</v>
      </c>
      <c r="E303" s="345">
        <f t="shared" si="135"/>
        <v>900</v>
      </c>
      <c r="F303" s="345"/>
      <c r="G303" s="345">
        <f t="shared" si="136"/>
        <v>0</v>
      </c>
      <c r="H303" s="345">
        <f t="shared" si="148"/>
        <v>67045</v>
      </c>
      <c r="I303" s="345" t="e">
        <f>#REF!*H303</f>
        <v>#REF!</v>
      </c>
      <c r="J303" s="346" t="e">
        <f t="shared" si="151"/>
        <v>#REF!</v>
      </c>
      <c r="K303" s="345">
        <v>66000</v>
      </c>
      <c r="L303" s="278"/>
      <c r="M303" s="346" t="e">
        <f t="shared" si="152"/>
        <v>#REF!</v>
      </c>
      <c r="N303" s="345">
        <f t="shared" si="137"/>
        <v>0</v>
      </c>
      <c r="O303" s="345" t="e">
        <f t="shared" ca="1" si="150"/>
        <v>#REF!</v>
      </c>
      <c r="P303" s="345" t="e">
        <f ca="1">IF(B303&lt;=55,$AK$5,#REF!)*(IF(O303&gt;=40000,40000,O303))</f>
        <v>#REF!</v>
      </c>
      <c r="Q303" s="345" t="e">
        <f t="shared" ca="1" si="138"/>
        <v>#VALUE!</v>
      </c>
      <c r="R303" s="345" t="e">
        <f t="shared" ca="1" si="139"/>
        <v>#REF!</v>
      </c>
      <c r="T303" s="345">
        <f t="shared" si="140"/>
        <v>0</v>
      </c>
      <c r="U303" s="345"/>
      <c r="V303" s="345" t="str">
        <f t="shared" si="142"/>
        <v>60 to 64</v>
      </c>
      <c r="W303" s="345" t="e">
        <f>IF(Z302+T303-U303-V303-(#REF!*12)&gt;=0,Z302+T303-U303-V303-(#REF!*12),0)</f>
        <v>#VALUE!</v>
      </c>
      <c r="X303" s="345" t="e">
        <f>IF(B303&lt;=55,$AK$3,#REF!)*(IF(W303&gt;=20000,20000,W303))</f>
        <v>#REF!</v>
      </c>
      <c r="Y303" s="345" t="e">
        <f t="shared" si="143"/>
        <v>#VALUE!</v>
      </c>
      <c r="Z303" s="349" t="e">
        <f t="shared" si="146"/>
        <v>#VALUE!</v>
      </c>
      <c r="AA303" s="270"/>
      <c r="AB303" s="270"/>
      <c r="AC303" s="270"/>
      <c r="AD303" s="270"/>
      <c r="AE303" s="270"/>
      <c r="AF303" s="270"/>
      <c r="AG303" s="270"/>
      <c r="AH303" s="270"/>
      <c r="AI303" s="270"/>
      <c r="AJ303" s="270"/>
    </row>
    <row r="304" spans="2:37" ht="53" customHeight="1" x14ac:dyDescent="0.35">
      <c r="B304" s="344">
        <f t="shared" si="147"/>
        <v>93</v>
      </c>
      <c r="C304" s="345">
        <f t="shared" si="144"/>
        <v>0</v>
      </c>
      <c r="D304" s="345">
        <f t="shared" si="134"/>
        <v>2055</v>
      </c>
      <c r="E304" s="345">
        <f t="shared" si="135"/>
        <v>900</v>
      </c>
      <c r="F304" s="345"/>
      <c r="G304" s="345">
        <f t="shared" si="136"/>
        <v>0</v>
      </c>
      <c r="H304" s="345">
        <f t="shared" si="148"/>
        <v>67045</v>
      </c>
      <c r="I304" s="345" t="e">
        <f>#REF!*H304</f>
        <v>#REF!</v>
      </c>
      <c r="J304" s="346" t="e">
        <f t="shared" si="151"/>
        <v>#REF!</v>
      </c>
      <c r="K304" s="345">
        <v>66000</v>
      </c>
      <c r="L304" s="278"/>
      <c r="M304" s="346" t="e">
        <f t="shared" si="152"/>
        <v>#REF!</v>
      </c>
      <c r="N304" s="345">
        <f t="shared" si="137"/>
        <v>0</v>
      </c>
      <c r="O304" s="345" t="e">
        <f t="shared" ca="1" si="150"/>
        <v>#REF!</v>
      </c>
      <c r="P304" s="345" t="e">
        <f ca="1">IF(B304&lt;=55,$AK$5,#REF!)*(IF(O304&gt;=40000,40000,O304))</f>
        <v>#REF!</v>
      </c>
      <c r="Q304" s="345" t="e">
        <f t="shared" ca="1" si="138"/>
        <v>#VALUE!</v>
      </c>
      <c r="R304" s="345" t="e">
        <f t="shared" ca="1" si="139"/>
        <v>#REF!</v>
      </c>
      <c r="T304" s="345">
        <f t="shared" si="140"/>
        <v>0</v>
      </c>
      <c r="U304" s="345"/>
      <c r="V304" s="345" t="str">
        <f t="shared" si="142"/>
        <v>60 to 64</v>
      </c>
      <c r="W304" s="345" t="e">
        <f>IF(Z303+T304-U304-V304-(#REF!*12)&gt;=0,Z303+T304-U304-V304-(#REF!*12),0)</f>
        <v>#VALUE!</v>
      </c>
      <c r="X304" s="345" t="e">
        <f>IF(B304&lt;=55,$AK$3,#REF!)*(IF(W304&gt;=20000,20000,W304))</f>
        <v>#REF!</v>
      </c>
      <c r="Y304" s="345" t="e">
        <f t="shared" si="143"/>
        <v>#VALUE!</v>
      </c>
      <c r="Z304" s="349" t="e">
        <f t="shared" si="146"/>
        <v>#VALUE!</v>
      </c>
      <c r="AA304" s="270"/>
      <c r="AB304" s="270"/>
      <c r="AC304" s="270"/>
      <c r="AD304" s="270"/>
      <c r="AE304" s="270"/>
      <c r="AF304" s="270"/>
      <c r="AG304" s="270"/>
      <c r="AH304" s="270"/>
      <c r="AI304" s="270"/>
      <c r="AJ304" s="270"/>
    </row>
    <row r="305" spans="2:36" ht="53" customHeight="1" x14ac:dyDescent="0.35">
      <c r="B305" s="344">
        <f t="shared" si="147"/>
        <v>94</v>
      </c>
      <c r="C305" s="345">
        <f t="shared" si="144"/>
        <v>0</v>
      </c>
      <c r="D305" s="345">
        <f t="shared" si="134"/>
        <v>2055</v>
      </c>
      <c r="E305" s="345">
        <f t="shared" si="135"/>
        <v>900</v>
      </c>
      <c r="F305" s="345"/>
      <c r="G305" s="345">
        <f t="shared" si="136"/>
        <v>0</v>
      </c>
      <c r="H305" s="345">
        <f t="shared" si="148"/>
        <v>67045</v>
      </c>
      <c r="I305" s="345" t="e">
        <f>#REF!*H305</f>
        <v>#REF!</v>
      </c>
      <c r="J305" s="346" t="e">
        <f t="shared" si="151"/>
        <v>#REF!</v>
      </c>
      <c r="K305" s="345">
        <v>66000</v>
      </c>
      <c r="L305" s="248"/>
      <c r="M305" s="346" t="e">
        <f t="shared" si="152"/>
        <v>#REF!</v>
      </c>
      <c r="N305" s="345">
        <f t="shared" si="137"/>
        <v>0</v>
      </c>
      <c r="O305" s="345" t="e">
        <f t="shared" ca="1" si="150"/>
        <v>#REF!</v>
      </c>
      <c r="P305" s="345" t="e">
        <f ca="1">IF(B305&lt;=55,$AK$5,#REF!)*(IF(O305&gt;=40000,40000,O305))</f>
        <v>#REF!</v>
      </c>
      <c r="Q305" s="345" t="e">
        <f t="shared" ca="1" si="138"/>
        <v>#VALUE!</v>
      </c>
      <c r="R305" s="345" t="e">
        <f t="shared" ca="1" si="139"/>
        <v>#REF!</v>
      </c>
      <c r="T305" s="345">
        <f t="shared" si="140"/>
        <v>0</v>
      </c>
      <c r="U305" s="345"/>
      <c r="V305" s="345" t="str">
        <f t="shared" si="142"/>
        <v>60 to 64</v>
      </c>
      <c r="W305" s="345" t="e">
        <f>IF(Z304+T305-U305-V305-(#REF!*12)&gt;=0,Z304+T305-U305-V305-(#REF!*12),0)</f>
        <v>#VALUE!</v>
      </c>
      <c r="X305" s="345" t="e">
        <f>IF(B305&lt;=55,$AK$3,#REF!)*(IF(W305&gt;=20000,20000,W305))</f>
        <v>#REF!</v>
      </c>
      <c r="Y305" s="345" t="e">
        <f t="shared" si="143"/>
        <v>#VALUE!</v>
      </c>
      <c r="Z305" s="349" t="e">
        <f t="shared" si="146"/>
        <v>#VALUE!</v>
      </c>
      <c r="AA305" s="270"/>
      <c r="AB305" s="270"/>
      <c r="AC305" s="270"/>
      <c r="AD305" s="270"/>
      <c r="AE305" s="270"/>
      <c r="AF305" s="270"/>
      <c r="AG305" s="270"/>
      <c r="AH305" s="270"/>
      <c r="AI305" s="270"/>
      <c r="AJ305" s="270"/>
    </row>
    <row r="306" spans="2:36" ht="53" customHeight="1" x14ac:dyDescent="0.35">
      <c r="B306" s="344">
        <f t="shared" si="147"/>
        <v>95</v>
      </c>
      <c r="C306" s="345">
        <f t="shared" si="144"/>
        <v>0</v>
      </c>
      <c r="D306" s="345">
        <f t="shared" si="134"/>
        <v>2055</v>
      </c>
      <c r="E306" s="345">
        <f t="shared" si="135"/>
        <v>900</v>
      </c>
      <c r="F306" s="345"/>
      <c r="G306" s="345">
        <f t="shared" si="136"/>
        <v>0</v>
      </c>
      <c r="H306" s="345">
        <f t="shared" si="148"/>
        <v>67045</v>
      </c>
      <c r="I306" s="345" t="e">
        <f>#REF!*H306</f>
        <v>#REF!</v>
      </c>
      <c r="J306" s="346" t="e">
        <f t="shared" si="151"/>
        <v>#REF!</v>
      </c>
      <c r="K306" s="345">
        <v>66000</v>
      </c>
      <c r="L306" s="248"/>
      <c r="M306" s="346" t="e">
        <f t="shared" si="152"/>
        <v>#REF!</v>
      </c>
      <c r="N306" s="345">
        <f t="shared" si="137"/>
        <v>0</v>
      </c>
      <c r="O306" s="345" t="e">
        <f t="shared" ca="1" si="150"/>
        <v>#REF!</v>
      </c>
      <c r="P306" s="345" t="e">
        <f ca="1">IF(B306&lt;=55,$AK$5,#REF!)*(IF(O306&gt;=40000,40000,O306))</f>
        <v>#REF!</v>
      </c>
      <c r="Q306" s="345" t="e">
        <f t="shared" ca="1" si="138"/>
        <v>#VALUE!</v>
      </c>
      <c r="R306" s="345" t="e">
        <f t="shared" ca="1" si="139"/>
        <v>#REF!</v>
      </c>
      <c r="T306" s="345">
        <f t="shared" si="140"/>
        <v>0</v>
      </c>
      <c r="U306" s="345"/>
      <c r="V306" s="345" t="str">
        <f t="shared" si="142"/>
        <v>60 to 64</v>
      </c>
      <c r="W306" s="345" t="e">
        <f>IF(Z305+T306-U306-V306-(#REF!*12)&gt;=0,Z305+T306-U306-V306-(#REF!*12),0)</f>
        <v>#VALUE!</v>
      </c>
      <c r="X306" s="345" t="e">
        <f>IF(B306&lt;=55,$AK$3,#REF!)*(IF(W306&gt;=20000,20000,W306))</f>
        <v>#REF!</v>
      </c>
      <c r="Y306" s="345" t="e">
        <f t="shared" si="143"/>
        <v>#VALUE!</v>
      </c>
      <c r="Z306" s="349" t="e">
        <f t="shared" si="146"/>
        <v>#VALUE!</v>
      </c>
      <c r="AA306" s="270"/>
      <c r="AB306" s="270"/>
      <c r="AC306" s="270"/>
      <c r="AD306" s="270"/>
      <c r="AE306" s="270"/>
      <c r="AF306" s="270"/>
      <c r="AG306" s="270"/>
      <c r="AH306" s="270"/>
      <c r="AI306" s="270"/>
      <c r="AJ306" s="270"/>
    </row>
    <row r="307" spans="2:36" ht="53" customHeight="1" x14ac:dyDescent="0.35">
      <c r="B307" s="344">
        <f t="shared" si="147"/>
        <v>96</v>
      </c>
      <c r="C307" s="345">
        <f t="shared" si="144"/>
        <v>0</v>
      </c>
      <c r="D307" s="345">
        <f t="shared" si="134"/>
        <v>2055</v>
      </c>
      <c r="E307" s="345">
        <f t="shared" si="135"/>
        <v>900</v>
      </c>
      <c r="F307" s="345"/>
      <c r="G307" s="345">
        <f t="shared" si="136"/>
        <v>0</v>
      </c>
      <c r="H307" s="345">
        <f t="shared" si="148"/>
        <v>67045</v>
      </c>
      <c r="I307" s="345" t="e">
        <f>#REF!*H307</f>
        <v>#REF!</v>
      </c>
      <c r="J307" s="346" t="e">
        <f t="shared" si="151"/>
        <v>#REF!</v>
      </c>
      <c r="K307" s="345">
        <v>66000</v>
      </c>
      <c r="L307" s="248"/>
      <c r="M307" s="346" t="e">
        <f t="shared" si="152"/>
        <v>#REF!</v>
      </c>
      <c r="N307" s="345">
        <f t="shared" si="137"/>
        <v>0</v>
      </c>
      <c r="O307" s="345" t="e">
        <f t="shared" ca="1" si="150"/>
        <v>#REF!</v>
      </c>
      <c r="P307" s="345" t="e">
        <f ca="1">IF(B307&lt;=55,$AK$5,#REF!)*(IF(O307&gt;=40000,40000,O307))</f>
        <v>#REF!</v>
      </c>
      <c r="Q307" s="345" t="e">
        <f t="shared" ca="1" si="138"/>
        <v>#VALUE!</v>
      </c>
      <c r="R307" s="345" t="e">
        <f t="shared" ca="1" si="139"/>
        <v>#REF!</v>
      </c>
      <c r="T307" s="345">
        <f t="shared" si="140"/>
        <v>0</v>
      </c>
      <c r="U307" s="345"/>
      <c r="V307" s="345" t="str">
        <f t="shared" si="142"/>
        <v>60 to 64</v>
      </c>
      <c r="W307" s="345" t="e">
        <f>IF(Z306+T307-U307-V307-(#REF!*12)&gt;=0,Z306+T307-U307-V307-(#REF!*12),0)</f>
        <v>#VALUE!</v>
      </c>
      <c r="X307" s="345" t="e">
        <f>IF(B307&lt;=55,$AK$3,#REF!)*(IF(W307&gt;=20000,20000,W307))</f>
        <v>#REF!</v>
      </c>
      <c r="Y307" s="345" t="e">
        <f t="shared" si="143"/>
        <v>#VALUE!</v>
      </c>
      <c r="Z307" s="349" t="e">
        <f t="shared" si="146"/>
        <v>#VALUE!</v>
      </c>
      <c r="AA307" s="270"/>
      <c r="AB307" s="270"/>
      <c r="AC307" s="270"/>
      <c r="AD307" s="270"/>
      <c r="AE307" s="270"/>
      <c r="AF307" s="270"/>
      <c r="AG307" s="270"/>
      <c r="AH307" s="270"/>
      <c r="AI307" s="270"/>
      <c r="AJ307" s="270"/>
    </row>
    <row r="308" spans="2:36" ht="53" customHeight="1" x14ac:dyDescent="0.35">
      <c r="B308" s="344">
        <f t="shared" si="147"/>
        <v>97</v>
      </c>
      <c r="C308" s="345">
        <f t="shared" si="144"/>
        <v>0</v>
      </c>
      <c r="D308" s="345">
        <f t="shared" si="134"/>
        <v>2055</v>
      </c>
      <c r="E308" s="345">
        <f t="shared" si="135"/>
        <v>900</v>
      </c>
      <c r="F308" s="345"/>
      <c r="G308" s="345">
        <f t="shared" si="136"/>
        <v>0</v>
      </c>
      <c r="H308" s="345">
        <f t="shared" si="148"/>
        <v>67045</v>
      </c>
      <c r="I308" s="345" t="e">
        <f>#REF!*H308</f>
        <v>#REF!</v>
      </c>
      <c r="J308" s="346" t="e">
        <f t="shared" si="151"/>
        <v>#REF!</v>
      </c>
      <c r="K308" s="345">
        <v>66000</v>
      </c>
      <c r="L308" s="248"/>
      <c r="M308" s="346" t="e">
        <f t="shared" si="152"/>
        <v>#REF!</v>
      </c>
      <c r="N308" s="345">
        <f t="shared" si="137"/>
        <v>0</v>
      </c>
      <c r="O308" s="345" t="e">
        <f t="shared" ca="1" si="150"/>
        <v>#REF!</v>
      </c>
      <c r="P308" s="345" t="e">
        <f ca="1">IF(B308&lt;=55,$AK$5,#REF!)*(IF(O308&gt;=40000,40000,O308))</f>
        <v>#REF!</v>
      </c>
      <c r="Q308" s="345" t="e">
        <f t="shared" ca="1" si="138"/>
        <v>#VALUE!</v>
      </c>
      <c r="R308" s="345" t="e">
        <f t="shared" ca="1" si="139"/>
        <v>#REF!</v>
      </c>
      <c r="T308" s="345">
        <f t="shared" si="140"/>
        <v>0</v>
      </c>
      <c r="U308" s="345"/>
      <c r="V308" s="345" t="str">
        <f t="shared" si="142"/>
        <v>60 to 64</v>
      </c>
      <c r="W308" s="345" t="e">
        <f>IF(Z307+T308-U308-V308-(#REF!*12)&gt;=0,Z307+T308-U308-V308-(#REF!*12),0)</f>
        <v>#VALUE!</v>
      </c>
      <c r="X308" s="345" t="e">
        <f>IF(B308&lt;=55,$AK$3,#REF!)*(IF(W308&gt;=20000,20000,W308))</f>
        <v>#REF!</v>
      </c>
      <c r="Y308" s="345" t="e">
        <f t="shared" si="143"/>
        <v>#VALUE!</v>
      </c>
      <c r="Z308" s="349" t="e">
        <f t="shared" si="146"/>
        <v>#VALUE!</v>
      </c>
      <c r="AA308" s="270"/>
      <c r="AB308" s="270"/>
      <c r="AC308" s="270"/>
      <c r="AD308" s="270"/>
      <c r="AE308" s="270"/>
      <c r="AF308" s="270"/>
      <c r="AG308" s="270"/>
      <c r="AH308" s="270"/>
      <c r="AI308" s="270"/>
      <c r="AJ308" s="270"/>
    </row>
    <row r="309" spans="2:36" ht="53" customHeight="1" x14ac:dyDescent="0.35">
      <c r="B309" s="344">
        <f t="shared" si="147"/>
        <v>98</v>
      </c>
      <c r="C309" s="345">
        <f t="shared" si="144"/>
        <v>0</v>
      </c>
      <c r="D309" s="345">
        <f t="shared" si="134"/>
        <v>2055</v>
      </c>
      <c r="E309" s="345">
        <f t="shared" si="135"/>
        <v>900</v>
      </c>
      <c r="F309" s="345"/>
      <c r="G309" s="345">
        <f t="shared" si="136"/>
        <v>0</v>
      </c>
      <c r="H309" s="345">
        <f t="shared" si="148"/>
        <v>67045</v>
      </c>
      <c r="I309" s="345" t="e">
        <f>#REF!*H309</f>
        <v>#REF!</v>
      </c>
      <c r="J309" s="346" t="e">
        <f t="shared" si="151"/>
        <v>#REF!</v>
      </c>
      <c r="K309" s="345">
        <v>66000</v>
      </c>
      <c r="L309" s="324"/>
      <c r="M309" s="346" t="e">
        <f t="shared" si="152"/>
        <v>#REF!</v>
      </c>
      <c r="N309" s="345">
        <f t="shared" si="137"/>
        <v>0</v>
      </c>
      <c r="O309" s="345" t="e">
        <f t="shared" ca="1" si="150"/>
        <v>#REF!</v>
      </c>
      <c r="P309" s="345" t="e">
        <f ca="1">IF(B309&lt;=55,$AK$5,#REF!)*(IF(O309&gt;=40000,40000,O309))</f>
        <v>#REF!</v>
      </c>
      <c r="Q309" s="345" t="e">
        <f t="shared" ca="1" si="138"/>
        <v>#VALUE!</v>
      </c>
      <c r="R309" s="345" t="e">
        <f t="shared" ca="1" si="139"/>
        <v>#REF!</v>
      </c>
      <c r="T309" s="345">
        <f t="shared" si="140"/>
        <v>0</v>
      </c>
      <c r="U309" s="345"/>
      <c r="V309" s="345" t="str">
        <f t="shared" si="142"/>
        <v>60 to 64</v>
      </c>
      <c r="W309" s="345" t="e">
        <f>IF(Z308+T309-U309-V309-(#REF!*12)&gt;=0,Z308+T309-U309-V309-(#REF!*12),0)</f>
        <v>#VALUE!</v>
      </c>
      <c r="X309" s="345" t="e">
        <f>IF(B309&lt;=55,$AK$3,#REF!)*(IF(W309&gt;=20000,20000,W309))</f>
        <v>#REF!</v>
      </c>
      <c r="Y309" s="345" t="e">
        <f t="shared" si="143"/>
        <v>#VALUE!</v>
      </c>
      <c r="Z309" s="349" t="e">
        <f t="shared" si="146"/>
        <v>#VALUE!</v>
      </c>
      <c r="AA309" s="270"/>
      <c r="AB309" s="270"/>
      <c r="AC309" s="270"/>
      <c r="AD309" s="270"/>
      <c r="AE309" s="270"/>
      <c r="AF309" s="270"/>
      <c r="AG309" s="270"/>
      <c r="AH309" s="270"/>
      <c r="AI309" s="270"/>
      <c r="AJ309" s="270"/>
    </row>
    <row r="310" spans="2:36" ht="53" customHeight="1" x14ac:dyDescent="0.35">
      <c r="B310" s="344">
        <f t="shared" si="147"/>
        <v>99</v>
      </c>
      <c r="C310" s="345">
        <f t="shared" si="144"/>
        <v>0</v>
      </c>
      <c r="D310" s="345">
        <f t="shared" si="134"/>
        <v>2055</v>
      </c>
      <c r="E310" s="345">
        <f t="shared" si="135"/>
        <v>900</v>
      </c>
      <c r="F310" s="345"/>
      <c r="G310" s="345">
        <f t="shared" si="136"/>
        <v>0</v>
      </c>
      <c r="H310" s="345">
        <f t="shared" si="148"/>
        <v>67045</v>
      </c>
      <c r="I310" s="345" t="e">
        <f>#REF!*H310</f>
        <v>#REF!</v>
      </c>
      <c r="J310" s="346" t="e">
        <f t="shared" si="151"/>
        <v>#REF!</v>
      </c>
      <c r="K310" s="345">
        <v>66000</v>
      </c>
      <c r="L310" s="324"/>
      <c r="M310" s="346" t="e">
        <f t="shared" si="152"/>
        <v>#REF!</v>
      </c>
      <c r="N310" s="345">
        <f t="shared" si="137"/>
        <v>0</v>
      </c>
      <c r="O310" s="345" t="e">
        <f t="shared" ca="1" si="150"/>
        <v>#REF!</v>
      </c>
      <c r="P310" s="345" t="e">
        <f ca="1">IF(B310&lt;=55,$AK$5,#REF!)*(IF(O310&gt;=40000,40000,O310))</f>
        <v>#REF!</v>
      </c>
      <c r="Q310" s="345" t="e">
        <f t="shared" ca="1" si="138"/>
        <v>#VALUE!</v>
      </c>
      <c r="R310" s="345" t="e">
        <f t="shared" ca="1" si="139"/>
        <v>#REF!</v>
      </c>
      <c r="T310" s="345">
        <f t="shared" si="140"/>
        <v>0</v>
      </c>
      <c r="U310" s="345"/>
      <c r="V310" s="345" t="str">
        <f t="shared" si="142"/>
        <v>60 to 64</v>
      </c>
      <c r="W310" s="345" t="e">
        <f>IF(Z309+T310-U310-V310-(#REF!*12)&gt;=0,Z309+T310-U310-V310-(#REF!*12),0)</f>
        <v>#VALUE!</v>
      </c>
      <c r="X310" s="345" t="e">
        <f>IF(B310&lt;=55,$AK$3,#REF!)*(IF(W310&gt;=20000,20000,W310))</f>
        <v>#REF!</v>
      </c>
      <c r="Y310" s="345" t="e">
        <f t="shared" si="143"/>
        <v>#VALUE!</v>
      </c>
      <c r="Z310" s="349" t="e">
        <f t="shared" si="146"/>
        <v>#VALUE!</v>
      </c>
      <c r="AA310" s="270"/>
      <c r="AB310" s="270"/>
      <c r="AC310" s="270"/>
      <c r="AD310" s="270"/>
      <c r="AE310" s="270"/>
      <c r="AF310" s="270"/>
    </row>
    <row r="311" spans="2:36" ht="53" customHeight="1" x14ac:dyDescent="0.35">
      <c r="B311" s="344">
        <f t="shared" si="147"/>
        <v>100</v>
      </c>
      <c r="C311" s="345">
        <f t="shared" si="144"/>
        <v>0</v>
      </c>
      <c r="D311" s="345">
        <f t="shared" si="134"/>
        <v>2055</v>
      </c>
      <c r="E311" s="345">
        <f t="shared" si="135"/>
        <v>900</v>
      </c>
      <c r="F311" s="345"/>
      <c r="G311" s="345">
        <f t="shared" si="136"/>
        <v>0</v>
      </c>
      <c r="H311" s="345">
        <f t="shared" si="148"/>
        <v>67045</v>
      </c>
      <c r="I311" s="345" t="e">
        <f>#REF!*H311</f>
        <v>#REF!</v>
      </c>
      <c r="J311" s="346" t="e">
        <f t="shared" si="151"/>
        <v>#REF!</v>
      </c>
      <c r="K311" s="345">
        <v>66000</v>
      </c>
      <c r="L311" s="324"/>
      <c r="M311" s="346" t="e">
        <f t="shared" si="152"/>
        <v>#REF!</v>
      </c>
      <c r="N311" s="345">
        <f t="shared" si="137"/>
        <v>0</v>
      </c>
      <c r="O311" s="345" t="e">
        <f t="shared" ca="1" si="150"/>
        <v>#REF!</v>
      </c>
      <c r="P311" s="345" t="e">
        <f ca="1">IF(B311&lt;=55,$AK$5,#REF!)*(IF(O311&gt;=40000,40000,O311))</f>
        <v>#REF!</v>
      </c>
      <c r="Q311" s="345" t="e">
        <f t="shared" ca="1" si="138"/>
        <v>#VALUE!</v>
      </c>
      <c r="R311" s="345" t="e">
        <f t="shared" ca="1" si="139"/>
        <v>#REF!</v>
      </c>
      <c r="T311" s="345">
        <f t="shared" si="140"/>
        <v>0</v>
      </c>
      <c r="U311" s="345"/>
      <c r="V311" s="345" t="str">
        <f t="shared" si="142"/>
        <v>60 to 64</v>
      </c>
      <c r="W311" s="345" t="e">
        <f>IF(Z310+T311-U311-V311-(#REF!*12)&gt;=0,Z310+T311-U311-V311-(#REF!*12),0)</f>
        <v>#VALUE!</v>
      </c>
      <c r="X311" s="345" t="e">
        <f>IF(B311&lt;=55,$AK$3,#REF!)*(IF(W311&gt;=20000,20000,W311))</f>
        <v>#REF!</v>
      </c>
      <c r="Y311" s="345" t="e">
        <f t="shared" si="143"/>
        <v>#VALUE!</v>
      </c>
      <c r="Z311" s="349" t="e">
        <f t="shared" si="146"/>
        <v>#VALUE!</v>
      </c>
      <c r="AA311" s="270"/>
      <c r="AB311" s="270"/>
      <c r="AC311" s="270"/>
      <c r="AD311" s="270"/>
      <c r="AE311" s="270"/>
      <c r="AF311" s="270"/>
    </row>
    <row r="312" spans="2:36" ht="53" customHeight="1" x14ac:dyDescent="0.35">
      <c r="AG312" s="252"/>
      <c r="AH312" s="252"/>
      <c r="AI312" s="252"/>
      <c r="AJ312" s="252"/>
    </row>
    <row r="313" spans="2:36" ht="53" customHeight="1" x14ac:dyDescent="0.35">
      <c r="AG313" s="256"/>
      <c r="AH313" s="256"/>
      <c r="AI313" s="256"/>
      <c r="AJ313" s="256"/>
    </row>
    <row r="314" spans="2:36" ht="53" customHeight="1" x14ac:dyDescent="0.35">
      <c r="AG314" s="274"/>
      <c r="AH314" s="274"/>
      <c r="AI314" s="274"/>
      <c r="AJ314" s="274"/>
    </row>
    <row r="315" spans="2:36" ht="53" customHeight="1" x14ac:dyDescent="0.35">
      <c r="AG315" s="270"/>
      <c r="AH315" s="270"/>
      <c r="AI315" s="270"/>
      <c r="AJ315" s="270"/>
    </row>
    <row r="316" spans="2:36" ht="53" customHeight="1" x14ac:dyDescent="0.35">
      <c r="AG316" s="270"/>
      <c r="AH316" s="270"/>
      <c r="AI316" s="270"/>
      <c r="AJ316" s="270"/>
    </row>
    <row r="317" spans="2:36" ht="53" customHeight="1" x14ac:dyDescent="0.35">
      <c r="AG317" s="270"/>
      <c r="AH317" s="270"/>
      <c r="AI317" s="270"/>
      <c r="AJ317" s="270"/>
    </row>
    <row r="318" spans="2:36" ht="53" customHeight="1" x14ac:dyDescent="0.35">
      <c r="AG318" s="270"/>
      <c r="AH318" s="270"/>
      <c r="AI318" s="270"/>
      <c r="AJ318" s="270"/>
    </row>
    <row r="319" spans="2:36" ht="53" customHeight="1" x14ac:dyDescent="0.35">
      <c r="AG319" s="270"/>
      <c r="AH319" s="270"/>
      <c r="AI319" s="270"/>
      <c r="AJ319" s="270"/>
    </row>
    <row r="320" spans="2:36" ht="53" customHeight="1" x14ac:dyDescent="0.35">
      <c r="AG320" s="270"/>
      <c r="AH320" s="270"/>
      <c r="AI320" s="270"/>
      <c r="AJ320" s="270"/>
    </row>
    <row r="321" spans="1:36" ht="53" customHeight="1" x14ac:dyDescent="0.35">
      <c r="A321" s="290"/>
      <c r="AG321" s="329"/>
      <c r="AH321" s="329"/>
      <c r="AI321" s="329"/>
      <c r="AJ321" s="329"/>
    </row>
    <row r="322" spans="1:36" ht="53" customHeight="1" x14ac:dyDescent="0.35">
      <c r="AG322" s="270"/>
      <c r="AH322" s="270"/>
      <c r="AI322" s="270"/>
      <c r="AJ322" s="270"/>
    </row>
    <row r="323" spans="1:36" ht="53" customHeight="1" x14ac:dyDescent="0.35">
      <c r="AG323" s="270"/>
      <c r="AH323" s="270"/>
      <c r="AI323" s="270"/>
      <c r="AJ323" s="270"/>
    </row>
    <row r="324" spans="1:36" ht="53" customHeight="1" x14ac:dyDescent="0.35">
      <c r="AG324" s="270"/>
      <c r="AH324" s="270"/>
      <c r="AI324" s="270"/>
      <c r="AJ324" s="270"/>
    </row>
    <row r="325" spans="1:36" ht="53" customHeight="1" x14ac:dyDescent="0.35">
      <c r="AG325" s="270"/>
      <c r="AH325" s="270"/>
      <c r="AI325" s="270"/>
      <c r="AJ325" s="270"/>
    </row>
    <row r="326" spans="1:36" ht="53" customHeight="1" x14ac:dyDescent="0.35">
      <c r="AG326" s="270"/>
      <c r="AH326" s="270"/>
      <c r="AI326" s="270"/>
      <c r="AJ326" s="270"/>
    </row>
    <row r="327" spans="1:36" ht="53" customHeight="1" x14ac:dyDescent="0.35">
      <c r="AG327" s="270"/>
      <c r="AH327" s="270"/>
      <c r="AI327" s="270"/>
      <c r="AJ327" s="270"/>
    </row>
    <row r="328" spans="1:36" ht="53" customHeight="1" x14ac:dyDescent="0.35">
      <c r="AG328" s="270"/>
      <c r="AH328" s="270"/>
      <c r="AI328" s="270"/>
      <c r="AJ328" s="270"/>
    </row>
    <row r="329" spans="1:36" ht="53" customHeight="1" x14ac:dyDescent="0.35">
      <c r="AG329" s="270"/>
      <c r="AH329" s="270"/>
      <c r="AI329" s="270"/>
      <c r="AJ329" s="270"/>
    </row>
    <row r="330" spans="1:36" ht="53" customHeight="1" x14ac:dyDescent="0.35">
      <c r="AG330" s="270"/>
      <c r="AH330" s="270"/>
      <c r="AI330" s="270"/>
      <c r="AJ330" s="270"/>
    </row>
    <row r="331" spans="1:36" ht="53" customHeight="1" x14ac:dyDescent="0.35">
      <c r="AG331" s="270"/>
      <c r="AH331" s="270"/>
      <c r="AI331" s="270"/>
      <c r="AJ331" s="270"/>
    </row>
    <row r="332" spans="1:36" ht="53" customHeight="1" x14ac:dyDescent="0.35">
      <c r="AG332" s="270"/>
      <c r="AH332" s="270"/>
      <c r="AI332" s="270"/>
      <c r="AJ332" s="270"/>
    </row>
    <row r="333" spans="1:36" ht="53" customHeight="1" x14ac:dyDescent="0.35">
      <c r="AG333" s="270"/>
      <c r="AH333" s="270"/>
      <c r="AI333" s="270"/>
      <c r="AJ333" s="270"/>
    </row>
    <row r="334" spans="1:36" ht="53" customHeight="1" x14ac:dyDescent="0.35">
      <c r="AG334" s="270"/>
      <c r="AH334" s="270"/>
      <c r="AI334" s="270"/>
      <c r="AJ334" s="270"/>
    </row>
    <row r="335" spans="1:36" ht="53" customHeight="1" x14ac:dyDescent="0.35">
      <c r="AG335" s="270"/>
      <c r="AH335" s="270"/>
      <c r="AI335" s="270"/>
      <c r="AJ335" s="270"/>
    </row>
    <row r="336" spans="1:36" ht="53" customHeight="1" x14ac:dyDescent="0.35">
      <c r="AG336" s="270"/>
      <c r="AH336" s="270"/>
      <c r="AI336" s="270"/>
      <c r="AJ336" s="270"/>
    </row>
    <row r="337" spans="1:40" ht="53" customHeight="1" x14ac:dyDescent="0.35">
      <c r="AG337" s="270"/>
      <c r="AH337" s="270"/>
      <c r="AI337" s="270"/>
      <c r="AJ337" s="270"/>
    </row>
    <row r="338" spans="1:40" ht="53" customHeight="1" x14ac:dyDescent="0.35">
      <c r="AG338" s="270"/>
      <c r="AH338" s="270"/>
      <c r="AI338" s="270"/>
      <c r="AJ338" s="270"/>
    </row>
    <row r="339" spans="1:40" ht="53" customHeight="1" x14ac:dyDescent="0.35">
      <c r="AG339" s="270"/>
      <c r="AH339" s="270"/>
      <c r="AI339" s="270"/>
      <c r="AJ339" s="270"/>
    </row>
    <row r="340" spans="1:40" ht="53" customHeight="1" x14ac:dyDescent="0.35">
      <c r="AG340" s="270"/>
      <c r="AH340" s="270"/>
      <c r="AI340" s="270"/>
      <c r="AJ340" s="270"/>
    </row>
    <row r="341" spans="1:40" ht="53" customHeight="1" x14ac:dyDescent="0.35">
      <c r="AG341" s="270"/>
      <c r="AH341" s="270"/>
      <c r="AI341" s="270"/>
      <c r="AJ341" s="270"/>
    </row>
    <row r="342" spans="1:40" ht="53" customHeight="1" x14ac:dyDescent="0.35">
      <c r="AG342" s="270"/>
      <c r="AH342" s="270"/>
      <c r="AI342" s="270"/>
      <c r="AJ342" s="270"/>
      <c r="AK342" s="249"/>
    </row>
    <row r="343" spans="1:40" ht="53" customHeight="1" x14ac:dyDescent="0.35">
      <c r="AG343" s="270"/>
      <c r="AH343" s="270"/>
      <c r="AI343" s="270"/>
      <c r="AJ343" s="270"/>
    </row>
    <row r="344" spans="1:40" ht="53" customHeight="1" x14ac:dyDescent="0.35">
      <c r="AG344" s="270"/>
      <c r="AH344" s="270"/>
      <c r="AI344" s="270"/>
      <c r="AJ344" s="270"/>
    </row>
    <row r="345" spans="1:40" ht="53" customHeight="1" x14ac:dyDescent="0.35">
      <c r="AG345" s="270"/>
      <c r="AH345" s="270"/>
      <c r="AI345" s="270"/>
      <c r="AJ345" s="270"/>
    </row>
    <row r="346" spans="1:40" ht="53" customHeight="1" x14ac:dyDescent="0.35">
      <c r="AG346" s="270"/>
      <c r="AH346" s="270"/>
      <c r="AI346" s="270"/>
      <c r="AJ346" s="270"/>
    </row>
    <row r="347" spans="1:40" ht="53" customHeight="1" x14ac:dyDescent="0.35">
      <c r="AG347" s="270"/>
      <c r="AH347" s="270"/>
      <c r="AI347" s="270"/>
      <c r="AJ347" s="270"/>
    </row>
    <row r="348" spans="1:40" ht="53" customHeight="1" x14ac:dyDescent="0.35">
      <c r="AG348" s="270"/>
      <c r="AH348" s="270"/>
      <c r="AI348" s="270"/>
      <c r="AJ348" s="270"/>
    </row>
    <row r="349" spans="1:40" s="290" customFormat="1" ht="53" customHeight="1" x14ac:dyDescent="0.35">
      <c r="A349" s="247"/>
      <c r="B349" s="248"/>
      <c r="C349" s="248"/>
      <c r="D349" s="248"/>
      <c r="E349" s="247"/>
      <c r="F349" s="248"/>
      <c r="G349" s="249"/>
      <c r="H349" s="247"/>
      <c r="I349" s="247"/>
      <c r="J349" s="247"/>
      <c r="K349" s="247"/>
      <c r="L349" s="247"/>
      <c r="M349" s="247"/>
      <c r="N349" s="247"/>
      <c r="O349" s="247"/>
      <c r="P349" s="247"/>
      <c r="Q349" s="247"/>
      <c r="R349" s="247"/>
      <c r="S349" s="247"/>
      <c r="T349" s="247"/>
      <c r="U349" s="247"/>
      <c r="V349" s="247"/>
      <c r="W349" s="247"/>
      <c r="X349" s="247"/>
      <c r="Y349" s="247"/>
      <c r="Z349" s="247"/>
      <c r="AA349" s="247"/>
      <c r="AB349" s="247"/>
      <c r="AC349" s="247"/>
      <c r="AD349" s="247"/>
      <c r="AE349" s="247"/>
      <c r="AF349" s="247"/>
      <c r="AG349" s="270"/>
      <c r="AH349" s="270"/>
      <c r="AI349" s="270"/>
      <c r="AJ349" s="270"/>
      <c r="AK349" s="247"/>
      <c r="AL349" s="247"/>
      <c r="AM349" s="247"/>
      <c r="AN349" s="247"/>
    </row>
    <row r="350" spans="1:40" ht="53" customHeight="1" x14ac:dyDescent="0.35">
      <c r="AG350" s="270"/>
      <c r="AH350" s="270"/>
      <c r="AI350" s="270"/>
      <c r="AJ350" s="270"/>
      <c r="AN350" s="290"/>
    </row>
    <row r="351" spans="1:40" ht="53" customHeight="1" x14ac:dyDescent="0.35">
      <c r="AG351" s="270"/>
      <c r="AH351" s="270"/>
      <c r="AI351" s="270"/>
      <c r="AJ351" s="270"/>
      <c r="AK351" s="290"/>
      <c r="AL351" s="290"/>
      <c r="AM351" s="290"/>
    </row>
    <row r="352" spans="1:40" ht="53" customHeight="1" x14ac:dyDescent="0.35">
      <c r="AG352" s="270"/>
      <c r="AH352" s="270"/>
      <c r="AI352" s="270"/>
      <c r="AJ352" s="270"/>
    </row>
    <row r="353" spans="33:36" ht="53" customHeight="1" x14ac:dyDescent="0.35">
      <c r="AG353" s="270"/>
      <c r="AH353" s="270"/>
      <c r="AI353" s="270"/>
      <c r="AJ353" s="270"/>
    </row>
    <row r="354" spans="33:36" ht="53" customHeight="1" x14ac:dyDescent="0.35">
      <c r="AG354" s="270"/>
      <c r="AH354" s="270"/>
      <c r="AI354" s="270"/>
      <c r="AJ354" s="270"/>
    </row>
    <row r="355" spans="33:36" ht="53" customHeight="1" x14ac:dyDescent="0.35">
      <c r="AG355" s="270"/>
      <c r="AH355" s="270"/>
      <c r="AI355" s="270"/>
      <c r="AJ355" s="270"/>
    </row>
    <row r="356" spans="33:36" ht="53" customHeight="1" x14ac:dyDescent="0.35">
      <c r="AG356" s="270"/>
      <c r="AH356" s="270"/>
      <c r="AI356" s="270"/>
      <c r="AJ356" s="270"/>
    </row>
    <row r="357" spans="33:36" ht="53" customHeight="1" x14ac:dyDescent="0.35">
      <c r="AG357" s="270"/>
      <c r="AH357" s="270"/>
      <c r="AI357" s="270"/>
      <c r="AJ357" s="270"/>
    </row>
    <row r="358" spans="33:36" ht="53" customHeight="1" x14ac:dyDescent="0.35">
      <c r="AG358" s="270"/>
      <c r="AH358" s="270"/>
      <c r="AI358" s="270"/>
      <c r="AJ358" s="270"/>
    </row>
    <row r="359" spans="33:36" ht="53" customHeight="1" x14ac:dyDescent="0.35">
      <c r="AG359" s="270"/>
      <c r="AH359" s="270"/>
      <c r="AI359" s="270"/>
      <c r="AJ359" s="270"/>
    </row>
    <row r="360" spans="33:36" ht="53" customHeight="1" x14ac:dyDescent="0.35">
      <c r="AG360" s="270"/>
      <c r="AH360" s="270"/>
      <c r="AI360" s="270"/>
      <c r="AJ360" s="270"/>
    </row>
    <row r="393" spans="1:40" ht="53" customHeight="1" x14ac:dyDescent="0.35">
      <c r="AK393" s="249"/>
    </row>
    <row r="400" spans="1:40" s="290" customFormat="1" ht="53" customHeight="1" x14ac:dyDescent="0.35">
      <c r="A400" s="247"/>
      <c r="B400" s="248"/>
      <c r="C400" s="248"/>
      <c r="D400" s="248"/>
      <c r="E400" s="247"/>
      <c r="F400" s="248"/>
      <c r="G400" s="249"/>
      <c r="H400" s="247"/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  <c r="S400" s="247"/>
      <c r="T400" s="247"/>
      <c r="U400" s="247"/>
      <c r="V400" s="247"/>
      <c r="W400" s="247"/>
      <c r="X400" s="247"/>
      <c r="Y400" s="247"/>
      <c r="Z400" s="247"/>
      <c r="AA400" s="247"/>
      <c r="AB400" s="247"/>
      <c r="AC400" s="247"/>
      <c r="AD400" s="247"/>
      <c r="AE400" s="247"/>
      <c r="AF400" s="247"/>
      <c r="AG400" s="247"/>
      <c r="AH400" s="247"/>
      <c r="AI400" s="247"/>
      <c r="AJ400" s="247"/>
      <c r="AK400" s="247"/>
      <c r="AL400" s="247"/>
      <c r="AM400" s="247"/>
      <c r="AN400" s="247"/>
    </row>
    <row r="401" spans="37:40" ht="53" customHeight="1" x14ac:dyDescent="0.35">
      <c r="AN401" s="290"/>
    </row>
    <row r="402" spans="37:40" ht="53" customHeight="1" x14ac:dyDescent="0.35">
      <c r="AK402" s="290"/>
      <c r="AL402" s="290"/>
      <c r="AM402" s="290"/>
    </row>
  </sheetData>
  <mergeCells count="31">
    <mergeCell ref="B212:Z212"/>
    <mergeCell ref="B213:K213"/>
    <mergeCell ref="M213:R213"/>
    <mergeCell ref="T213:Z213"/>
    <mergeCell ref="B263:Z263"/>
    <mergeCell ref="B264:K264"/>
    <mergeCell ref="M264:R264"/>
    <mergeCell ref="T264:Z264"/>
    <mergeCell ref="B108:Z108"/>
    <mergeCell ref="B109:K109"/>
    <mergeCell ref="M109:Q109"/>
    <mergeCell ref="S109:Z109"/>
    <mergeCell ref="B160:Z160"/>
    <mergeCell ref="B161:K161"/>
    <mergeCell ref="M161:R161"/>
    <mergeCell ref="T161:Z161"/>
    <mergeCell ref="AK12:AM12"/>
    <mergeCell ref="AK30:AL30"/>
    <mergeCell ref="B58:Z58"/>
    <mergeCell ref="B59:K59"/>
    <mergeCell ref="M59:R59"/>
    <mergeCell ref="T59:Z59"/>
    <mergeCell ref="B2:Z2"/>
    <mergeCell ref="AR2:AV2"/>
    <mergeCell ref="AW2:AY2"/>
    <mergeCell ref="BA2:BD2"/>
    <mergeCell ref="BF2:BM2"/>
    <mergeCell ref="B3:K3"/>
    <mergeCell ref="M3:R3"/>
    <mergeCell ref="T3:Z3"/>
    <mergeCell ref="AB3:AH3"/>
  </mergeCells>
  <conditionalFormatting sqref="AL2:AL8 AN30:AN37 AL31:AL35 AM45">
    <cfRule type="containsText" dxfId="4" priority="4" operator="containsText" text="55">
      <formula>NOT(ISERROR(SEARCH("55",AL2)))</formula>
    </cfRule>
    <cfRule type="cellIs" dxfId="3" priority="5" operator="equal">
      <formula>55</formula>
    </cfRule>
  </conditionalFormatting>
  <conditionalFormatting sqref="AN2">
    <cfRule type="containsText" dxfId="2" priority="1" operator="containsText" text="55">
      <formula>NOT(ISERROR(SEARCH("55",AN2)))</formula>
    </cfRule>
    <cfRule type="cellIs" dxfId="1" priority="2" operator="equal">
      <formula>55</formula>
    </cfRule>
  </conditionalFormatting>
  <conditionalFormatting sqref="AR3:AR41">
    <cfRule type="containsText" dxfId="0" priority="3" operator="containsText" text="55">
      <formula>NOT(ISERROR(SEARCH("55",AR3)))</formula>
    </cfRule>
  </conditionalFormatting>
  <pageMargins left="0.7" right="0.7" top="0.75" bottom="0.75" header="0.3" footer="0.3"/>
  <pageSetup paperSize="256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2C7B-8F6F-484A-B537-1F49DBC3041F}">
  <dimension ref="L1:AI46"/>
  <sheetViews>
    <sheetView topLeftCell="K22" zoomScale="108" zoomScaleNormal="108" workbookViewId="0">
      <selection activeCell="U10" sqref="U10"/>
    </sheetView>
  </sheetViews>
  <sheetFormatPr defaultRowHeight="13" customHeight="1" x14ac:dyDescent="0.35"/>
  <cols>
    <col min="1" max="1" width="8.7265625" style="1"/>
    <col min="2" max="2" width="15.08984375" style="1" customWidth="1"/>
    <col min="3" max="11" width="8.7265625" style="1"/>
    <col min="12" max="12" width="28.7265625" style="1" customWidth="1"/>
    <col min="13" max="14" width="14.26953125" style="1" customWidth="1"/>
    <col min="15" max="15" width="12.7265625" style="1" customWidth="1"/>
    <col min="16" max="16" width="13" style="1" customWidth="1"/>
    <col min="17" max="17" width="13.90625" style="1" customWidth="1"/>
    <col min="18" max="18" width="10.81640625" style="1" customWidth="1"/>
    <col min="19" max="19" width="10.26953125" style="1" customWidth="1"/>
    <col min="20" max="23" width="9.81640625" style="1" customWidth="1"/>
    <col min="24" max="24" width="8.7265625" style="1"/>
    <col min="25" max="25" width="17.54296875" style="1" customWidth="1"/>
    <col min="26" max="27" width="12.36328125" style="1" customWidth="1"/>
    <col min="28" max="28" width="8.7265625" style="1"/>
    <col min="29" max="29" width="22" style="1" customWidth="1"/>
    <col min="30" max="30" width="18.08984375" style="1" customWidth="1"/>
    <col min="31" max="16384" width="8.7265625" style="1"/>
  </cols>
  <sheetData>
    <row r="1" spans="12:35" ht="13" customHeight="1" x14ac:dyDescent="0.35">
      <c r="N1" s="2"/>
      <c r="Y1" s="3" t="s">
        <v>0</v>
      </c>
      <c r="Z1" s="3"/>
      <c r="AA1" s="3"/>
      <c r="AC1" s="4"/>
      <c r="AD1" s="4"/>
      <c r="AE1" s="5"/>
      <c r="AF1" s="6"/>
      <c r="AG1" s="6"/>
      <c r="AH1" s="6"/>
    </row>
    <row r="2" spans="12:35" ht="24" customHeight="1" x14ac:dyDescent="0.35">
      <c r="L2" s="7"/>
      <c r="M2" s="8" t="s">
        <v>1</v>
      </c>
      <c r="N2" s="8" t="s">
        <v>2</v>
      </c>
      <c r="O2" s="9" t="s">
        <v>3</v>
      </c>
      <c r="P2" s="10">
        <v>54</v>
      </c>
      <c r="Q2" s="9" t="s">
        <v>4</v>
      </c>
      <c r="R2" s="11">
        <f>62-P2</f>
        <v>8</v>
      </c>
      <c r="S2" s="12"/>
      <c r="T2" s="12"/>
      <c r="U2" s="12"/>
      <c r="V2" s="12"/>
      <c r="W2" s="12"/>
      <c r="Y2" s="13" t="s">
        <v>5</v>
      </c>
      <c r="Z2" s="13" t="s">
        <v>6</v>
      </c>
      <c r="AA2" s="13" t="s">
        <v>7</v>
      </c>
      <c r="AC2" s="5"/>
      <c r="AD2" s="14"/>
      <c r="AE2" s="15"/>
      <c r="AF2" s="16"/>
      <c r="AG2" s="17"/>
      <c r="AH2" s="17"/>
    </row>
    <row r="3" spans="12:35" ht="13" customHeight="1" x14ac:dyDescent="0.35">
      <c r="L3" s="18" t="s">
        <v>8</v>
      </c>
      <c r="M3" s="19">
        <v>168000</v>
      </c>
      <c r="N3" s="20">
        <f>M3</f>
        <v>168000</v>
      </c>
      <c r="O3" s="21" t="s">
        <v>9</v>
      </c>
      <c r="P3" s="22" t="s">
        <v>10</v>
      </c>
      <c r="Q3" s="23" t="s">
        <v>9</v>
      </c>
      <c r="R3" s="23"/>
      <c r="S3" s="24"/>
      <c r="T3" s="24"/>
      <c r="U3" s="24"/>
      <c r="V3" s="24"/>
      <c r="W3" s="24"/>
      <c r="X3" s="25"/>
      <c r="Y3" s="26" t="s">
        <v>11</v>
      </c>
      <c r="Z3" s="27">
        <v>0</v>
      </c>
      <c r="AA3" s="28">
        <v>0</v>
      </c>
      <c r="AD3" s="5"/>
      <c r="AE3" s="29"/>
      <c r="AF3" s="15"/>
      <c r="AG3" s="16"/>
      <c r="AH3" s="17"/>
      <c r="AI3" s="17"/>
    </row>
    <row r="4" spans="12:35" ht="13" customHeight="1" x14ac:dyDescent="0.35">
      <c r="L4" s="9" t="s">
        <v>12</v>
      </c>
      <c r="M4" s="30">
        <f>M3/12</f>
        <v>14000</v>
      </c>
      <c r="N4" s="30">
        <f>N3/12</f>
        <v>14000</v>
      </c>
      <c r="O4" s="31">
        <v>10</v>
      </c>
      <c r="P4" s="32">
        <f>N6</f>
        <v>15300</v>
      </c>
      <c r="Q4" s="33"/>
      <c r="R4" s="23"/>
      <c r="S4" s="34"/>
      <c r="T4" s="34"/>
      <c r="U4" s="34"/>
      <c r="V4" s="34"/>
      <c r="W4" s="34"/>
      <c r="X4" s="25"/>
      <c r="Y4" s="26" t="s">
        <v>13</v>
      </c>
      <c r="Z4" s="27">
        <v>2</v>
      </c>
      <c r="AA4" s="28">
        <v>200</v>
      </c>
      <c r="AD4" s="5"/>
      <c r="AE4" s="35"/>
      <c r="AF4" s="15"/>
      <c r="AG4" s="16"/>
      <c r="AH4" s="17"/>
      <c r="AI4" s="17"/>
    </row>
    <row r="5" spans="12:35" ht="13" customHeight="1" x14ac:dyDescent="0.35">
      <c r="L5" s="9"/>
      <c r="M5" s="30"/>
      <c r="N5" s="7"/>
      <c r="O5" s="31"/>
      <c r="P5" s="36"/>
      <c r="Q5" s="33"/>
      <c r="R5" s="23"/>
      <c r="S5" s="24"/>
      <c r="T5" s="24"/>
      <c r="U5" s="24"/>
      <c r="V5" s="24"/>
      <c r="W5" s="24"/>
      <c r="X5" s="25"/>
      <c r="Y5" s="26" t="s">
        <v>14</v>
      </c>
      <c r="Z5" s="27" t="s">
        <v>15</v>
      </c>
      <c r="AA5" s="28">
        <v>200</v>
      </c>
      <c r="AD5" s="5"/>
      <c r="AE5" s="35"/>
      <c r="AF5" s="15"/>
      <c r="AG5" s="16"/>
      <c r="AH5" s="17"/>
      <c r="AI5" s="17"/>
    </row>
    <row r="6" spans="12:35" ht="13" customHeight="1" x14ac:dyDescent="0.35">
      <c r="L6" s="9" t="s">
        <v>16</v>
      </c>
      <c r="M6" s="30">
        <v>0</v>
      </c>
      <c r="N6" s="37">
        <v>15300</v>
      </c>
      <c r="O6" s="38" t="s">
        <v>17</v>
      </c>
      <c r="P6" s="39" t="s">
        <v>18</v>
      </c>
      <c r="Q6" s="40" t="s">
        <v>19</v>
      </c>
      <c r="R6" s="41" t="s">
        <v>20</v>
      </c>
      <c r="S6" s="33"/>
      <c r="T6" s="33"/>
      <c r="U6" s="33"/>
      <c r="V6" s="33"/>
      <c r="W6" s="33"/>
      <c r="X6" s="25"/>
      <c r="Y6" s="26" t="s">
        <v>13</v>
      </c>
      <c r="Z6" s="27">
        <v>3.5</v>
      </c>
      <c r="AA6" s="28">
        <v>350</v>
      </c>
      <c r="AD6" s="5"/>
      <c r="AE6" s="14"/>
      <c r="AF6" s="15"/>
      <c r="AG6" s="16"/>
      <c r="AH6" s="17"/>
      <c r="AI6" s="17"/>
    </row>
    <row r="7" spans="12:35" ht="13" customHeight="1" x14ac:dyDescent="0.35">
      <c r="L7" s="9" t="s">
        <v>21</v>
      </c>
      <c r="M7" s="30">
        <f>M3</f>
        <v>168000</v>
      </c>
      <c r="N7" s="30">
        <f>N3-N6</f>
        <v>152700</v>
      </c>
      <c r="O7" s="42">
        <f>M9-N9</f>
        <v>2754</v>
      </c>
      <c r="P7" s="42">
        <f>R7-N6</f>
        <v>782.44402022407485</v>
      </c>
      <c r="Q7" s="43">
        <v>5.0000000000000001E-3</v>
      </c>
      <c r="R7" s="42">
        <f>N6*(1+Q7) ^O4</f>
        <v>16082.444020224075</v>
      </c>
      <c r="S7" s="44"/>
      <c r="T7" s="44"/>
      <c r="U7" s="44"/>
      <c r="V7" s="44"/>
      <c r="W7" s="44"/>
      <c r="X7" s="25"/>
      <c r="Y7" s="45" t="s">
        <v>22</v>
      </c>
      <c r="Z7" s="46" t="s">
        <v>15</v>
      </c>
      <c r="AA7" s="47">
        <v>200</v>
      </c>
      <c r="AD7" s="5"/>
      <c r="AE7" s="14"/>
      <c r="AF7" s="15"/>
      <c r="AG7" s="16"/>
      <c r="AH7" s="17"/>
      <c r="AI7" s="17"/>
    </row>
    <row r="8" spans="12:35" ht="13" customHeight="1" x14ac:dyDescent="0.35">
      <c r="L8" s="9"/>
      <c r="M8" s="30"/>
      <c r="N8" s="30"/>
      <c r="O8" s="48" t="s">
        <v>23</v>
      </c>
      <c r="P8" s="49"/>
      <c r="Q8" s="49"/>
      <c r="R8" s="50"/>
      <c r="S8" s="44"/>
      <c r="T8" s="44"/>
      <c r="U8" s="44"/>
      <c r="V8" s="44"/>
      <c r="W8" s="44"/>
      <c r="X8" s="25"/>
      <c r="Y8" s="45"/>
      <c r="Z8" s="46"/>
      <c r="AA8" s="47"/>
      <c r="AD8" s="5"/>
      <c r="AE8" s="14"/>
      <c r="AF8" s="15"/>
      <c r="AG8" s="16"/>
      <c r="AH8" s="17"/>
      <c r="AI8" s="17"/>
    </row>
    <row r="9" spans="12:35" ht="13" customHeight="1" x14ac:dyDescent="0.35">
      <c r="L9" s="9" t="s">
        <v>24</v>
      </c>
      <c r="M9" s="30">
        <f>SUM(O13:O25)</f>
        <v>15390</v>
      </c>
      <c r="N9" s="30">
        <f>SUM(Q13:Q25)</f>
        <v>12636</v>
      </c>
      <c r="O9" s="42">
        <f>O7</f>
        <v>2754</v>
      </c>
      <c r="P9" s="42">
        <f>R9-N6</f>
        <v>4807.3573396275242</v>
      </c>
      <c r="Q9" s="43">
        <v>2.7699999999999999E-2</v>
      </c>
      <c r="R9" s="42">
        <f>N6*(1+Q9) ^O4</f>
        <v>20107.357339627524</v>
      </c>
      <c r="S9" s="51"/>
      <c r="T9" s="51"/>
      <c r="U9" s="51"/>
      <c r="V9" s="51"/>
      <c r="W9" s="51"/>
      <c r="Y9" s="26" t="s">
        <v>25</v>
      </c>
      <c r="Z9" s="27">
        <v>7</v>
      </c>
      <c r="AA9" s="28">
        <v>2800</v>
      </c>
      <c r="AC9" s="5"/>
      <c r="AD9" s="14"/>
      <c r="AE9" s="15"/>
      <c r="AF9" s="16"/>
      <c r="AG9" s="17"/>
      <c r="AH9" s="17"/>
    </row>
    <row r="10" spans="12:35" ht="13" customHeight="1" x14ac:dyDescent="0.35">
      <c r="L10" s="9"/>
      <c r="M10" s="42"/>
      <c r="N10" s="52"/>
      <c r="O10" s="53" t="s">
        <v>26</v>
      </c>
      <c r="P10" s="54">
        <f>P9+O9</f>
        <v>7561.3573396275242</v>
      </c>
      <c r="Q10" s="55">
        <f>P10/N6/O4</f>
        <v>4.9420636206715843E-2</v>
      </c>
      <c r="R10" s="56"/>
      <c r="S10" s="51"/>
      <c r="T10" s="51"/>
      <c r="U10" s="51"/>
      <c r="V10" s="51"/>
      <c r="W10" s="51"/>
      <c r="Y10" s="26"/>
      <c r="Z10" s="27"/>
      <c r="AA10" s="28"/>
      <c r="AC10" s="5"/>
      <c r="AD10" s="14"/>
      <c r="AE10" s="15"/>
      <c r="AF10" s="16"/>
      <c r="AG10" s="17"/>
      <c r="AH10" s="17"/>
    </row>
    <row r="11" spans="12:35" ht="33.5" customHeight="1" x14ac:dyDescent="0.35">
      <c r="L11" s="57"/>
      <c r="M11" s="57"/>
      <c r="N11" s="57"/>
      <c r="O11" s="57"/>
      <c r="P11" s="51"/>
      <c r="Q11" s="51"/>
      <c r="R11" s="51"/>
      <c r="S11" s="51"/>
      <c r="T11" s="51"/>
      <c r="U11" s="51"/>
      <c r="V11" s="51"/>
      <c r="W11" s="51"/>
      <c r="Y11" s="26" t="s">
        <v>27</v>
      </c>
      <c r="Z11" s="27" t="s">
        <v>15</v>
      </c>
      <c r="AA11" s="28">
        <v>3350</v>
      </c>
      <c r="AC11" s="15"/>
      <c r="AD11" s="15"/>
      <c r="AE11" s="15"/>
      <c r="AF11" s="16"/>
      <c r="AG11" s="17"/>
      <c r="AH11" s="17"/>
    </row>
    <row r="12" spans="12:35" ht="38" customHeight="1" x14ac:dyDescent="0.35">
      <c r="L12" s="8" t="s">
        <v>28</v>
      </c>
      <c r="M12" s="8" t="s">
        <v>6</v>
      </c>
      <c r="N12" s="58" t="s">
        <v>29</v>
      </c>
      <c r="O12" s="8" t="s">
        <v>30</v>
      </c>
      <c r="P12" s="59" t="s">
        <v>31</v>
      </c>
      <c r="Q12" s="8" t="s">
        <v>30</v>
      </c>
      <c r="R12" s="51"/>
      <c r="S12" s="60"/>
      <c r="T12" s="60"/>
      <c r="U12" s="60"/>
      <c r="V12" s="60"/>
      <c r="W12" s="60"/>
      <c r="Y12" s="26" t="s">
        <v>25</v>
      </c>
      <c r="Z12" s="27">
        <v>11.5</v>
      </c>
      <c r="AA12" s="28">
        <v>4600</v>
      </c>
      <c r="AC12" s="15"/>
      <c r="AD12" s="15"/>
      <c r="AE12" s="15"/>
      <c r="AF12" s="16"/>
      <c r="AG12" s="17"/>
      <c r="AH12" s="17"/>
    </row>
    <row r="13" spans="12:35" ht="13" customHeight="1" x14ac:dyDescent="0.35">
      <c r="L13" s="9" t="s">
        <v>32</v>
      </c>
      <c r="M13" s="61">
        <f>Z3</f>
        <v>0</v>
      </c>
      <c r="N13" s="62">
        <f>IF($N$7&gt;20000,20000,0)</f>
        <v>20000</v>
      </c>
      <c r="O13" s="62">
        <f>N13*M13</f>
        <v>0</v>
      </c>
      <c r="P13" s="62">
        <f>IF($N$7&gt;20000,20000,0)</f>
        <v>20000</v>
      </c>
      <c r="Q13" s="62">
        <f>P13*M13</f>
        <v>0</v>
      </c>
      <c r="R13" s="60"/>
      <c r="S13" s="60"/>
      <c r="T13" s="60"/>
      <c r="U13" s="60"/>
      <c r="V13" s="60"/>
      <c r="W13" s="60"/>
      <c r="Y13" s="26" t="s">
        <v>33</v>
      </c>
      <c r="Z13" s="27" t="s">
        <v>15</v>
      </c>
      <c r="AA13" s="28">
        <v>7950</v>
      </c>
      <c r="AC13" s="4"/>
      <c r="AD13" s="4"/>
      <c r="AE13" s="15"/>
      <c r="AF13" s="16"/>
      <c r="AG13" s="17"/>
      <c r="AH13" s="17"/>
    </row>
    <row r="14" spans="12:35" ht="13" customHeight="1" x14ac:dyDescent="0.35">
      <c r="L14" s="9" t="s">
        <v>34</v>
      </c>
      <c r="M14" s="61">
        <v>0.02</v>
      </c>
      <c r="N14" s="62">
        <f>IF(M7-N13&gt;10000,10000,M7-N13)</f>
        <v>10000</v>
      </c>
      <c r="O14" s="62">
        <f>N14*M14</f>
        <v>200</v>
      </c>
      <c r="P14" s="62">
        <f>IF(N7-P13&gt;10000,10000,N7-P13)</f>
        <v>10000</v>
      </c>
      <c r="Q14" s="62">
        <f t="shared" ref="Q14:Q23" si="0">P14*M14</f>
        <v>200</v>
      </c>
      <c r="R14" s="60"/>
      <c r="S14" s="60"/>
      <c r="T14" s="60"/>
      <c r="U14" s="60"/>
      <c r="V14" s="60"/>
      <c r="W14" s="60"/>
      <c r="Y14" s="26" t="s">
        <v>25</v>
      </c>
      <c r="Z14" s="27">
        <v>15</v>
      </c>
      <c r="AA14" s="28">
        <v>6000</v>
      </c>
      <c r="AC14" s="5"/>
      <c r="AD14" s="14"/>
      <c r="AE14" s="15"/>
      <c r="AF14" s="16"/>
      <c r="AG14" s="17"/>
      <c r="AH14" s="17"/>
    </row>
    <row r="15" spans="12:35" ht="13" customHeight="1" x14ac:dyDescent="0.35">
      <c r="L15" s="9" t="s">
        <v>35</v>
      </c>
      <c r="M15" s="63">
        <v>3.5000000000000003E-2</v>
      </c>
      <c r="N15" s="62">
        <f>IF(M7-N13-N14&gt;10000,10000,M7-N13-N14)</f>
        <v>10000</v>
      </c>
      <c r="O15" s="62">
        <f t="shared" ref="O15:O24" si="1">N15*M15</f>
        <v>350.00000000000006</v>
      </c>
      <c r="P15" s="62">
        <f>IF(N7-P13-P14&gt;10000,10000,N7-P13-P14)</f>
        <v>10000</v>
      </c>
      <c r="Q15" s="62">
        <f t="shared" si="0"/>
        <v>350.00000000000006</v>
      </c>
      <c r="R15" s="60"/>
      <c r="S15" s="60"/>
      <c r="T15" s="60"/>
      <c r="U15" s="60"/>
      <c r="V15" s="60"/>
      <c r="W15" s="60"/>
      <c r="Y15" s="26" t="s">
        <v>36</v>
      </c>
      <c r="Z15" s="27" t="s">
        <v>15</v>
      </c>
      <c r="AA15" s="28">
        <v>13950</v>
      </c>
      <c r="AC15" s="5"/>
      <c r="AD15" s="14"/>
      <c r="AE15" s="15"/>
      <c r="AF15" s="16"/>
      <c r="AG15" s="17"/>
      <c r="AH15" s="17"/>
    </row>
    <row r="16" spans="12:35" ht="13" customHeight="1" x14ac:dyDescent="0.35">
      <c r="L16" s="9" t="s">
        <v>37</v>
      </c>
      <c r="M16" s="61">
        <v>7.0000000000000007E-2</v>
      </c>
      <c r="N16" s="62">
        <f>IF(M7-N14-N15-N13&gt;40000,40000,M7-N14-N15-N13)</f>
        <v>40000</v>
      </c>
      <c r="O16" s="62">
        <f t="shared" si="1"/>
        <v>2800.0000000000005</v>
      </c>
      <c r="P16" s="62">
        <f>IF(N7-P14-P15-P13&gt;40000,40000,N7-P14-P15-P13)</f>
        <v>40000</v>
      </c>
      <c r="Q16" s="62">
        <f t="shared" si="0"/>
        <v>2800.0000000000005</v>
      </c>
      <c r="R16" s="60"/>
      <c r="S16" s="60"/>
      <c r="T16" s="60"/>
      <c r="U16" s="60"/>
      <c r="V16" s="60"/>
      <c r="W16" s="60"/>
      <c r="Y16" s="26" t="s">
        <v>25</v>
      </c>
      <c r="Z16" s="27">
        <v>18</v>
      </c>
      <c r="AA16" s="28">
        <v>7200</v>
      </c>
      <c r="AC16" s="5"/>
      <c r="AD16" s="29"/>
      <c r="AE16" s="15"/>
      <c r="AF16" s="16"/>
      <c r="AG16" s="17"/>
      <c r="AH16" s="17"/>
    </row>
    <row r="17" spans="12:34" ht="13" customHeight="1" x14ac:dyDescent="0.35">
      <c r="L17" s="9" t="s">
        <v>38</v>
      </c>
      <c r="M17" s="63">
        <v>0.115</v>
      </c>
      <c r="N17" s="62">
        <f>IF(M7=N13+N14+N15+N16,0,IF(M7-N13-N14-N15-N16&gt;40000,40000,M7-N13-N14-N15-N16))</f>
        <v>40000</v>
      </c>
      <c r="O17" s="62">
        <f t="shared" si="1"/>
        <v>4600</v>
      </c>
      <c r="P17" s="62">
        <f>IF(N7=P13+P14+P15+P16,0,IF(N7-P13-P14-P15-P16&gt;40000,40000,N7-P13-P14-P15-P16))</f>
        <v>40000</v>
      </c>
      <c r="Q17" s="62">
        <f>P17*M17</f>
        <v>4600</v>
      </c>
      <c r="R17" s="60"/>
      <c r="S17" s="60"/>
      <c r="T17" s="60"/>
      <c r="U17" s="60"/>
      <c r="V17" s="60"/>
      <c r="W17" s="60"/>
      <c r="Y17" s="13" t="s">
        <v>39</v>
      </c>
      <c r="Z17" s="64" t="s">
        <v>15</v>
      </c>
      <c r="AA17" s="13">
        <v>21150</v>
      </c>
      <c r="AC17" s="5"/>
      <c r="AD17" s="35"/>
      <c r="AE17" s="15"/>
      <c r="AF17" s="16"/>
      <c r="AG17" s="17"/>
      <c r="AH17" s="17"/>
    </row>
    <row r="18" spans="12:34" ht="13" customHeight="1" x14ac:dyDescent="0.35">
      <c r="L18" s="9" t="s">
        <v>40</v>
      </c>
      <c r="M18" s="63">
        <v>0.15</v>
      </c>
      <c r="N18" s="62">
        <f>IF(M7=N14+N15+N16+N17+N13,0,IF(M7-N14+N15+N16+N17+N13&gt;40000,40000,M7-N14-N15-N16-N17-N13))</f>
        <v>40000</v>
      </c>
      <c r="O18" s="62">
        <f t="shared" si="1"/>
        <v>6000</v>
      </c>
      <c r="P18" s="62">
        <f>IF(N7=P14+P15+P16+P17+P13,0,IF(N7-P14+P15+P16+P17+P13&gt;40000,40000,N7-P14-P15-P16-P17-P13))</f>
        <v>40000</v>
      </c>
      <c r="Q18" s="62">
        <f t="shared" si="0"/>
        <v>6000</v>
      </c>
      <c r="R18" s="60"/>
      <c r="S18" s="60"/>
      <c r="T18" s="60"/>
      <c r="U18" s="60"/>
      <c r="V18" s="60"/>
      <c r="W18" s="60"/>
      <c r="Y18" s="26" t="s">
        <v>25</v>
      </c>
      <c r="Z18" s="27">
        <v>19</v>
      </c>
      <c r="AA18" s="28">
        <v>7600</v>
      </c>
      <c r="AC18" s="5"/>
      <c r="AD18" s="35"/>
      <c r="AE18" s="15"/>
      <c r="AF18" s="16"/>
      <c r="AG18" s="17"/>
      <c r="AH18" s="17"/>
    </row>
    <row r="19" spans="12:34" ht="13" customHeight="1" x14ac:dyDescent="0.35">
      <c r="L19" s="9" t="s">
        <v>41</v>
      </c>
      <c r="M19" s="63">
        <v>0.18</v>
      </c>
      <c r="N19" s="62">
        <f>IF(M7=N14+N15+N16+N17+N13+N18,0,IF(M7-N14-N15-N16-N17-N13-N18&gt;40000,40000,M7-N14-N15-N16-N17-N13-N18))</f>
        <v>8000</v>
      </c>
      <c r="O19" s="62">
        <f t="shared" si="1"/>
        <v>1440</v>
      </c>
      <c r="P19" s="62">
        <f>IF(N7=P14+P15+P16+P17+P13+P18,0,IF(N7-P14-P15-P16-P17-P13-P18&gt;40000,40000,N7-P14-P15-P16-P17-P13-P18))</f>
        <v>-7300</v>
      </c>
      <c r="Q19" s="62">
        <f t="shared" si="0"/>
        <v>-1314</v>
      </c>
      <c r="R19" s="60"/>
      <c r="S19" s="60"/>
      <c r="T19" s="60"/>
      <c r="U19" s="60"/>
      <c r="V19" s="60"/>
      <c r="W19" s="60"/>
      <c r="Y19" s="26" t="s">
        <v>42</v>
      </c>
      <c r="Z19" s="27" t="s">
        <v>15</v>
      </c>
      <c r="AA19" s="28">
        <v>28750</v>
      </c>
      <c r="AC19" s="5"/>
      <c r="AD19" s="14"/>
      <c r="AE19" s="15"/>
      <c r="AF19" s="16"/>
      <c r="AG19" s="17"/>
      <c r="AH19" s="17"/>
    </row>
    <row r="20" spans="12:34" ht="13" customHeight="1" x14ac:dyDescent="0.35">
      <c r="L20" s="9" t="s">
        <v>43</v>
      </c>
      <c r="M20" s="63">
        <v>0.19</v>
      </c>
      <c r="N20" s="62">
        <f>IF(M7=N14+N15+N16+N17+N13+N18+N19,0,IF(M7-N14-N15-N16-N17-N13-N18-N19&gt;40000,40000,M7-N14-N15-N16-N17-N13-N18-N19))</f>
        <v>0</v>
      </c>
      <c r="O20" s="62">
        <f t="shared" si="1"/>
        <v>0</v>
      </c>
      <c r="P20" s="62">
        <f>IF(N7=P14+P15+P16+P17+P13+P18+P19,0,IF(N7-P14-P15-P16-P17-P13-P18-P19&gt;40000,40000,N7-P14-P15-P16-P17-P13-P18-P19))</f>
        <v>0</v>
      </c>
      <c r="Q20" s="62">
        <f t="shared" si="0"/>
        <v>0</v>
      </c>
      <c r="R20" s="60"/>
      <c r="S20" s="60"/>
      <c r="T20" s="60"/>
      <c r="U20" s="60"/>
      <c r="V20" s="60"/>
      <c r="W20" s="60"/>
      <c r="Y20" s="26" t="s">
        <v>25</v>
      </c>
      <c r="Z20" s="27">
        <v>19.5</v>
      </c>
      <c r="AA20" s="28">
        <v>7800</v>
      </c>
      <c r="AC20" s="5"/>
      <c r="AD20" s="14"/>
      <c r="AE20" s="15"/>
      <c r="AF20" s="16"/>
      <c r="AG20" s="17"/>
      <c r="AH20" s="17"/>
    </row>
    <row r="21" spans="12:34" ht="13" customHeight="1" x14ac:dyDescent="0.35">
      <c r="L21" s="9" t="s">
        <v>44</v>
      </c>
      <c r="M21" s="63">
        <v>0.19500000000000001</v>
      </c>
      <c r="N21" s="62">
        <f>IF(M7=N14+N15+N16+N17+N13+N18+N19+N20,0,IF(M7-N14-N15-N16-N17-N13-N18-N19-N20&gt;40000,40000,M7-N14-N15-N16-N17-N13-N18-N19-N20))</f>
        <v>0</v>
      </c>
      <c r="O21" s="62">
        <f t="shared" si="1"/>
        <v>0</v>
      </c>
      <c r="P21" s="62">
        <f>IF(N7=P14+P15+P16+P17+P13+P18+P19+P20,0,IF(N7-P14-P15-P16-P17-P13-P18-P19-P20&gt;40000,40000,N7-P14-P15-P16-P17-P13-P18-P19-P20))</f>
        <v>0</v>
      </c>
      <c r="Q21" s="62">
        <f t="shared" si="0"/>
        <v>0</v>
      </c>
      <c r="R21" s="60"/>
      <c r="S21" s="60"/>
      <c r="T21" s="60"/>
      <c r="U21" s="60"/>
      <c r="V21" s="60"/>
      <c r="W21" s="60"/>
      <c r="Y21" s="26" t="s">
        <v>45</v>
      </c>
      <c r="Z21" s="27" t="s">
        <v>15</v>
      </c>
      <c r="AA21" s="28">
        <v>36550</v>
      </c>
      <c r="AC21" s="5"/>
      <c r="AD21" s="14"/>
      <c r="AE21" s="15"/>
      <c r="AF21" s="16"/>
      <c r="AG21" s="17"/>
      <c r="AH21" s="17"/>
    </row>
    <row r="22" spans="12:34" ht="13" customHeight="1" x14ac:dyDescent="0.35">
      <c r="L22" s="9" t="s">
        <v>46</v>
      </c>
      <c r="M22" s="63">
        <v>0.2</v>
      </c>
      <c r="N22" s="62">
        <f>IF(M7=N14+N15+N16+N17+N13+N18+N19+N20+N21,0,IF(M7-N14-N15-N16-N17-N13-N18-N19-N20-N21&gt;40000,40000,M7-N14-N15-N16-N17-N13-N18-N19-N20-N21))</f>
        <v>0</v>
      </c>
      <c r="O22" s="62">
        <f t="shared" si="1"/>
        <v>0</v>
      </c>
      <c r="P22" s="62">
        <f>IF(N7=P14+P15+P16+P17+P13+P18+P19+P20+P21,0,IF(N7-P14-P15-P16-P17-P13-P18-P19-P20-P21&gt;40000,40000,N7-P14-P15-P16-P17-P13-P18-P19-P20-P21))</f>
        <v>0</v>
      </c>
      <c r="Q22" s="62">
        <f t="shared" si="0"/>
        <v>0</v>
      </c>
      <c r="R22" s="60"/>
      <c r="S22" s="60"/>
      <c r="T22" s="60"/>
      <c r="U22" s="60"/>
      <c r="V22" s="60"/>
      <c r="W22" s="60"/>
      <c r="Y22" s="45" t="s">
        <v>25</v>
      </c>
      <c r="Z22" s="46">
        <v>20</v>
      </c>
      <c r="AA22" s="47">
        <v>8000</v>
      </c>
      <c r="AC22" s="15"/>
      <c r="AD22" s="15"/>
      <c r="AE22" s="15"/>
      <c r="AF22" s="16"/>
      <c r="AG22" s="17"/>
      <c r="AH22" s="17"/>
    </row>
    <row r="23" spans="12:34" ht="13" customHeight="1" x14ac:dyDescent="0.35">
      <c r="L23" s="9" t="s">
        <v>47</v>
      </c>
      <c r="M23" s="63">
        <v>0.22</v>
      </c>
      <c r="N23" s="62">
        <f>IF(M7=N14+N15+N16+N17+N13+N18+N19+N20+N21+N22,0,IF(M7-N14-N15-N16-N17-N13-N18-N19-N20-N21-N22&gt;180000,180000,M7-N14-N15-N16-N17-N13-N18-N19-N20-N21-N22))</f>
        <v>0</v>
      </c>
      <c r="O23" s="62">
        <f t="shared" si="1"/>
        <v>0</v>
      </c>
      <c r="P23" s="62">
        <f>IF(N7=P14+P15+P16+P17+P13+P18+P19+P20+P21+P22,0,IF(N7-P14-P15-P16-P17-P13-P18-P19-P20-P21-P22&gt;180000,180000,N7-P14-P15-P16-P17-P13-P18-P19-P20-P21-P22))</f>
        <v>0</v>
      </c>
      <c r="Q23" s="62">
        <f t="shared" si="0"/>
        <v>0</v>
      </c>
      <c r="R23" s="60"/>
      <c r="S23" s="60"/>
      <c r="T23" s="60"/>
      <c r="U23" s="60"/>
      <c r="V23" s="60"/>
      <c r="W23" s="60"/>
      <c r="Y23" s="13" t="s">
        <v>48</v>
      </c>
      <c r="Z23" s="64" t="s">
        <v>15</v>
      </c>
      <c r="AA23" s="13">
        <v>44550</v>
      </c>
      <c r="AC23" s="4"/>
      <c r="AD23" s="4"/>
      <c r="AE23" s="15"/>
      <c r="AF23" s="16"/>
      <c r="AG23" s="17"/>
      <c r="AH23" s="17"/>
    </row>
    <row r="24" spans="12:34" ht="13" customHeight="1" x14ac:dyDescent="0.35">
      <c r="L24" s="9" t="s">
        <v>49</v>
      </c>
      <c r="M24" s="63">
        <v>0.23</v>
      </c>
      <c r="N24" s="62">
        <f>IF(M7=N14+N15+N16+N17+N13+N18+N19+N20+N21+N22+N23,0,IF(M7-N14-N15-N16-N17-N13-N18-N19-N20-N21-N22-N23&gt;500000,500000,M7-N14-N15-N16-N17-N13-N18-N19-N20-N21-N22-N23))</f>
        <v>0</v>
      </c>
      <c r="O24" s="62">
        <f t="shared" si="1"/>
        <v>0</v>
      </c>
      <c r="P24" s="62">
        <f>IF(N7=P14+P15+P16+P17+P13+P18+P19+P20+P21+P22+P23,0,IF(N7-P14-P15-P16-P17-P13-P18-P19-P20-P21-P22-P23&gt;500000,500000,N7-P14-P15-P16-P17-P13-P18-P19-P20-P21-P22-P23))</f>
        <v>0</v>
      </c>
      <c r="Q24" s="62">
        <f>P24*M24</f>
        <v>0</v>
      </c>
      <c r="R24" s="60"/>
      <c r="S24" s="60"/>
      <c r="T24" s="60"/>
      <c r="U24" s="60"/>
      <c r="V24" s="60"/>
      <c r="W24" s="60"/>
      <c r="Y24" s="26" t="s">
        <v>50</v>
      </c>
      <c r="Z24" s="27">
        <v>22</v>
      </c>
      <c r="AA24" s="28">
        <v>39600</v>
      </c>
      <c r="AC24" s="5"/>
      <c r="AD24" s="14"/>
      <c r="AE24" s="15"/>
      <c r="AF24" s="16"/>
      <c r="AG24" s="17"/>
      <c r="AH24" s="17"/>
    </row>
    <row r="25" spans="12:34" ht="13" customHeight="1" x14ac:dyDescent="0.35">
      <c r="L25" s="9" t="s">
        <v>51</v>
      </c>
      <c r="M25" s="63">
        <v>0.24</v>
      </c>
      <c r="N25" s="62">
        <f>IF(M7-SUM(N13:N24)&gt;0,M7-SUM(N13:N24),0)</f>
        <v>0</v>
      </c>
      <c r="O25" s="62">
        <f>N25*M25</f>
        <v>0</v>
      </c>
      <c r="P25" s="62">
        <f>IF(N7-SUM(P13:P24)&gt;0,N7-SUM(P13:P24),0)</f>
        <v>0</v>
      </c>
      <c r="Q25" s="62">
        <f>P25*M25</f>
        <v>0</v>
      </c>
      <c r="R25" s="60"/>
      <c r="S25" s="65"/>
      <c r="T25" s="65"/>
      <c r="U25" s="65"/>
      <c r="V25" s="65"/>
      <c r="W25" s="65"/>
      <c r="Y25" s="26" t="s">
        <v>52</v>
      </c>
      <c r="Z25" s="27" t="s">
        <v>15</v>
      </c>
      <c r="AA25" s="28">
        <v>84150</v>
      </c>
      <c r="AC25" s="5"/>
      <c r="AD25" s="14"/>
      <c r="AE25" s="15"/>
      <c r="AF25" s="16"/>
      <c r="AG25" s="17"/>
      <c r="AH25" s="17"/>
    </row>
    <row r="26" spans="12:34" ht="13" customHeight="1" x14ac:dyDescent="0.35">
      <c r="L26" s="9" t="s">
        <v>24</v>
      </c>
      <c r="M26" s="66"/>
      <c r="N26" s="62">
        <f>SUM(N13:N25)</f>
        <v>168000</v>
      </c>
      <c r="O26" s="62">
        <f>SUM(O13:O25)</f>
        <v>15390</v>
      </c>
      <c r="P26" s="62">
        <f>SUM(P13:P25)</f>
        <v>152700</v>
      </c>
      <c r="Q26" s="62">
        <f>SUM(Q13:Q25)</f>
        <v>12636</v>
      </c>
      <c r="R26" s="65"/>
      <c r="S26" s="65"/>
      <c r="T26" s="65"/>
      <c r="U26" s="65"/>
      <c r="V26" s="65"/>
      <c r="W26" s="65"/>
      <c r="Y26" s="26" t="s">
        <v>53</v>
      </c>
      <c r="Z26" s="27">
        <v>23</v>
      </c>
      <c r="AA26" s="28">
        <v>115000</v>
      </c>
      <c r="AC26" s="5"/>
      <c r="AD26" s="29"/>
      <c r="AE26" s="15"/>
      <c r="AF26" s="16"/>
      <c r="AG26" s="17"/>
      <c r="AH26" s="17"/>
    </row>
    <row r="27" spans="12:34" ht="13" customHeight="1" x14ac:dyDescent="0.35">
      <c r="L27" s="51"/>
      <c r="M27" s="65"/>
      <c r="N27" s="60"/>
      <c r="O27" s="60"/>
      <c r="P27" s="60"/>
      <c r="Q27" s="60"/>
      <c r="R27" s="65"/>
      <c r="S27" s="65"/>
      <c r="T27" s="65"/>
      <c r="U27" s="65"/>
      <c r="V27" s="65"/>
      <c r="W27" s="65"/>
      <c r="Y27" s="26" t="s">
        <v>54</v>
      </c>
      <c r="Z27" s="27" t="s">
        <v>15</v>
      </c>
      <c r="AA27" s="28">
        <v>199150</v>
      </c>
      <c r="AC27" s="5"/>
      <c r="AD27" s="35"/>
      <c r="AE27" s="15"/>
      <c r="AF27" s="16"/>
      <c r="AG27" s="17"/>
      <c r="AH27" s="17"/>
    </row>
    <row r="28" spans="12:34" ht="13" customHeight="1" x14ac:dyDescent="0.35">
      <c r="L28" s="67"/>
      <c r="M28" s="68" t="s">
        <v>55</v>
      </c>
      <c r="N28" s="69"/>
      <c r="O28" s="69"/>
      <c r="P28" s="69" t="s">
        <v>56</v>
      </c>
      <c r="Q28" s="70">
        <f>15300*10</f>
        <v>153000</v>
      </c>
      <c r="R28" s="69"/>
      <c r="S28" s="69"/>
      <c r="T28" s="69"/>
      <c r="U28" s="69"/>
      <c r="V28" s="69"/>
      <c r="W28" s="71"/>
      <c r="Y28" s="45" t="s">
        <v>57</v>
      </c>
      <c r="Z28" s="46">
        <v>24</v>
      </c>
      <c r="AA28" s="47"/>
      <c r="AC28" s="5"/>
      <c r="AD28" s="35"/>
      <c r="AE28" s="15"/>
      <c r="AF28" s="16"/>
      <c r="AG28" s="17"/>
      <c r="AH28" s="17"/>
    </row>
    <row r="29" spans="12:34" ht="13" customHeight="1" x14ac:dyDescent="0.35">
      <c r="L29" s="67" t="s">
        <v>58</v>
      </c>
      <c r="M29" s="72">
        <v>62</v>
      </c>
      <c r="N29" s="72">
        <v>63</v>
      </c>
      <c r="O29" s="72">
        <v>64</v>
      </c>
      <c r="P29" s="72">
        <v>65</v>
      </c>
      <c r="Q29" s="72">
        <v>66</v>
      </c>
      <c r="R29" s="72">
        <v>67</v>
      </c>
      <c r="S29" s="72">
        <v>68</v>
      </c>
      <c r="T29" s="72">
        <v>69</v>
      </c>
      <c r="U29" s="72">
        <v>70</v>
      </c>
      <c r="V29" s="72">
        <v>71</v>
      </c>
      <c r="W29" s="73"/>
      <c r="AC29" s="5"/>
      <c r="AD29" s="14"/>
      <c r="AE29" s="15"/>
      <c r="AF29" s="16"/>
      <c r="AG29" s="17"/>
      <c r="AH29" s="17"/>
    </row>
    <row r="30" spans="12:34" ht="13" customHeight="1" x14ac:dyDescent="0.35">
      <c r="L30" s="67" t="s">
        <v>59</v>
      </c>
      <c r="M30" s="30">
        <f>$Q$28/10</f>
        <v>15300</v>
      </c>
      <c r="N30" s="30">
        <f t="shared" ref="N30:V30" si="2">$Q$28/10</f>
        <v>15300</v>
      </c>
      <c r="O30" s="30">
        <f t="shared" si="2"/>
        <v>15300</v>
      </c>
      <c r="P30" s="30">
        <f t="shared" si="2"/>
        <v>15300</v>
      </c>
      <c r="Q30" s="30">
        <f t="shared" si="2"/>
        <v>15300</v>
      </c>
      <c r="R30" s="30">
        <f t="shared" si="2"/>
        <v>15300</v>
      </c>
      <c r="S30" s="30">
        <f t="shared" si="2"/>
        <v>15300</v>
      </c>
      <c r="T30" s="30">
        <f t="shared" si="2"/>
        <v>15300</v>
      </c>
      <c r="U30" s="30">
        <f t="shared" si="2"/>
        <v>15300</v>
      </c>
      <c r="V30" s="30">
        <f t="shared" si="2"/>
        <v>15300</v>
      </c>
      <c r="W30" s="33"/>
      <c r="AC30" s="5"/>
      <c r="AD30" s="14"/>
      <c r="AE30" s="15"/>
      <c r="AF30" s="16"/>
      <c r="AG30" s="17"/>
      <c r="AH30" s="17"/>
    </row>
    <row r="31" spans="12:34" ht="13" customHeight="1" x14ac:dyDescent="0.35">
      <c r="L31" s="74" t="s">
        <v>60</v>
      </c>
      <c r="M31" s="75"/>
      <c r="N31" s="75"/>
      <c r="O31" s="75"/>
      <c r="P31" s="75"/>
      <c r="Q31" s="75"/>
      <c r="R31" s="75"/>
      <c r="S31" s="75"/>
      <c r="T31" s="75"/>
      <c r="U31" s="75"/>
      <c r="V31" s="76"/>
      <c r="W31" s="33"/>
      <c r="AC31" s="5"/>
      <c r="AD31" s="14"/>
      <c r="AE31" s="15"/>
      <c r="AF31" s="16"/>
      <c r="AG31" s="17"/>
      <c r="AH31" s="17"/>
    </row>
    <row r="32" spans="12:34" ht="13" customHeight="1" x14ac:dyDescent="0.35">
      <c r="L32" s="67" t="s">
        <v>61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f>50%*R31</f>
        <v>0</v>
      </c>
      <c r="S32" s="30">
        <v>0</v>
      </c>
      <c r="T32" s="30">
        <v>0</v>
      </c>
      <c r="U32" s="30">
        <v>0</v>
      </c>
      <c r="V32" s="30">
        <v>0</v>
      </c>
      <c r="W32" s="33"/>
      <c r="AE32" s="15"/>
      <c r="AF32" s="16"/>
      <c r="AG32" s="17"/>
      <c r="AH32" s="17"/>
    </row>
    <row r="33" spans="12:34" ht="13" customHeight="1" x14ac:dyDescent="0.35">
      <c r="X33" s="77"/>
      <c r="Y33" s="77"/>
      <c r="AC33" s="5"/>
      <c r="AD33" s="14"/>
      <c r="AE33" s="15"/>
      <c r="AF33" s="16"/>
      <c r="AG33" s="17"/>
      <c r="AH33" s="17"/>
    </row>
    <row r="34" spans="12:34" ht="13" customHeight="1" x14ac:dyDescent="0.35">
      <c r="L34" s="78"/>
      <c r="M34" s="78"/>
      <c r="N34" s="78"/>
      <c r="O34" s="78"/>
      <c r="P34" s="78"/>
      <c r="Q34" s="78"/>
      <c r="R34" s="78"/>
      <c r="S34" s="78"/>
      <c r="T34" s="78"/>
      <c r="U34" s="78"/>
      <c r="X34" s="79"/>
      <c r="Y34" s="80"/>
      <c r="AC34" s="5"/>
      <c r="AD34" s="16"/>
      <c r="AE34" s="15"/>
      <c r="AF34" s="81"/>
      <c r="AG34" s="15"/>
      <c r="AH34" s="15"/>
    </row>
    <row r="35" spans="12:34" ht="13" customHeight="1" x14ac:dyDescent="0.35">
      <c r="L35" s="77"/>
      <c r="M35" s="77"/>
      <c r="N35" s="82"/>
      <c r="O35" s="82"/>
      <c r="P35" s="83"/>
      <c r="Q35" s="82"/>
      <c r="R35" s="83"/>
      <c r="S35" s="82"/>
      <c r="T35" s="84"/>
      <c r="U35" s="85"/>
      <c r="X35" s="79"/>
      <c r="Y35" s="80"/>
      <c r="AC35" s="5"/>
      <c r="AD35" s="35"/>
      <c r="AE35" s="15"/>
      <c r="AF35" s="81"/>
      <c r="AG35" s="15"/>
      <c r="AH35" s="15"/>
    </row>
    <row r="36" spans="12:34" ht="13" customHeight="1" x14ac:dyDescent="0.35">
      <c r="L36" s="77"/>
      <c r="M36" s="77"/>
      <c r="N36" s="82"/>
      <c r="O36" s="82"/>
      <c r="P36" s="83"/>
      <c r="Q36" s="82"/>
      <c r="R36" s="83"/>
      <c r="S36" s="82"/>
      <c r="T36" s="84"/>
      <c r="U36" s="85"/>
      <c r="X36" s="79"/>
      <c r="Y36" s="80"/>
      <c r="AC36" s="5"/>
      <c r="AD36" s="14"/>
    </row>
    <row r="37" spans="12:34" ht="13" customHeight="1" x14ac:dyDescent="0.35">
      <c r="L37" s="77"/>
      <c r="M37" s="77"/>
      <c r="N37" s="82"/>
      <c r="O37" s="82"/>
      <c r="P37" s="83"/>
      <c r="Q37" s="82"/>
      <c r="R37" s="83"/>
      <c r="S37" s="82"/>
      <c r="T37" s="82"/>
      <c r="U37" s="85"/>
      <c r="AC37" s="6"/>
      <c r="AD37" s="14"/>
    </row>
    <row r="38" spans="12:34" ht="13" customHeight="1" x14ac:dyDescent="0.35">
      <c r="AC38" s="5"/>
      <c r="AD38" s="14"/>
    </row>
    <row r="40" spans="12:34" ht="24.5" customHeight="1" x14ac:dyDescent="0.35">
      <c r="L40" s="86"/>
      <c r="M40" s="87"/>
    </row>
    <row r="41" spans="12:34" ht="13" customHeight="1" x14ac:dyDescent="0.35">
      <c r="L41" s="88"/>
      <c r="M41" s="89"/>
    </row>
    <row r="43" spans="12:34" ht="13" customHeight="1" x14ac:dyDescent="0.35">
      <c r="L43" s="90"/>
      <c r="M43" s="91"/>
    </row>
    <row r="44" spans="12:34" ht="13" customHeight="1" x14ac:dyDescent="0.35">
      <c r="L44" s="92"/>
      <c r="M44" s="93"/>
      <c r="O44" s="94"/>
      <c r="P44" s="94"/>
    </row>
    <row r="45" spans="12:34" ht="13" customHeight="1" x14ac:dyDescent="0.35">
      <c r="L45" s="92"/>
      <c r="M45" s="93"/>
      <c r="O45" s="94"/>
      <c r="P45" s="94"/>
    </row>
    <row r="46" spans="12:34" ht="13" customHeight="1" x14ac:dyDescent="0.35">
      <c r="L46" s="92"/>
      <c r="M46" s="93"/>
    </row>
  </sheetData>
  <mergeCells count="14">
    <mergeCell ref="L46:M46"/>
    <mergeCell ref="L31:V31"/>
    <mergeCell ref="L40:M40"/>
    <mergeCell ref="L43:M43"/>
    <mergeCell ref="L44:M44"/>
    <mergeCell ref="O44:P44"/>
    <mergeCell ref="L45:M45"/>
    <mergeCell ref="O45:P45"/>
    <mergeCell ref="Y1:AA1"/>
    <mergeCell ref="AC1:AD1"/>
    <mergeCell ref="O8:R8"/>
    <mergeCell ref="L11:O11"/>
    <mergeCell ref="AC13:AD13"/>
    <mergeCell ref="AC23:AD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Retirement Dashboard</vt:lpstr>
      <vt:lpstr>CPF TB</vt:lpstr>
      <vt:lpstr>SRS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Lavender</dc:creator>
  <cp:lastModifiedBy>Cecilia Lavender</cp:lastModifiedBy>
  <dcterms:created xsi:type="dcterms:W3CDTF">2026-06-10T00:55:01Z</dcterms:created>
  <dcterms:modified xsi:type="dcterms:W3CDTF">2026-06-10T01:13:05Z</dcterms:modified>
</cp:coreProperties>
</file>