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823b2345a6de47/Documents/VerdeLog/Apuracoes/Transporte/"/>
    </mc:Choice>
  </mc:AlternateContent>
  <xr:revisionPtr revIDLastSave="0" documentId="13_ncr:4000b_{F1E0C85C-8C49-564E-8449-057F95911940}" xr6:coauthVersionLast="47" xr6:coauthVersionMax="47" xr10:uidLastSave="{00000000-0000-0000-0000-000000000000}"/>
  <bookViews>
    <workbookView xWindow="10720" yWindow="500" windowWidth="28800" windowHeight="18000"/>
  </bookViews>
  <sheets>
    <sheet name="LOGPRODUZIR" sheetId="1" r:id="rId1"/>
    <sheet name="Cálculo-Log" sheetId="5" state="hidden" r:id="rId2"/>
    <sheet name="Sheet1" sheetId="2" state="hidden" r:id="rId3"/>
    <sheet name="Sheet2" sheetId="3" state="hidden" r:id="rId4"/>
    <sheet name="Sheet3" sheetId="4" state="hidden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H27" i="1"/>
  <c r="F27" i="1" s="1"/>
  <c r="I27" i="1" s="1"/>
  <c r="G27" i="1" s="1"/>
  <c r="M27" i="1"/>
  <c r="M26" i="1"/>
  <c r="H26" i="1"/>
  <c r="F26" i="1" s="1"/>
  <c r="C13" i="5"/>
  <c r="V12" i="5"/>
  <c r="V13" i="5" s="1"/>
  <c r="U12" i="5"/>
  <c r="U13" i="5" s="1"/>
  <c r="T12" i="5"/>
  <c r="T13" i="5" s="1"/>
  <c r="S12" i="5"/>
  <c r="S13" i="5" s="1"/>
  <c r="R12" i="5"/>
  <c r="R13" i="5" s="1"/>
  <c r="Q12" i="5"/>
  <c r="Q13" i="5" s="1"/>
  <c r="P12" i="5"/>
  <c r="P13" i="5" s="1"/>
  <c r="O12" i="5"/>
  <c r="O13" i="5" s="1"/>
  <c r="N12" i="5"/>
  <c r="N13" i="5" s="1"/>
  <c r="M12" i="5"/>
  <c r="M13" i="5" s="1"/>
  <c r="L12" i="5"/>
  <c r="L13" i="5" s="1"/>
  <c r="K12" i="5"/>
  <c r="K13" i="5" s="1"/>
  <c r="J12" i="5"/>
  <c r="J13" i="5" s="1"/>
  <c r="I12" i="5"/>
  <c r="I13" i="5" s="1"/>
  <c r="H12" i="5"/>
  <c r="H13" i="5" s="1"/>
  <c r="G12" i="5"/>
  <c r="G13" i="5" s="1"/>
  <c r="F12" i="5"/>
  <c r="F13" i="5" s="1"/>
  <c r="E12" i="5"/>
  <c r="E13" i="5" s="1"/>
  <c r="D12" i="5"/>
  <c r="D13" i="5" s="1"/>
  <c r="V8" i="5"/>
  <c r="U8" i="5"/>
  <c r="T8" i="5"/>
  <c r="N8" i="5"/>
  <c r="M8" i="5"/>
  <c r="L8" i="5"/>
  <c r="K8" i="5"/>
  <c r="K10" i="5" s="1"/>
  <c r="K14" i="5" s="1"/>
  <c r="J8" i="5"/>
  <c r="J10" i="5" s="1"/>
  <c r="J14" i="5" s="1"/>
  <c r="G8" i="5"/>
  <c r="G10" i="5" s="1"/>
  <c r="G14" i="5" s="1"/>
  <c r="F8" i="5"/>
  <c r="F10" i="5" s="1"/>
  <c r="F14" i="5" s="1"/>
  <c r="D8" i="5"/>
  <c r="C8" i="5"/>
  <c r="V6" i="5"/>
  <c r="U6" i="5"/>
  <c r="T6" i="5"/>
  <c r="N6" i="5"/>
  <c r="M6" i="5"/>
  <c r="L6" i="5"/>
  <c r="K6" i="5"/>
  <c r="K9" i="5" s="1"/>
  <c r="K7" i="5" s="1"/>
  <c r="J6" i="5"/>
  <c r="G6" i="5"/>
  <c r="F6" i="5"/>
  <c r="F9" i="5" s="1"/>
  <c r="F7" i="5" s="1"/>
  <c r="D6" i="5"/>
  <c r="D9" i="5" s="1"/>
  <c r="D7" i="5" s="1"/>
  <c r="C6" i="5"/>
  <c r="C9" i="5" s="1"/>
  <c r="C7" i="5" s="1"/>
  <c r="Q5" i="5"/>
  <c r="P5" i="5"/>
  <c r="O5" i="5"/>
  <c r="K5" i="5"/>
  <c r="J5" i="5"/>
  <c r="J9" i="5" s="1"/>
  <c r="J7" i="5" s="1"/>
  <c r="G5" i="5"/>
  <c r="G9" i="5" s="1"/>
  <c r="G7" i="5" s="1"/>
  <c r="F5" i="5"/>
  <c r="V4" i="5"/>
  <c r="V5" i="5" s="1"/>
  <c r="U4" i="5"/>
  <c r="T4" i="5"/>
  <c r="S4" i="5"/>
  <c r="R4" i="5"/>
  <c r="Q4" i="5"/>
  <c r="P4" i="5"/>
  <c r="O4" i="5"/>
  <c r="N4" i="5"/>
  <c r="N5" i="5" s="1"/>
  <c r="M4" i="5"/>
  <c r="L4" i="5"/>
  <c r="F4" i="5"/>
  <c r="E4" i="5"/>
  <c r="D4" i="5"/>
  <c r="V3" i="5"/>
  <c r="U3" i="5"/>
  <c r="U5" i="5" s="1"/>
  <c r="T3" i="5"/>
  <c r="T5" i="5" s="1"/>
  <c r="S3" i="5"/>
  <c r="S8" i="5" s="1"/>
  <c r="R3" i="5"/>
  <c r="R8" i="5" s="1"/>
  <c r="Q3" i="5"/>
  <c r="Q8" i="5" s="1"/>
  <c r="P3" i="5"/>
  <c r="P8" i="5" s="1"/>
  <c r="O3" i="5"/>
  <c r="O8" i="5" s="1"/>
  <c r="N3" i="5"/>
  <c r="M3" i="5"/>
  <c r="M5" i="5" s="1"/>
  <c r="L3" i="5"/>
  <c r="L5" i="5" s="1"/>
  <c r="I3" i="5"/>
  <c r="I5" i="5" s="1"/>
  <c r="H3" i="5"/>
  <c r="H5" i="5" s="1"/>
  <c r="F3" i="5"/>
  <c r="E3" i="5"/>
  <c r="E8" i="5" s="1"/>
  <c r="D3" i="5"/>
  <c r="D5" i="5" s="1"/>
  <c r="C3" i="5"/>
  <c r="C5" i="5" s="1"/>
  <c r="J27" i="1" l="1"/>
  <c r="N27" i="1" s="1"/>
  <c r="E26" i="1"/>
  <c r="I26" i="1" s="1"/>
  <c r="E6" i="5"/>
  <c r="P6" i="5"/>
  <c r="P9" i="5" s="1"/>
  <c r="P7" i="5" s="1"/>
  <c r="C10" i="5"/>
  <c r="C14" i="5" s="1"/>
  <c r="Q6" i="5"/>
  <c r="Q9" i="5" s="1"/>
  <c r="Q7" i="5" s="1"/>
  <c r="D10" i="5"/>
  <c r="D14" i="5" s="1"/>
  <c r="T10" i="5"/>
  <c r="T14" i="5" s="1"/>
  <c r="R6" i="5"/>
  <c r="R9" i="5" s="1"/>
  <c r="R7" i="5" s="1"/>
  <c r="L9" i="5"/>
  <c r="L7" i="5" s="1"/>
  <c r="F15" i="5"/>
  <c r="F16" i="5"/>
  <c r="U10" i="5"/>
  <c r="U14" i="5" s="1"/>
  <c r="S6" i="5"/>
  <c r="M9" i="5"/>
  <c r="M7" i="5" s="1"/>
  <c r="G15" i="5"/>
  <c r="G16" i="5" s="1"/>
  <c r="G17" i="5" s="1"/>
  <c r="V10" i="5"/>
  <c r="V14" i="5" s="1"/>
  <c r="N9" i="5"/>
  <c r="N7" i="5" s="1"/>
  <c r="J16" i="5"/>
  <c r="J17" i="5" s="1"/>
  <c r="J15" i="5"/>
  <c r="T17" i="5"/>
  <c r="T9" i="5"/>
  <c r="T7" i="5" s="1"/>
  <c r="K15" i="5"/>
  <c r="K16" i="5"/>
  <c r="K17" i="5" s="1"/>
  <c r="U9" i="5"/>
  <c r="U7" i="5" s="1"/>
  <c r="L10" i="5"/>
  <c r="L14" i="5" s="1"/>
  <c r="F17" i="5"/>
  <c r="O10" i="5"/>
  <c r="O14" i="5" s="1"/>
  <c r="O6" i="5"/>
  <c r="O9" i="5" s="1"/>
  <c r="O7" i="5" s="1"/>
  <c r="V9" i="5"/>
  <c r="V7" i="5" s="1"/>
  <c r="M10" i="5"/>
  <c r="M14" i="5" s="1"/>
  <c r="R5" i="5"/>
  <c r="S5" i="5"/>
  <c r="H8" i="5"/>
  <c r="E5" i="5"/>
  <c r="I8" i="5"/>
  <c r="O27" i="1" l="1"/>
  <c r="P27" i="1"/>
  <c r="Q27" i="1"/>
  <c r="G26" i="1"/>
  <c r="J26" i="1"/>
  <c r="N26" i="1" s="1"/>
  <c r="O26" i="1" s="1"/>
  <c r="V17" i="5"/>
  <c r="R10" i="5"/>
  <c r="O15" i="5"/>
  <c r="O16" i="5" s="1"/>
  <c r="S9" i="5"/>
  <c r="C17" i="5"/>
  <c r="N10" i="5"/>
  <c r="O17" i="5"/>
  <c r="C15" i="5"/>
  <c r="C16" i="5"/>
  <c r="L15" i="5"/>
  <c r="L16" i="5"/>
  <c r="V15" i="5"/>
  <c r="V16" i="5"/>
  <c r="U15" i="5"/>
  <c r="U16" i="5"/>
  <c r="T15" i="5"/>
  <c r="T16" i="5"/>
  <c r="I6" i="5"/>
  <c r="I9" i="5" s="1"/>
  <c r="I7" i="5" s="1"/>
  <c r="M15" i="5"/>
  <c r="M16" i="5"/>
  <c r="L17" i="5"/>
  <c r="D15" i="5"/>
  <c r="D16" i="5" s="1"/>
  <c r="D17" i="5" s="1"/>
  <c r="P10" i="5"/>
  <c r="U17" i="5"/>
  <c r="E9" i="5"/>
  <c r="H6" i="5"/>
  <c r="H9" i="5" s="1"/>
  <c r="H7" i="5" s="1"/>
  <c r="M17" i="5"/>
  <c r="Q10" i="5"/>
  <c r="P26" i="1" l="1"/>
  <c r="Q26" i="1" s="1"/>
  <c r="P14" i="5"/>
  <c r="P17" i="5"/>
  <c r="R14" i="5"/>
  <c r="R17" i="5"/>
  <c r="N14" i="5"/>
  <c r="N17" i="5"/>
  <c r="H10" i="5"/>
  <c r="E7" i="5"/>
  <c r="E10" i="5"/>
  <c r="S7" i="5"/>
  <c r="S10" i="5"/>
  <c r="I10" i="5"/>
  <c r="Q14" i="5"/>
  <c r="Q17" i="5"/>
  <c r="H14" i="5" l="1"/>
  <c r="Q15" i="5"/>
  <c r="Q16" i="5" s="1"/>
  <c r="N15" i="5"/>
  <c r="N16" i="5" s="1"/>
  <c r="I14" i="5"/>
  <c r="S14" i="5"/>
  <c r="S17" i="5"/>
  <c r="R15" i="5"/>
  <c r="R16" i="5" s="1"/>
  <c r="E14" i="5"/>
  <c r="P15" i="5"/>
  <c r="P16" i="5" s="1"/>
  <c r="I15" i="5" l="1"/>
  <c r="I16" i="5" s="1"/>
  <c r="I17" i="5" s="1"/>
  <c r="E15" i="5"/>
  <c r="E16" i="5"/>
  <c r="E17" i="5" s="1"/>
  <c r="S15" i="5"/>
  <c r="S16" i="5"/>
  <c r="H15" i="5"/>
  <c r="H16" i="5" s="1"/>
  <c r="H17" i="5" s="1"/>
  <c r="K26" i="2" l="1"/>
  <c r="L26" i="2" s="1"/>
  <c r="D26" i="2"/>
  <c r="K25" i="2"/>
  <c r="L25" i="2" s="1"/>
  <c r="G25" i="2"/>
  <c r="D25" i="2"/>
  <c r="K24" i="2"/>
  <c r="L24" i="2" s="1"/>
  <c r="G24" i="2"/>
  <c r="D24" i="2"/>
  <c r="K23" i="2"/>
  <c r="L23" i="2" s="1"/>
  <c r="D23" i="2"/>
  <c r="K22" i="2"/>
  <c r="L22" i="2" s="1"/>
  <c r="D22" i="2"/>
  <c r="L21" i="2"/>
  <c r="K21" i="2"/>
  <c r="D21" i="2"/>
  <c r="K20" i="2"/>
  <c r="L20" i="2" s="1"/>
  <c r="D20" i="2"/>
  <c r="K19" i="2"/>
  <c r="L19" i="2" s="1"/>
  <c r="D19" i="2"/>
  <c r="K18" i="2"/>
  <c r="L18" i="2" s="1"/>
  <c r="D18" i="2"/>
  <c r="K17" i="2"/>
  <c r="L17" i="2" s="1"/>
  <c r="D17" i="2"/>
  <c r="K16" i="2"/>
  <c r="L16" i="2" s="1"/>
  <c r="D16" i="2"/>
  <c r="L15" i="2"/>
  <c r="M15" i="2"/>
  <c r="O15" i="2" s="1"/>
  <c r="K15" i="2"/>
  <c r="D15" i="2"/>
  <c r="K14" i="2"/>
  <c r="L14" i="2" s="1"/>
  <c r="D14" i="2"/>
  <c r="L13" i="2"/>
  <c r="M13" i="2"/>
  <c r="O13" i="2" s="1"/>
  <c r="K13" i="2"/>
  <c r="D13" i="2"/>
  <c r="K12" i="2"/>
  <c r="L12" i="2" s="1"/>
  <c r="D12" i="2"/>
  <c r="L11" i="2"/>
  <c r="M11" i="2"/>
  <c r="O11" i="2" s="1"/>
  <c r="K11" i="2"/>
  <c r="D11" i="2"/>
  <c r="K10" i="2"/>
  <c r="L10" i="2" s="1"/>
  <c r="D10" i="2"/>
  <c r="L9" i="2"/>
  <c r="M9" i="2"/>
  <c r="O9" i="2" s="1"/>
  <c r="K9" i="2"/>
  <c r="D9" i="2"/>
  <c r="M8" i="2"/>
  <c r="N8" i="2" s="1"/>
  <c r="K8" i="2"/>
  <c r="G8" i="2"/>
  <c r="O8" i="2"/>
  <c r="D8" i="2"/>
  <c r="K7" i="2"/>
  <c r="L7" i="2" s="1"/>
  <c r="G7" i="2"/>
  <c r="D7" i="2"/>
  <c r="K6" i="2"/>
  <c r="L6" i="2" s="1"/>
  <c r="G6" i="2"/>
  <c r="D6" i="2"/>
  <c r="N9" i="2"/>
  <c r="N11" i="2"/>
  <c r="N13" i="2"/>
  <c r="N15" i="2"/>
  <c r="N6" i="2" l="1"/>
  <c r="M6" i="2"/>
  <c r="O6" i="2" s="1"/>
  <c r="M16" i="2"/>
  <c r="O16" i="2" s="1"/>
  <c r="N16" i="2"/>
  <c r="M25" i="2"/>
  <c r="O25" i="2" s="1"/>
  <c r="N25" i="2"/>
  <c r="M14" i="2"/>
  <c r="O14" i="2" s="1"/>
  <c r="M24" i="2"/>
  <c r="O24" i="2" s="1"/>
  <c r="M10" i="2"/>
  <c r="O10" i="2" s="1"/>
  <c r="M7" i="2"/>
  <c r="O7" i="2" s="1"/>
  <c r="M12" i="2"/>
  <c r="O12" i="2" s="1"/>
  <c r="N12" i="2"/>
  <c r="M26" i="2"/>
  <c r="O26" i="2" s="1"/>
  <c r="N10" i="2" l="1"/>
  <c r="N24" i="2"/>
  <c r="N14" i="2"/>
  <c r="N26" i="2"/>
  <c r="N7" i="2"/>
</calcChain>
</file>

<file path=xl/comments1.xml><?xml version="1.0" encoding="utf-8"?>
<comments xmlns="http://schemas.openxmlformats.org/spreadsheetml/2006/main">
  <authors>
    <author/>
  </authors>
  <commentList>
    <comment ref="O25" authorId="0" shapeId="0">
      <text>
        <r>
          <rPr>
            <sz val="10"/>
            <color rgb="FF000000"/>
            <rFont val="Arial"/>
            <family val="2"/>
          </rPr>
          <t xml:space="preserve">VALOR DEVE CONSTAR EM OUTROS CREDITOS NA APURAÇAO DE ICMS
</t>
        </r>
        <r>
          <rPr>
            <sz val="10"/>
            <color rgb="FF000000"/>
            <rFont val="Arial"/>
            <family val="2"/>
          </rPr>
          <t>GO020003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5" authorId="0" shapeId="0">
      <text>
        <r>
          <rPr>
            <sz val="10"/>
            <color rgb="FF000000"/>
            <rFont val="Arial"/>
            <family val="2"/>
          </rPr>
          <t xml:space="preserve">VALOR DEVE CONSTAR EM OUTROS CREDITOS NA APURAÇAO DE ICMS
</t>
        </r>
        <r>
          <rPr>
            <sz val="10"/>
            <color rgb="FF000000"/>
            <rFont val="Arial"/>
            <family val="2"/>
          </rPr>
          <t>GO020003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M5" authorId="0" shapeId="0">
      <text>
        <r>
          <rPr>
            <sz val="10"/>
            <color rgb="FF000000"/>
            <rFont val="Arial"/>
            <family val="2"/>
          </rPr>
          <t xml:space="preserve">VALOR DEVE CONSTAR EM OUTROS CREDITOS NA APURAÇAO DE ICMS
</t>
        </r>
        <r>
          <rPr>
            <sz val="10"/>
            <color rgb="FF000000"/>
            <rFont val="Arial"/>
            <family val="2"/>
          </rPr>
          <t>GO020003</t>
        </r>
      </text>
    </comment>
  </commentList>
</comments>
</file>

<file path=xl/sharedStrings.xml><?xml version="1.0" encoding="utf-8"?>
<sst xmlns="http://schemas.openxmlformats.org/spreadsheetml/2006/main" count="174" uniqueCount="73">
  <si>
    <t>ICMS LOGPRODUZIR</t>
  </si>
  <si>
    <t>Mês</t>
  </si>
  <si>
    <t>FI</t>
  </si>
  <si>
    <t>FT</t>
  </si>
  <si>
    <t>SI/ST</t>
  </si>
  <si>
    <t>CT</t>
  </si>
  <si>
    <t>CI/CT</t>
  </si>
  <si>
    <t>ICMSFI</t>
  </si>
  <si>
    <t>CI</t>
  </si>
  <si>
    <t>SD</t>
  </si>
  <si>
    <t>IC</t>
  </si>
  <si>
    <t>Média Corrigida</t>
  </si>
  <si>
    <t>SDC</t>
  </si>
  <si>
    <t>COLP</t>
  </si>
  <si>
    <t>ICMS-LP</t>
  </si>
  <si>
    <t>ICMS Apurado</t>
  </si>
  <si>
    <t>10/15</t>
  </si>
  <si>
    <t>11/15</t>
  </si>
  <si>
    <t>02/16</t>
  </si>
  <si>
    <t>09/16</t>
  </si>
  <si>
    <t>10/16</t>
  </si>
  <si>
    <t>11/16</t>
  </si>
  <si>
    <t>12/16</t>
  </si>
  <si>
    <t>01/17</t>
  </si>
  <si>
    <t>Média ICMS</t>
  </si>
  <si>
    <t>Data Base</t>
  </si>
  <si>
    <t>Legenda</t>
  </si>
  <si>
    <t>Fretes Interestaduais</t>
  </si>
  <si>
    <t>Frete Total</t>
  </si>
  <si>
    <t>Índice de saídas (art. 5o, I, do Dec. 5.606/02</t>
  </si>
  <si>
    <t>Crédito do Frete Interestadual</t>
  </si>
  <si>
    <t>Crédito total</t>
  </si>
  <si>
    <t>Índice verificador</t>
  </si>
  <si>
    <t>ICMS incidente sobre FI, alíquota 12%</t>
  </si>
  <si>
    <t>ICMSSI-CA (art. 5o, IV, do Dec. 5.686/02)</t>
  </si>
  <si>
    <t>Índice de correção monetária (IGP-DI)</t>
  </si>
  <si>
    <t>https://www3.bcb.gov.br/CALCIDADAO/publico/exibirFormCorrecaoValores.do?method=exibirFormCorrecaoValores</t>
  </si>
  <si>
    <t>SD corrigido para cálculo da média</t>
  </si>
  <si>
    <t>Crédito Outorgado de ICMS Incentivado pelo LogProduzir</t>
  </si>
  <si>
    <t>ICMS após o Benefício do LogProduzir</t>
  </si>
  <si>
    <t>ICMS a pagar</t>
  </si>
  <si>
    <t>CRÉDITO OUTORGADO</t>
  </si>
  <si>
    <t>04/17</t>
  </si>
  <si>
    <t>05/17</t>
  </si>
  <si>
    <t>0617</t>
  </si>
  <si>
    <t>07/17</t>
  </si>
  <si>
    <t>08/17</t>
  </si>
  <si>
    <t>09/17/</t>
  </si>
  <si>
    <t>12/17</t>
  </si>
  <si>
    <t>Item</t>
  </si>
  <si>
    <t>fev.-21</t>
  </si>
  <si>
    <t>mar.-21</t>
  </si>
  <si>
    <t>abr.-21</t>
  </si>
  <si>
    <t>mai.-21</t>
  </si>
  <si>
    <t>jun.-21</t>
  </si>
  <si>
    <t>jul.-21</t>
  </si>
  <si>
    <t>set.-21</t>
  </si>
  <si>
    <t>out.-21</t>
  </si>
  <si>
    <t>nov.-21</t>
  </si>
  <si>
    <t>dez.-21</t>
  </si>
  <si>
    <t>jan.-22</t>
  </si>
  <si>
    <t>fev.-22</t>
  </si>
  <si>
    <t>mar.-22</t>
  </si>
  <si>
    <t>abr.-22</t>
  </si>
  <si>
    <t>mai.-22</t>
  </si>
  <si>
    <t>jun.-22</t>
  </si>
  <si>
    <t>jul.-22</t>
  </si>
  <si>
    <t>ago.-22</t>
  </si>
  <si>
    <t>set.-22</t>
  </si>
  <si>
    <t>out.-22</t>
  </si>
  <si>
    <t>Média (data base: 10/2013)</t>
  </si>
  <si>
    <t>(se esse valor tiver positivo sera aproveitado para o lançamento do logproduzir)</t>
  </si>
  <si>
    <t>Mês/Ano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</si>
</sst>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"/>
    <numFmt numFmtId="165" formatCode="[$R$-416]&quot; &quot;#,##0.00;[Red][$R$-416]&quot; &quot;#,##0.00"/>
    <numFmt numFmtId="166" formatCode="#,##0.00;[Red]#,##0.00"/>
    <numFmt numFmtId="167" formatCode="mm/yy"/>
    <numFmt numFmtId="168" formatCode="[$R$-416]&quot; &quot;#,##0.00;[Red]&quot;-&quot;[$R$-416]&quot; &quot;#,##0.00"/>
    <numFmt numFmtId="169" formatCode="#,##0.00&quot; &quot;[$€-407];[Red]&quot;-&quot;#,##0.00&quot; &quot;[$€-407]"/>
    <numFmt numFmtId="170" formatCode="[$-416]mmm\-yy;@"/>
    <numFmt numFmtId="171" formatCode="[$R$-416]\ #,##0.00;[Red][$R$-416]\ #,##0.00"/>
  </numFmts>
  <fonts count="1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u/>
      <sz val="11"/>
      <color rgb="FF0563C1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Arial"/>
      <family val="2"/>
    </font>
    <font>
      <b/>
      <sz val="11"/>
      <color theme="2"/>
      <name val="Calibri"/>
      <family val="2"/>
      <scheme val="minor"/>
    </font>
    <font>
      <sz val="10"/>
      <color rgb="FF000000"/>
      <name val="Verdan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Border="0" applyProtection="0">
      <alignment horizontal="center"/>
    </xf>
    <xf numFmtId="0" fontId="2" fillId="0" borderId="1" applyNumberFormat="0" applyFill="0" applyAlignment="0" applyProtection="0"/>
    <xf numFmtId="0" fontId="4" fillId="0" borderId="0" applyNumberFormat="0" applyBorder="0" applyProtection="0">
      <alignment horizontal="center" textRotation="90"/>
    </xf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Border="0" applyProtection="0"/>
    <xf numFmtId="169" fontId="6" fillId="0" borderId="0" applyBorder="0" applyProtection="0"/>
    <xf numFmtId="0" fontId="3" fillId="0" borderId="2" applyNumberFormat="0" applyFill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3" xfId="0" applyBorder="1"/>
    <xf numFmtId="167" fontId="0" fillId="0" borderId="3" xfId="0" applyNumberFormat="1" applyBorder="1"/>
    <xf numFmtId="168" fontId="0" fillId="0" borderId="3" xfId="0" applyNumberFormat="1" applyBorder="1"/>
    <xf numFmtId="10" fontId="0" fillId="0" borderId="3" xfId="0" applyNumberFormat="1" applyBorder="1"/>
    <xf numFmtId="164" fontId="0" fillId="0" borderId="3" xfId="0" applyNumberFormat="1" applyBorder="1"/>
    <xf numFmtId="168" fontId="0" fillId="2" borderId="3" xfId="0" applyNumberFormat="1" applyFill="1" applyBorder="1"/>
    <xf numFmtId="0" fontId="0" fillId="0" borderId="3" xfId="0" applyBorder="1" applyAlignment="1">
      <alignment horizontal="right"/>
    </xf>
    <xf numFmtId="164" fontId="7" fillId="0" borderId="3" xfId="0" applyNumberFormat="1" applyFont="1" applyBorder="1"/>
    <xf numFmtId="49" fontId="0" fillId="0" borderId="3" xfId="0" applyNumberFormat="1" applyBorder="1" applyAlignment="1">
      <alignment horizontal="right"/>
    </xf>
    <xf numFmtId="165" fontId="0" fillId="0" borderId="3" xfId="0" applyNumberFormat="1" applyBorder="1"/>
    <xf numFmtId="16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4" xfId="0" applyFont="1" applyBorder="1"/>
    <xf numFmtId="0" fontId="8" fillId="0" borderId="5" xfId="0" applyFont="1" applyBorder="1"/>
    <xf numFmtId="167" fontId="8" fillId="0" borderId="5" xfId="0" applyNumberFormat="1" applyFont="1" applyBorder="1"/>
    <xf numFmtId="168" fontId="8" fillId="0" borderId="5" xfId="0" applyNumberFormat="1" applyFont="1" applyBorder="1"/>
    <xf numFmtId="0" fontId="0" fillId="0" borderId="5" xfId="0" applyFill="1" applyBorder="1"/>
    <xf numFmtId="0" fontId="5" fillId="0" borderId="0" xfId="6" applyFont="1"/>
    <xf numFmtId="0" fontId="0" fillId="0" borderId="3" xfId="0" applyFill="1" applyBorder="1" applyAlignment="1">
      <alignment horizontal="center"/>
    </xf>
    <xf numFmtId="168" fontId="0" fillId="2" borderId="5" xfId="0" applyNumberFormat="1" applyFill="1" applyBorder="1"/>
    <xf numFmtId="168" fontId="0" fillId="0" borderId="5" xfId="0" applyNumberFormat="1" applyBorder="1"/>
    <xf numFmtId="168" fontId="0" fillId="0" borderId="6" xfId="0" applyNumberFormat="1" applyBorder="1"/>
    <xf numFmtId="49" fontId="0" fillId="0" borderId="4" xfId="0" applyNumberFormat="1" applyBorder="1" applyAlignment="1">
      <alignment horizontal="right"/>
    </xf>
    <xf numFmtId="0" fontId="2" fillId="0" borderId="1" xfId="4"/>
    <xf numFmtId="170" fontId="0" fillId="0" borderId="0" xfId="0" applyNumberFormat="1"/>
    <xf numFmtId="44" fontId="0" fillId="0" borderId="0" xfId="0" applyNumberFormat="1"/>
    <xf numFmtId="44" fontId="0" fillId="0" borderId="0" xfId="2" applyFont="1"/>
    <xf numFmtId="43" fontId="0" fillId="0" borderId="0" xfId="0" applyNumberFormat="1"/>
    <xf numFmtId="0" fontId="0" fillId="4" borderId="0" xfId="0" applyFill="1"/>
    <xf numFmtId="8" fontId="0" fillId="0" borderId="0" xfId="0" applyNumberFormat="1"/>
    <xf numFmtId="171" fontId="0" fillId="0" borderId="0" xfId="0" applyNumberFormat="1"/>
    <xf numFmtId="0" fontId="10" fillId="5" borderId="0" xfId="0" applyFont="1" applyFill="1"/>
    <xf numFmtId="44" fontId="10" fillId="5" borderId="0" xfId="0" applyNumberFormat="1" applyFont="1" applyFill="1"/>
    <xf numFmtId="0" fontId="3" fillId="0" borderId="2" xfId="10"/>
    <xf numFmtId="44" fontId="3" fillId="0" borderId="2" xfId="10" applyNumberFormat="1"/>
    <xf numFmtId="0" fontId="11" fillId="0" borderId="0" xfId="0" applyFont="1"/>
    <xf numFmtId="43" fontId="1" fillId="0" borderId="0" xfId="1"/>
    <xf numFmtId="0" fontId="9" fillId="0" borderId="0" xfId="7"/>
    <xf numFmtId="44" fontId="13" fillId="0" borderId="0" xfId="10" applyNumberFormat="1" applyFont="1" applyFill="1" applyBorder="1"/>
    <xf numFmtId="170" fontId="12" fillId="0" borderId="0" xfId="0" applyNumberFormat="1" applyFont="1" applyFill="1" applyBorder="1"/>
    <xf numFmtId="44" fontId="12" fillId="3" borderId="0" xfId="2" applyNumberFormat="1" applyFont="1" applyFill="1" applyBorder="1"/>
    <xf numFmtId="0" fontId="12" fillId="0" borderId="0" xfId="0" applyFont="1" applyFill="1" applyBorder="1"/>
    <xf numFmtId="43" fontId="12" fillId="0" borderId="0" xfId="0" applyNumberFormat="1" applyFont="1" applyFill="1" applyBorder="1"/>
    <xf numFmtId="44" fontId="12" fillId="0" borderId="0" xfId="0" applyNumberFormat="1" applyFont="1" applyFill="1" applyBorder="1"/>
    <xf numFmtId="44" fontId="12" fillId="0" borderId="0" xfId="2" applyNumberFormat="1" applyFont="1" applyFill="1" applyBorder="1"/>
    <xf numFmtId="8" fontId="12" fillId="0" borderId="0" xfId="0" applyNumberFormat="1" applyFont="1" applyFill="1" applyBorder="1"/>
    <xf numFmtId="0" fontId="12" fillId="3" borderId="0" xfId="0" applyFont="1" applyFill="1" applyBorder="1"/>
    <xf numFmtId="171" fontId="12" fillId="0" borderId="0" xfId="0" applyNumberFormat="1" applyFont="1" applyFill="1" applyBorder="1"/>
    <xf numFmtId="44" fontId="13" fillId="0" borderId="0" xfId="0" applyNumberFormat="1" applyFont="1" applyFill="1" applyBorder="1"/>
    <xf numFmtId="8" fontId="12" fillId="3" borderId="0" xfId="0" applyNumberFormat="1" applyFont="1" applyFill="1" applyBorder="1"/>
  </cellXfs>
  <cellStyles count="11">
    <cellStyle name="Comma" xfId="1" builtinId="3"/>
    <cellStyle name="Currency" xfId="2" builtinId="4"/>
    <cellStyle name="Heading" xfId="3"/>
    <cellStyle name="Heading 1" xfId="4" builtinId="16"/>
    <cellStyle name="Heading1" xfId="5"/>
    <cellStyle name="Hiperlink" xfId="6"/>
    <cellStyle name="Hyperlink" xfId="7" builtinId="8"/>
    <cellStyle name="Normal" xfId="0" builtinId="0" customBuiltin="1"/>
    <cellStyle name="Result" xfId="8"/>
    <cellStyle name="Result2" xfId="9"/>
    <cellStyle name="Total" xfId="10" builtinId="2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[$R$-416]\ #,##0.00;[Red][$R$-416]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2" formatCode="&quot;R$&quot;\ #,##0.00;[Red]\-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0" formatCode="[$-416]mmm\-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d823b2345a6de47/Documents/VerdeLog/Apuracoes/Transporte/Verdelog-Matriz-Loja-08-ICMS-Transportadora-v3.2.xlsm" TargetMode="External"/><Relationship Id="rId1" Type="http://schemas.openxmlformats.org/officeDocument/2006/relationships/externalLinkPath" Target="Verdelog-Matriz-Loja-08-ICMS-Transportadora-v3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  <sheetName val="CALCULO-LOG"/>
      <sheetName val="Resumo"/>
      <sheetName val="Apuração"/>
      <sheetName val="DARE"/>
      <sheetName val="Benefícios e PROTEGE"/>
      <sheetName val="EFD"/>
      <sheetName val="Análise"/>
      <sheetName val="SPED"/>
      <sheetName val="Extra-Apuração (Deb)"/>
      <sheetName val="Extra-Apuração (Cred)"/>
      <sheetName val="CFOP"/>
      <sheetName val="CFOP (2)"/>
      <sheetName val="CFOP (IN)"/>
      <sheetName val="CFOP-2022"/>
      <sheetName val="Sheet2 (2)"/>
      <sheetName val="Ajustes Créditos"/>
      <sheetName val="Ajuste Débitos"/>
      <sheetName val="Tabela 5.2"/>
      <sheetName val="PROTEGE"/>
      <sheetName val="ENTRADAS"/>
      <sheetName val="SAÍDAS"/>
      <sheetName val="INCENTIVADAS"/>
    </sheetNames>
    <sheetDataSet>
      <sheetData sheetId="0"/>
      <sheetData sheetId="1"/>
      <sheetData sheetId="2"/>
      <sheetData sheetId="3">
        <row r="5">
          <cell r="D5">
            <v>45352</v>
          </cell>
          <cell r="E5">
            <v>45383</v>
          </cell>
          <cell r="F5">
            <v>45413</v>
          </cell>
          <cell r="G5">
            <v>45444</v>
          </cell>
          <cell r="H5">
            <v>45474</v>
          </cell>
          <cell r="I5">
            <v>45505</v>
          </cell>
          <cell r="J5">
            <v>45536</v>
          </cell>
          <cell r="K5">
            <v>45566</v>
          </cell>
          <cell r="L5">
            <v>45597</v>
          </cell>
          <cell r="M5">
            <v>45627</v>
          </cell>
          <cell r="N5">
            <v>45658</v>
          </cell>
        </row>
        <row r="6">
          <cell r="B6" t="str">
            <v>Frete</v>
          </cell>
        </row>
        <row r="7">
          <cell r="B7" t="str">
            <v>Armazenagem</v>
          </cell>
        </row>
        <row r="10">
          <cell r="B10">
            <v>6352</v>
          </cell>
        </row>
        <row r="11">
          <cell r="B11">
            <v>6932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id="3" name="Table3" displayName="Table3" ref="B25:Q27" totalsRowShown="0" dataDxfId="16">
  <autoFilter ref="B25:Q27"/>
  <tableColumns count="16">
    <tableColumn id="1" name="Mês/Ano" dataDxfId="6"/>
    <tableColumn id="2" name="FI" dataDxfId="5" dataCellStyle="Currency"/>
    <tableColumn id="3" name="FT" dataDxfId="3" dataCellStyle="Currency"/>
    <tableColumn id="4" name="SI/ST" dataDxfId="4">
      <calculatedColumnFormula>C26/D26</calculatedColumnFormula>
    </tableColumn>
    <tableColumn id="5" name="CT" dataDxfId="15">
      <calculatedColumnFormula>H26*20%</calculatedColumnFormula>
    </tableColumn>
    <tableColumn id="6" name="CI/CT" dataDxfId="14">
      <calculatedColumnFormula>IFERROR(I26/F26,0)</calculatedColumnFormula>
    </tableColumn>
    <tableColumn id="7" name="ICMSFI" dataDxfId="13">
      <calculatedColumnFormula>C26*12%</calculatedColumnFormula>
    </tableColumn>
    <tableColumn id="8" name="CI" dataDxfId="12" dataCellStyle="Currency">
      <calculatedColumnFormula>F26*E26</calculatedColumnFormula>
    </tableColumn>
    <tableColumn id="9" name="SD" dataDxfId="11" dataCellStyle="Currency">
      <calculatedColumnFormula>H26-I26</calculatedColumnFormula>
    </tableColumn>
    <tableColumn id="11" name="Média (data base: 10/2013)" dataDxfId="2">
      <calculatedColumnFormula>Table1217[[#This Row],[fev.-21]]</calculatedColumnFormula>
    </tableColumn>
    <tableColumn id="10" name="IC" dataDxfId="0"/>
    <tableColumn id="12" name="Média Corrigida" dataDxfId="1">
      <calculatedColumnFormula>L26*K26</calculatedColumnFormula>
    </tableColumn>
    <tableColumn id="13" name="SDC" dataDxfId="10">
      <calculatedColumnFormula>J26-M26</calculatedColumnFormula>
    </tableColumn>
    <tableColumn id="14" name="COLP" dataDxfId="9">
      <calculatedColumnFormula>N26*0.73</calculatedColumnFormula>
    </tableColumn>
    <tableColumn id="15" name="ICMS-LP" dataDxfId="8">
      <calculatedColumnFormula>N26-O26</calculatedColumnFormula>
    </tableColumn>
    <tableColumn id="16" name="ICMS Apurado" dataDxfId="7" dataCellStyle="Total">
      <calculatedColumnFormula>IF(M26&gt;J26,J26,M26+P26)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217" displayName="Table1217" ref="B2:V17" totalsRowShown="0">
  <autoFilter ref="B2:V17"/>
  <tableColumns count="21">
    <tableColumn id="1" name="Item"/>
    <tableColumn id="2" name="fev.-21"/>
    <tableColumn id="3" name="mar.-21"/>
    <tableColumn id="4" name="abr.-21"/>
    <tableColumn id="5" name="mai.-21"/>
    <tableColumn id="6" name="jun.-21"/>
    <tableColumn id="7" name="jul.-21"/>
    <tableColumn id="8" name="set.-21"/>
    <tableColumn id="9" name="out.-21"/>
    <tableColumn id="10" name="nov.-21"/>
    <tableColumn id="11" name="dez.-21"/>
    <tableColumn id="21" name="jan.-22"/>
    <tableColumn id="20" name="fev.-22"/>
    <tableColumn id="19" name="mar.-22"/>
    <tableColumn id="18" name="abr.-22"/>
    <tableColumn id="17" name="mai.-22"/>
    <tableColumn id="16" name="jun.-22"/>
    <tableColumn id="15" name="jul.-22"/>
    <tableColumn id="14" name="ago.-22"/>
    <tableColumn id="13" name="set.-22"/>
    <tableColumn id="12" name="out.-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3.bcb.gov.br/CALCIDADAO/publico/exibirFormCorrecaoValores.do?method=exibirFormCorrecaoValore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3.bcb.gov.br/CALCIDADAO/publico/exibirFormCorrecaoValores.do?method=exibirFormCorrecaoValores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www3.bcb.gov.br/CALCIDADAO/publico/exibirFormCorrecaoValores.do?method=exibirFormCorrecaoValo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27"/>
  <sheetViews>
    <sheetView showGridLines="0" tabSelected="1" topLeftCell="A2" workbookViewId="0">
      <selection activeCell="L26" sqref="L26:L27"/>
    </sheetView>
  </sheetViews>
  <sheetFormatPr baseColWidth="10" defaultRowHeight="14" x14ac:dyDescent="0.15"/>
  <cols>
    <col min="1" max="1" width="7.83203125" customWidth="1"/>
    <col min="2" max="2" width="14.6640625" customWidth="1"/>
    <col min="3" max="3" width="17.6640625" customWidth="1"/>
    <col min="4" max="4" width="14.33203125" bestFit="1" customWidth="1"/>
    <col min="5" max="5" width="12.1640625" bestFit="1" customWidth="1"/>
    <col min="6" max="6" width="9.5" bestFit="1" customWidth="1"/>
    <col min="7" max="7" width="12.83203125" customWidth="1"/>
    <col min="8" max="8" width="13.33203125" bestFit="1" customWidth="1"/>
    <col min="9" max="9" width="12.33203125" bestFit="1" customWidth="1"/>
    <col min="10" max="10" width="13.33203125" bestFit="1" customWidth="1"/>
    <col min="11" max="11" width="17.33203125" customWidth="1"/>
    <col min="12" max="12" width="17.5" bestFit="1" customWidth="1"/>
    <col min="13" max="13" width="17.33203125" style="1" customWidth="1"/>
    <col min="14" max="14" width="11" customWidth="1"/>
    <col min="15" max="15" width="16.1640625" customWidth="1"/>
    <col min="16" max="16" width="16.33203125" bestFit="1" customWidth="1"/>
    <col min="17" max="17" width="14.5" customWidth="1"/>
    <col min="18" max="18" width="13" bestFit="1" customWidth="1"/>
    <col min="19" max="20" width="8.83203125" customWidth="1"/>
    <col min="21" max="21" width="11" bestFit="1" customWidth="1"/>
    <col min="22" max="256" width="8.83203125" customWidth="1"/>
  </cols>
  <sheetData>
    <row r="3" spans="2:14" ht="21" thickBot="1" x14ac:dyDescent="0.3">
      <c r="B3" s="27" t="s">
        <v>0</v>
      </c>
      <c r="C3" s="27"/>
      <c r="M3"/>
      <c r="N3" s="1"/>
    </row>
    <row r="4" spans="2:14" ht="15" thickTop="1" x14ac:dyDescent="0.15">
      <c r="M4"/>
      <c r="N4" s="1"/>
    </row>
    <row r="5" spans="2:14" x14ac:dyDescent="0.15">
      <c r="B5" t="s">
        <v>26</v>
      </c>
      <c r="M5"/>
    </row>
    <row r="6" spans="2:14" x14ac:dyDescent="0.15">
      <c r="M6"/>
    </row>
    <row r="7" spans="2:14" x14ac:dyDescent="0.15">
      <c r="B7" t="s">
        <v>2</v>
      </c>
      <c r="C7" t="s">
        <v>27</v>
      </c>
      <c r="M7"/>
    </row>
    <row r="8" spans="2:14" x14ac:dyDescent="0.15">
      <c r="B8" t="s">
        <v>3</v>
      </c>
      <c r="C8" t="s">
        <v>28</v>
      </c>
      <c r="M8"/>
    </row>
    <row r="9" spans="2:14" x14ac:dyDescent="0.15">
      <c r="B9" t="s">
        <v>4</v>
      </c>
      <c r="C9" t="s">
        <v>29</v>
      </c>
      <c r="M9"/>
    </row>
    <row r="10" spans="2:14" x14ac:dyDescent="0.15">
      <c r="B10" t="s">
        <v>8</v>
      </c>
      <c r="C10" t="s">
        <v>30</v>
      </c>
      <c r="M10"/>
    </row>
    <row r="11" spans="2:14" x14ac:dyDescent="0.15">
      <c r="B11" t="s">
        <v>5</v>
      </c>
      <c r="C11" t="s">
        <v>31</v>
      </c>
      <c r="M11"/>
    </row>
    <row r="12" spans="2:14" x14ac:dyDescent="0.15">
      <c r="B12" t="s">
        <v>6</v>
      </c>
      <c r="C12" t="s">
        <v>32</v>
      </c>
      <c r="M12"/>
    </row>
    <row r="13" spans="2:14" x14ac:dyDescent="0.15">
      <c r="B13" t="s">
        <v>7</v>
      </c>
      <c r="C13" t="s">
        <v>33</v>
      </c>
      <c r="M13"/>
    </row>
    <row r="14" spans="2:14" x14ac:dyDescent="0.15">
      <c r="B14" t="s">
        <v>9</v>
      </c>
      <c r="C14" t="s">
        <v>34</v>
      </c>
      <c r="M14"/>
    </row>
    <row r="15" spans="2:14" x14ac:dyDescent="0.15">
      <c r="B15" t="s">
        <v>10</v>
      </c>
      <c r="C15" t="s">
        <v>35</v>
      </c>
      <c r="F15" s="21" t="s">
        <v>36</v>
      </c>
      <c r="M15"/>
    </row>
    <row r="16" spans="2:14" x14ac:dyDescent="0.15">
      <c r="B16" t="s">
        <v>12</v>
      </c>
      <c r="C16" t="s">
        <v>37</v>
      </c>
      <c r="M16"/>
    </row>
    <row r="17" spans="2:17" x14ac:dyDescent="0.15">
      <c r="B17" t="s">
        <v>13</v>
      </c>
      <c r="C17" t="s">
        <v>38</v>
      </c>
      <c r="M17"/>
    </row>
    <row r="18" spans="2:17" x14ac:dyDescent="0.15">
      <c r="B18" t="s">
        <v>14</v>
      </c>
      <c r="C18" t="s">
        <v>39</v>
      </c>
    </row>
    <row r="19" spans="2:17" x14ac:dyDescent="0.15">
      <c r="B19" t="s">
        <v>15</v>
      </c>
      <c r="C19" t="s">
        <v>40</v>
      </c>
    </row>
    <row r="22" spans="2:17" x14ac:dyDescent="0.15">
      <c r="B22" s="16" t="s">
        <v>24</v>
      </c>
      <c r="C22" s="17" t="s">
        <v>25</v>
      </c>
      <c r="D22" s="18">
        <v>41548</v>
      </c>
      <c r="E22" s="19">
        <v>3230.01</v>
      </c>
    </row>
    <row r="25" spans="2:17" x14ac:dyDescent="0.15">
      <c r="B25" t="s">
        <v>72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70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</row>
    <row r="26" spans="2:17" ht="15" x14ac:dyDescent="0.2">
      <c r="B26" s="43"/>
      <c r="C26" s="44"/>
      <c r="D26" s="44"/>
      <c r="E26" s="45" t="e">
        <f>C26/D26</f>
        <v>#DIV/0!</v>
      </c>
      <c r="F26" s="46">
        <f>H26*20%</f>
        <v>0</v>
      </c>
      <c r="G26" s="45">
        <f>IFERROR(I26/F26,0)</f>
        <v>0</v>
      </c>
      <c r="H26" s="47">
        <f>C26*12%</f>
        <v>0</v>
      </c>
      <c r="I26" s="48" t="e">
        <f>F26*E26</f>
        <v>#DIV/0!</v>
      </c>
      <c r="J26" s="48" t="e">
        <f>H26-I26</f>
        <v>#DIV/0!</v>
      </c>
      <c r="K26" s="49">
        <v>3230.01</v>
      </c>
      <c r="L26" s="50"/>
      <c r="M26" s="51">
        <f>L26*K26</f>
        <v>0</v>
      </c>
      <c r="N26" s="46" t="e">
        <f>J26-M26</f>
        <v>#DIV/0!</v>
      </c>
      <c r="O26" s="52" t="e">
        <f>N26*0.73</f>
        <v>#DIV/0!</v>
      </c>
      <c r="P26" s="47" t="e">
        <f>N26-O26</f>
        <v>#DIV/0!</v>
      </c>
      <c r="Q26" s="42" t="e">
        <f>IF(M26&gt;J26,J26,M26+P26)</f>
        <v>#DIV/0!</v>
      </c>
    </row>
    <row r="27" spans="2:17" ht="15" x14ac:dyDescent="0.2">
      <c r="B27" s="43"/>
      <c r="C27" s="44"/>
      <c r="D27" s="44"/>
      <c r="E27" s="45" t="e">
        <f>C27/D27</f>
        <v>#DIV/0!</v>
      </c>
      <c r="F27" s="46">
        <f>H27*20%</f>
        <v>0</v>
      </c>
      <c r="G27" s="45">
        <f>IFERROR(I27/F27,0)</f>
        <v>0</v>
      </c>
      <c r="H27" s="47">
        <f>C27*12%</f>
        <v>0</v>
      </c>
      <c r="I27" s="48" t="e">
        <f>F27*E27</f>
        <v>#DIV/0!</v>
      </c>
      <c r="J27" s="48" t="e">
        <f>H27-I27</f>
        <v>#DIV/0!</v>
      </c>
      <c r="K27" s="49">
        <v>3230.01</v>
      </c>
      <c r="L27" s="53"/>
      <c r="M27" s="51">
        <f>L27*K27</f>
        <v>0</v>
      </c>
      <c r="N27" s="46" t="e">
        <f>J27-M27</f>
        <v>#DIV/0!</v>
      </c>
      <c r="O27" s="52" t="e">
        <f>N27*0.73</f>
        <v>#DIV/0!</v>
      </c>
      <c r="P27" s="47" t="e">
        <f>N27-O27</f>
        <v>#DIV/0!</v>
      </c>
      <c r="Q27" s="42" t="e">
        <f>IF(M27&gt;J27,J27,M27+P27)</f>
        <v>#DIV/0!</v>
      </c>
    </row>
  </sheetData>
  <hyperlinks>
    <hyperlink ref="F15" r:id="rId1"/>
  </hyperlinks>
  <pageMargins left="0" right="0" top="0.39370078740157505" bottom="0.39370078740157505" header="0" footer="0"/>
  <pageSetup paperSize="0" scale="60" fitToWidth="0" fitToHeight="0" pageOrder="overThenDown" orientation="landscape" cellComments="asDisplayed" useFirstPageNumber="1" horizontalDpi="0" verticalDpi="0" copies="0"/>
  <headerFooter>
    <oddHeader>&amp;C&amp;A</oddHeader>
    <oddFooter>&amp;CPage &amp;P&amp;RAna  &amp;D  &amp;T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C24"/>
  <sheetViews>
    <sheetView showGridLines="0" workbookViewId="0">
      <selection activeCell="C8" sqref="C8"/>
    </sheetView>
  </sheetViews>
  <sheetFormatPr baseColWidth="10" defaultRowHeight="14" x14ac:dyDescent="0.15"/>
  <cols>
    <col min="2" max="2" width="24" bestFit="1" customWidth="1"/>
    <col min="3" max="8" width="14.33203125" bestFit="1" customWidth="1"/>
    <col min="9" max="11" width="15.83203125" bestFit="1" customWidth="1"/>
    <col min="12" max="22" width="11" bestFit="1" customWidth="1"/>
    <col min="24" max="24" width="6.33203125" bestFit="1" customWidth="1"/>
  </cols>
  <sheetData>
    <row r="2" spans="2:29" x14ac:dyDescent="0.15">
      <c r="B2" t="s">
        <v>49</v>
      </c>
      <c r="C2" s="28" t="s">
        <v>50</v>
      </c>
      <c r="D2" s="28" t="s">
        <v>51</v>
      </c>
      <c r="E2" s="28" t="s">
        <v>52</v>
      </c>
      <c r="F2" s="28" t="s">
        <v>53</v>
      </c>
      <c r="G2" s="28" t="s">
        <v>54</v>
      </c>
      <c r="H2" s="28" t="s">
        <v>55</v>
      </c>
      <c r="I2" s="28" t="s">
        <v>56</v>
      </c>
      <c r="J2" s="28" t="s">
        <v>57</v>
      </c>
      <c r="K2" s="28" t="s">
        <v>58</v>
      </c>
      <c r="L2" s="28" t="s">
        <v>59</v>
      </c>
      <c r="M2" s="28" t="s">
        <v>60</v>
      </c>
      <c r="N2" s="28" t="s">
        <v>61</v>
      </c>
      <c r="O2" s="28" t="s">
        <v>62</v>
      </c>
      <c r="P2" s="28" t="s">
        <v>63</v>
      </c>
      <c r="Q2" s="28" t="s">
        <v>64</v>
      </c>
      <c r="R2" s="28" t="s">
        <v>65</v>
      </c>
      <c r="S2" s="28" t="s">
        <v>66</v>
      </c>
      <c r="T2" s="28" t="s">
        <v>67</v>
      </c>
      <c r="U2" s="28" t="s">
        <v>68</v>
      </c>
      <c r="V2" s="28" t="s">
        <v>69</v>
      </c>
      <c r="X2" t="s">
        <v>26</v>
      </c>
    </row>
    <row r="3" spans="2:29" x14ac:dyDescent="0.15">
      <c r="B3" t="s">
        <v>2</v>
      </c>
      <c r="C3" s="30">
        <f>130648.48+73257.71</f>
        <v>203906.19</v>
      </c>
      <c r="D3" s="30">
        <f>162524.14+77192.61</f>
        <v>239716.75</v>
      </c>
      <c r="E3" s="30">
        <f>103315.13+6994.67</f>
        <v>110309.8</v>
      </c>
      <c r="F3" s="30">
        <f>93185.72+16052.39</f>
        <v>109238.11</v>
      </c>
      <c r="G3" s="30">
        <v>106414.11</v>
      </c>
      <c r="H3" s="30">
        <f>96045+19979</f>
        <v>116024</v>
      </c>
      <c r="I3" s="30">
        <f>93324.89+51513.1</f>
        <v>144837.99</v>
      </c>
      <c r="J3" s="30">
        <v>226575.93</v>
      </c>
      <c r="K3" s="30">
        <v>242198.93</v>
      </c>
      <c r="L3" s="30" t="e">
        <f>SUMIFS([1]SPED!#REF!,[1]SPED!#REF!,[1]Apuração!$B10,[1]SPED!#REF!,[1]Apuração!$B$6,[1]SPED!#REF!,[1]Apuração!D$5,[1]SPED!#REF!,"&gt;0",[1]SPED!#REF!,[1]Apuração!$B$6)+SUMIFS([1]SPED!#REF!,[1]SPED!#REF!,[1]Apuração!$B11,[1]SPED!#REF!,[1]Apuração!$B$6,[1]SPED!#REF!,[1]Apuração!D$5,[1]SPED!#REF!,"&gt;0",[1]SPED!#REF!,[1]Apuração!$B$6)</f>
        <v>#REF!</v>
      </c>
      <c r="M3" s="30" t="e">
        <f>SUMIFS([1]SPED!#REF!,[1]SPED!#REF!,[1]Apuração!$B10,[1]SPED!#REF!,[1]Apuração!$B$6,[1]SPED!#REF!,[1]Apuração!E$5,[1]SPED!#REF!,"&gt;0",[1]SPED!#REF!,[1]Apuração!$B$6)+SUMIFS([1]SPED!#REF!,[1]SPED!#REF!,[1]Apuração!$B11,[1]SPED!#REF!,[1]Apuração!$B$6,[1]SPED!#REF!,[1]Apuração!E$5,[1]SPED!#REF!,"&gt;0",[1]SPED!#REF!,[1]Apuração!$B$6)</f>
        <v>#REF!</v>
      </c>
      <c r="N3" s="30" t="e">
        <f>SUMIFS([1]SPED!#REF!,[1]SPED!#REF!,[1]Apuração!$B10,[1]SPED!#REF!,[1]Apuração!$B$6,[1]SPED!#REF!,[1]Apuração!F$5,[1]SPED!#REF!,"&gt;0",[1]SPED!#REF!,[1]Apuração!$B$6)+SUMIFS([1]SPED!#REF!,[1]SPED!#REF!,[1]Apuração!$B11,[1]SPED!#REF!,[1]Apuração!$B$6,[1]SPED!#REF!,[1]Apuração!F$5,[1]SPED!#REF!,"&gt;0",[1]SPED!#REF!,[1]Apuração!$B$6)</f>
        <v>#REF!</v>
      </c>
      <c r="O3" s="30" t="e">
        <f>SUMIFS([1]SPED!#REF!,[1]SPED!#REF!,[1]Apuração!$B10,[1]SPED!#REF!,[1]Apuração!$B$6,[1]SPED!#REF!,[1]Apuração!G$5,[1]SPED!#REF!,"&gt;0",[1]SPED!#REF!,[1]Apuração!$B$6)+SUMIFS([1]SPED!#REF!,[1]SPED!#REF!,[1]Apuração!$B11,[1]SPED!#REF!,[1]Apuração!$B$6,[1]SPED!#REF!,[1]Apuração!G$5,[1]SPED!#REF!,"&gt;0",[1]SPED!#REF!,[1]Apuração!$B$6)</f>
        <v>#REF!</v>
      </c>
      <c r="P3" s="30" t="e">
        <f>SUMIFS([1]SPED!#REF!,[1]SPED!#REF!,[1]Apuração!$B10,[1]SPED!#REF!,[1]Apuração!$B$6,[1]SPED!#REF!,[1]Apuração!H$5,[1]SPED!#REF!,"&gt;0",[1]SPED!#REF!,[1]Apuração!$B$6)+SUMIFS([1]SPED!#REF!,[1]SPED!#REF!,[1]Apuração!$B11,[1]SPED!#REF!,[1]Apuração!$B$6,[1]SPED!#REF!,[1]Apuração!H$5,[1]SPED!#REF!,"&gt;0",[1]SPED!#REF!,[1]Apuração!$B$6)</f>
        <v>#REF!</v>
      </c>
      <c r="Q3" s="30" t="e">
        <f>SUMIFS([1]SPED!#REF!,[1]SPED!#REF!,[1]Apuração!$B10,[1]SPED!#REF!,[1]Apuração!$B$6,[1]SPED!#REF!,[1]Apuração!I$5,[1]SPED!#REF!,"&gt;0",[1]SPED!#REF!,[1]Apuração!$B$6)+SUMIFS([1]SPED!#REF!,[1]SPED!#REF!,[1]Apuração!$B11,[1]SPED!#REF!,[1]Apuração!$B$6,[1]SPED!#REF!,[1]Apuração!I$5,[1]SPED!#REF!,"&gt;0",[1]SPED!#REF!,[1]Apuração!$B$6)</f>
        <v>#REF!</v>
      </c>
      <c r="R3" s="30" t="e">
        <f>SUMIFS([1]SPED!#REF!,[1]SPED!#REF!,[1]Apuração!$B10,[1]SPED!#REF!,[1]Apuração!$B$6,[1]SPED!#REF!,[1]Apuração!J$5,[1]SPED!#REF!,"&gt;0",[1]SPED!#REF!,[1]Apuração!$B$6)+SUMIFS([1]SPED!#REF!,[1]SPED!#REF!,[1]Apuração!$B11,[1]SPED!#REF!,[1]Apuração!$B$6,[1]SPED!#REF!,[1]Apuração!J$5,[1]SPED!#REF!,"&gt;0",[1]SPED!#REF!,[1]Apuração!$B$6)</f>
        <v>#REF!</v>
      </c>
      <c r="S3" s="30" t="e">
        <f>SUMIFS([1]SPED!#REF!,[1]SPED!#REF!,[1]Apuração!$B10,[1]SPED!#REF!,[1]Apuração!$B$6,[1]SPED!#REF!,[1]Apuração!K$5,[1]SPED!#REF!,"&gt;0",[1]SPED!#REF!,[1]Apuração!$B$6)+SUMIFS([1]SPED!#REF!,[1]SPED!#REF!,[1]Apuração!$B11,[1]SPED!#REF!,[1]Apuração!$B$6,[1]SPED!#REF!,[1]Apuração!K$5,[1]SPED!#REF!,"&gt;0",[1]SPED!#REF!,[1]Apuração!$B$6)</f>
        <v>#REF!</v>
      </c>
      <c r="T3" s="30" t="e">
        <f>SUMIFS([1]SPED!#REF!,[1]SPED!#REF!,[1]Apuração!$B10,[1]SPED!#REF!,[1]Apuração!$B$6,[1]SPED!#REF!,[1]Apuração!L$5,[1]SPED!#REF!,"&gt;0",[1]SPED!#REF!,[1]Apuração!$B$6)+SUMIFS([1]SPED!#REF!,[1]SPED!#REF!,[1]Apuração!$B11,[1]SPED!#REF!,[1]Apuração!$B$6,[1]SPED!#REF!,[1]Apuração!L$5,[1]SPED!#REF!,"&gt;0",[1]SPED!#REF!,[1]Apuração!$B$6)</f>
        <v>#REF!</v>
      </c>
      <c r="U3" s="30" t="e">
        <f>SUMIFS([1]SPED!#REF!,[1]SPED!#REF!,[1]Apuração!$B10,[1]SPED!#REF!,[1]Apuração!$B$6,[1]SPED!#REF!,[1]Apuração!M$5,[1]SPED!#REF!,"&gt;0",[1]SPED!#REF!,[1]Apuração!$B$6)+SUMIFS([1]SPED!#REF!,[1]SPED!#REF!,[1]Apuração!$B11,[1]SPED!#REF!,[1]Apuração!$B$6,[1]SPED!#REF!,[1]Apuração!M$5,[1]SPED!#REF!,"&gt;0",[1]SPED!#REF!,[1]Apuração!$B$6)</f>
        <v>#REF!</v>
      </c>
      <c r="V3" s="30" t="e">
        <f>SUMIFS([1]SPED!#REF!,[1]SPED!#REF!,[1]Apuração!$B10,[1]SPED!#REF!,[1]Apuração!$B$6,[1]SPED!#REF!,[1]Apuração!N$5,[1]SPED!#REF!,"&gt;0",[1]SPED!#REF!,[1]Apuração!$B$6)+SUMIFS([1]SPED!#REF!,[1]SPED!#REF!,[1]Apuração!$B11,[1]SPED!#REF!,[1]Apuração!$B$6,[1]SPED!#REF!,[1]Apuração!N$5,[1]SPED!#REF!,"&gt;0",[1]SPED!#REF!,[1]Apuração!$B$6)</f>
        <v>#REF!</v>
      </c>
    </row>
    <row r="4" spans="2:29" x14ac:dyDescent="0.15">
      <c r="B4" t="s">
        <v>3</v>
      </c>
      <c r="C4" s="30">
        <v>830934.83</v>
      </c>
      <c r="D4" s="30">
        <f>36314.85+648207.63+85406.74</f>
        <v>769929.22</v>
      </c>
      <c r="E4" s="30">
        <f>36314.85+648207.63+85406.74</f>
        <v>769929.22</v>
      </c>
      <c r="F4" s="30">
        <f>5177.61+282207.27+220513.98+93185.72+16052.39</f>
        <v>617136.97</v>
      </c>
      <c r="G4" s="30">
        <v>457214.25000000006</v>
      </c>
      <c r="H4" s="30">
        <v>316411.27</v>
      </c>
      <c r="I4" s="30">
        <v>1088168.8399999999</v>
      </c>
      <c r="J4" s="30">
        <v>1922361.9399999997</v>
      </c>
      <c r="K4" s="30">
        <v>1784366.36</v>
      </c>
      <c r="L4" s="30" t="e">
        <f>SUMIFS([1]SPED!#REF!,[1]SPED!#REF!,[1]Apuração!$B7,[1]SPED!#REF!,[1]Apuração!D$5)</f>
        <v>#REF!</v>
      </c>
      <c r="M4" s="30" t="e">
        <f>SUMIFS([1]SPED!#REF!,[1]SPED!#REF!,[1]Apuração!$B7,[1]SPED!#REF!,[1]Apuração!E$5)</f>
        <v>#REF!</v>
      </c>
      <c r="N4" s="30" t="e">
        <f>SUMIFS([1]SPED!#REF!,[1]SPED!#REF!,[1]Apuração!$B7,[1]SPED!#REF!,[1]Apuração!F$5)</f>
        <v>#REF!</v>
      </c>
      <c r="O4" s="30" t="e">
        <f>SUMIFS([1]SPED!#REF!,[1]SPED!#REF!,[1]Apuração!$B7,[1]SPED!#REF!,[1]Apuração!G$5)</f>
        <v>#REF!</v>
      </c>
      <c r="P4" s="30" t="e">
        <f>SUMIFS([1]SPED!#REF!,[1]SPED!#REF!,[1]Apuração!$B7,[1]SPED!#REF!,[1]Apuração!H$5)</f>
        <v>#REF!</v>
      </c>
      <c r="Q4" s="30" t="e">
        <f>SUMIFS([1]SPED!#REF!,[1]SPED!#REF!,[1]Apuração!$B7,[1]SPED!#REF!,[1]Apuração!I$5)</f>
        <v>#REF!</v>
      </c>
      <c r="R4" s="30" t="e">
        <f>SUMIFS([1]SPED!#REF!,[1]SPED!#REF!,[1]Apuração!$B7,[1]SPED!#REF!,[1]Apuração!J$5)</f>
        <v>#REF!</v>
      </c>
      <c r="S4" s="30" t="e">
        <f>SUMIFS([1]SPED!#REF!,[1]SPED!#REF!,[1]Apuração!$B7,[1]SPED!#REF!,[1]Apuração!K$5)</f>
        <v>#REF!</v>
      </c>
      <c r="T4" s="30" t="e">
        <f>SUMIFS([1]SPED!#REF!,[1]SPED!#REF!,[1]Apuração!$B7,[1]SPED!#REF!,[1]Apuração!L$5)</f>
        <v>#REF!</v>
      </c>
      <c r="U4" s="30" t="e">
        <f>SUMIFS([1]SPED!#REF!,[1]SPED!#REF!,[1]Apuração!$B7,[1]SPED!#REF!,[1]Apuração!M$5)</f>
        <v>#REF!</v>
      </c>
      <c r="V4" s="30" t="e">
        <f>SUMIFS([1]SPED!#REF!,[1]SPED!#REF!,[1]Apuração!$B7,[1]SPED!#REF!,[1]Apuração!N$5)</f>
        <v>#REF!</v>
      </c>
      <c r="X4" t="s">
        <v>2</v>
      </c>
      <c r="Y4" t="s">
        <v>27</v>
      </c>
    </row>
    <row r="5" spans="2:29" x14ac:dyDescent="0.15">
      <c r="B5" t="s">
        <v>4</v>
      </c>
      <c r="C5">
        <f>C3/C4</f>
        <v>0.24539372118990369</v>
      </c>
      <c r="D5">
        <f t="shared" ref="D5:V5" si="0">D3/D4</f>
        <v>0.31134907439933246</v>
      </c>
      <c r="E5">
        <f t="shared" si="0"/>
        <v>0.1432726504392183</v>
      </c>
      <c r="F5">
        <f t="shared" si="0"/>
        <v>0.17700788529975769</v>
      </c>
      <c r="G5">
        <f t="shared" si="0"/>
        <v>0.23274451747730956</v>
      </c>
      <c r="H5">
        <f t="shared" si="0"/>
        <v>0.36668731805918287</v>
      </c>
      <c r="I5">
        <f t="shared" si="0"/>
        <v>0.13310249721908965</v>
      </c>
      <c r="J5">
        <f t="shared" si="0"/>
        <v>0.11786330413928192</v>
      </c>
      <c r="K5">
        <f t="shared" si="0"/>
        <v>0.1357338579281443</v>
      </c>
      <c r="L5" t="e">
        <f t="shared" si="0"/>
        <v>#REF!</v>
      </c>
      <c r="M5" t="e">
        <f t="shared" si="0"/>
        <v>#REF!</v>
      </c>
      <c r="N5" t="e">
        <f t="shared" si="0"/>
        <v>#REF!</v>
      </c>
      <c r="O5" t="e">
        <f t="shared" si="0"/>
        <v>#REF!</v>
      </c>
      <c r="P5" t="e">
        <f t="shared" si="0"/>
        <v>#REF!</v>
      </c>
      <c r="Q5" t="e">
        <f t="shared" si="0"/>
        <v>#REF!</v>
      </c>
      <c r="R5" t="e">
        <f t="shared" si="0"/>
        <v>#REF!</v>
      </c>
      <c r="S5" t="e">
        <f t="shared" si="0"/>
        <v>#REF!</v>
      </c>
      <c r="T5" t="e">
        <f t="shared" si="0"/>
        <v>#REF!</v>
      </c>
      <c r="U5" t="e">
        <f t="shared" si="0"/>
        <v>#REF!</v>
      </c>
      <c r="V5" t="e">
        <f t="shared" si="0"/>
        <v>#REF!</v>
      </c>
      <c r="X5" t="s">
        <v>3</v>
      </c>
      <c r="Y5" t="s">
        <v>28</v>
      </c>
    </row>
    <row r="6" spans="2:29" x14ac:dyDescent="0.15">
      <c r="B6" t="s">
        <v>5</v>
      </c>
      <c r="C6" s="31">
        <f>C8*20%</f>
        <v>4893.74856</v>
      </c>
      <c r="D6" s="31">
        <f t="shared" ref="D6:K6" si="1">D8*20%</f>
        <v>5753.2020000000002</v>
      </c>
      <c r="E6" s="31">
        <f t="shared" si="1"/>
        <v>2647.4351999999999</v>
      </c>
      <c r="F6" s="31">
        <f t="shared" si="1"/>
        <v>2621.7146400000001</v>
      </c>
      <c r="G6" s="31">
        <f t="shared" si="1"/>
        <v>2553.9386400000003</v>
      </c>
      <c r="H6" s="31">
        <f t="shared" si="1"/>
        <v>2784.576</v>
      </c>
      <c r="I6" s="31">
        <f t="shared" si="1"/>
        <v>3476.1117599999998</v>
      </c>
      <c r="J6" s="31">
        <f t="shared" si="1"/>
        <v>5437.8223199999993</v>
      </c>
      <c r="K6" s="31">
        <f t="shared" si="1"/>
        <v>5812.7743200000004</v>
      </c>
      <c r="L6" s="31" t="e">
        <f>L8*20%</f>
        <v>#REF!</v>
      </c>
      <c r="M6" s="31" t="e">
        <f t="shared" ref="M6:V6" si="2">M8*20%</f>
        <v>#REF!</v>
      </c>
      <c r="N6" s="31" t="e">
        <f t="shared" si="2"/>
        <v>#REF!</v>
      </c>
      <c r="O6" s="31" t="e">
        <f t="shared" si="2"/>
        <v>#REF!</v>
      </c>
      <c r="P6" s="31" t="e">
        <f t="shared" si="2"/>
        <v>#REF!</v>
      </c>
      <c r="Q6" s="31" t="e">
        <f t="shared" si="2"/>
        <v>#REF!</v>
      </c>
      <c r="R6" s="31" t="e">
        <f t="shared" si="2"/>
        <v>#REF!</v>
      </c>
      <c r="S6" s="31" t="e">
        <f t="shared" si="2"/>
        <v>#REF!</v>
      </c>
      <c r="T6" s="31" t="e">
        <f t="shared" si="2"/>
        <v>#REF!</v>
      </c>
      <c r="U6" s="31" t="e">
        <f t="shared" si="2"/>
        <v>#REF!</v>
      </c>
      <c r="V6" s="31" t="e">
        <f t="shared" si="2"/>
        <v>#REF!</v>
      </c>
      <c r="X6" t="s">
        <v>4</v>
      </c>
      <c r="Y6" t="s">
        <v>29</v>
      </c>
    </row>
    <row r="7" spans="2:29" x14ac:dyDescent="0.15">
      <c r="B7" t="s">
        <v>6</v>
      </c>
      <c r="C7">
        <f>IFERROR(C9/C6,0)</f>
        <v>0.24539372118990371</v>
      </c>
      <c r="D7">
        <f t="shared" ref="D7:V7" si="3">IFERROR(D9/D6,0)</f>
        <v>0.31134907439933246</v>
      </c>
      <c r="E7">
        <f t="shared" si="3"/>
        <v>0.1432726504392183</v>
      </c>
      <c r="F7">
        <f t="shared" si="3"/>
        <v>0.17700788529975769</v>
      </c>
      <c r="G7">
        <f t="shared" si="3"/>
        <v>0.23274451747730956</v>
      </c>
      <c r="H7">
        <f t="shared" si="3"/>
        <v>0.36668731805918287</v>
      </c>
      <c r="I7">
        <f t="shared" si="3"/>
        <v>0.13310249721908965</v>
      </c>
      <c r="J7">
        <f t="shared" si="3"/>
        <v>0.11786330413928191</v>
      </c>
      <c r="K7">
        <f t="shared" si="3"/>
        <v>0.1357338579281443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X7" t="s">
        <v>8</v>
      </c>
      <c r="Y7" t="s">
        <v>30</v>
      </c>
    </row>
    <row r="8" spans="2:29" x14ac:dyDescent="0.15">
      <c r="B8" t="s">
        <v>7</v>
      </c>
      <c r="C8" s="29">
        <f>C3*12%</f>
        <v>24468.7428</v>
      </c>
      <c r="D8" s="29">
        <f t="shared" ref="D8:V8" si="4">D3*12%</f>
        <v>28766.01</v>
      </c>
      <c r="E8" s="29">
        <f t="shared" si="4"/>
        <v>13237.175999999999</v>
      </c>
      <c r="F8" s="29">
        <f t="shared" si="4"/>
        <v>13108.573199999999</v>
      </c>
      <c r="G8" s="29">
        <f t="shared" si="4"/>
        <v>12769.6932</v>
      </c>
      <c r="H8" s="29">
        <f t="shared" si="4"/>
        <v>13922.88</v>
      </c>
      <c r="I8" s="29">
        <f t="shared" si="4"/>
        <v>17380.558799999999</v>
      </c>
      <c r="J8" s="29">
        <f t="shared" si="4"/>
        <v>27189.111599999997</v>
      </c>
      <c r="K8" s="29">
        <f t="shared" si="4"/>
        <v>29063.871599999999</v>
      </c>
      <c r="L8" s="29" t="e">
        <f t="shared" si="4"/>
        <v>#REF!</v>
      </c>
      <c r="M8" s="29" t="e">
        <f t="shared" si="4"/>
        <v>#REF!</v>
      </c>
      <c r="N8" s="29" t="e">
        <f t="shared" si="4"/>
        <v>#REF!</v>
      </c>
      <c r="O8" s="29" t="e">
        <f t="shared" si="4"/>
        <v>#REF!</v>
      </c>
      <c r="P8" s="29" t="e">
        <f t="shared" si="4"/>
        <v>#REF!</v>
      </c>
      <c r="Q8" s="29" t="e">
        <f t="shared" si="4"/>
        <v>#REF!</v>
      </c>
      <c r="R8" s="29" t="e">
        <f t="shared" si="4"/>
        <v>#REF!</v>
      </c>
      <c r="S8" s="29" t="e">
        <f t="shared" si="4"/>
        <v>#REF!</v>
      </c>
      <c r="T8" s="29" t="e">
        <f t="shared" si="4"/>
        <v>#REF!</v>
      </c>
      <c r="U8" s="29" t="e">
        <f t="shared" si="4"/>
        <v>#REF!</v>
      </c>
      <c r="V8" s="29" t="e">
        <f t="shared" si="4"/>
        <v>#REF!</v>
      </c>
      <c r="X8" t="s">
        <v>5</v>
      </c>
      <c r="Y8" t="s">
        <v>31</v>
      </c>
    </row>
    <row r="9" spans="2:29" x14ac:dyDescent="0.15">
      <c r="B9" t="s">
        <v>8</v>
      </c>
      <c r="C9" s="30">
        <f>C6*C5</f>
        <v>1200.8951697061327</v>
      </c>
      <c r="D9" s="30">
        <f t="shared" ref="D9:V9" si="5">D6*D5</f>
        <v>1791.2541175323884</v>
      </c>
      <c r="E9" s="30">
        <f t="shared" si="5"/>
        <v>379.30505797008198</v>
      </c>
      <c r="F9" s="30">
        <f t="shared" si="5"/>
        <v>464.06416428581554</v>
      </c>
      <c r="G9" s="30">
        <f t="shared" si="5"/>
        <v>594.41521643345629</v>
      </c>
      <c r="H9" s="30">
        <f t="shared" si="5"/>
        <v>1021.0687053719672</v>
      </c>
      <c r="I9" s="30">
        <f t="shared" si="5"/>
        <v>462.67915586864478</v>
      </c>
      <c r="J9" s="30">
        <f t="shared" si="5"/>
        <v>640.91970595753548</v>
      </c>
      <c r="K9" s="30">
        <f t="shared" si="5"/>
        <v>788.99028371924567</v>
      </c>
      <c r="L9" s="30" t="e">
        <f t="shared" si="5"/>
        <v>#REF!</v>
      </c>
      <c r="M9" s="30" t="e">
        <f t="shared" si="5"/>
        <v>#REF!</v>
      </c>
      <c r="N9" s="30" t="e">
        <f t="shared" si="5"/>
        <v>#REF!</v>
      </c>
      <c r="O9" s="30" t="e">
        <f t="shared" si="5"/>
        <v>#REF!</v>
      </c>
      <c r="P9" s="30" t="e">
        <f t="shared" si="5"/>
        <v>#REF!</v>
      </c>
      <c r="Q9" s="30" t="e">
        <f t="shared" si="5"/>
        <v>#REF!</v>
      </c>
      <c r="R9" s="30" t="e">
        <f t="shared" si="5"/>
        <v>#REF!</v>
      </c>
      <c r="S9" s="30" t="e">
        <f t="shared" si="5"/>
        <v>#REF!</v>
      </c>
      <c r="T9" s="30" t="e">
        <f t="shared" si="5"/>
        <v>#REF!</v>
      </c>
      <c r="U9" s="30" t="e">
        <f t="shared" si="5"/>
        <v>#REF!</v>
      </c>
      <c r="V9" s="30" t="e">
        <f t="shared" si="5"/>
        <v>#REF!</v>
      </c>
      <c r="X9" t="s">
        <v>6</v>
      </c>
      <c r="Y9" t="s">
        <v>32</v>
      </c>
    </row>
    <row r="10" spans="2:29" x14ac:dyDescent="0.15">
      <c r="B10" t="s">
        <v>9</v>
      </c>
      <c r="C10" s="30">
        <f>C8-C9</f>
        <v>23267.847630293869</v>
      </c>
      <c r="D10" s="30">
        <f t="shared" ref="D10:V10" si="6">D8-D9</f>
        <v>26974.755882467609</v>
      </c>
      <c r="E10" s="30">
        <f t="shared" si="6"/>
        <v>12857.870942029918</v>
      </c>
      <c r="F10" s="30">
        <f t="shared" si="6"/>
        <v>12644.509035714183</v>
      </c>
      <c r="G10" s="30">
        <f t="shared" si="6"/>
        <v>12175.277983566544</v>
      </c>
      <c r="H10" s="30">
        <f t="shared" si="6"/>
        <v>12901.811294628033</v>
      </c>
      <c r="I10" s="30">
        <f t="shared" si="6"/>
        <v>16917.879644131353</v>
      </c>
      <c r="J10" s="30">
        <f t="shared" si="6"/>
        <v>26548.191894042462</v>
      </c>
      <c r="K10" s="30">
        <f t="shared" si="6"/>
        <v>28274.881316280753</v>
      </c>
      <c r="L10" s="30" t="e">
        <f t="shared" si="6"/>
        <v>#REF!</v>
      </c>
      <c r="M10" s="30" t="e">
        <f t="shared" si="6"/>
        <v>#REF!</v>
      </c>
      <c r="N10" s="30" t="e">
        <f t="shared" si="6"/>
        <v>#REF!</v>
      </c>
      <c r="O10" s="30" t="e">
        <f t="shared" si="6"/>
        <v>#REF!</v>
      </c>
      <c r="P10" s="30" t="e">
        <f t="shared" si="6"/>
        <v>#REF!</v>
      </c>
      <c r="Q10" s="30" t="e">
        <f t="shared" si="6"/>
        <v>#REF!</v>
      </c>
      <c r="R10" s="30" t="e">
        <f t="shared" si="6"/>
        <v>#REF!</v>
      </c>
      <c r="S10" s="30" t="e">
        <f t="shared" si="6"/>
        <v>#REF!</v>
      </c>
      <c r="T10" s="30" t="e">
        <f t="shared" si="6"/>
        <v>#REF!</v>
      </c>
      <c r="U10" s="30" t="e">
        <f t="shared" si="6"/>
        <v>#REF!</v>
      </c>
      <c r="V10" s="30" t="e">
        <f t="shared" si="6"/>
        <v>#REF!</v>
      </c>
      <c r="X10" t="s">
        <v>7</v>
      </c>
      <c r="Y10" t="s">
        <v>33</v>
      </c>
    </row>
    <row r="11" spans="2:29" x14ac:dyDescent="0.15">
      <c r="B11" t="s">
        <v>10</v>
      </c>
      <c r="C11" s="32">
        <v>1.8189386999999999</v>
      </c>
      <c r="D11" s="32">
        <v>1.8682319000000001</v>
      </c>
      <c r="E11" s="32">
        <v>1.9087726</v>
      </c>
      <c r="F11" s="32">
        <v>1.9511472999999999</v>
      </c>
      <c r="G11" s="32">
        <v>2.0197056</v>
      </c>
      <c r="H11" s="32">
        <v>2.0489913</v>
      </c>
      <c r="I11" s="32">
        <v>2.0461227000000002</v>
      </c>
      <c r="J11" s="32">
        <v>2.0348700000000002</v>
      </c>
      <c r="K11" s="32">
        <v>2.0674299999999999</v>
      </c>
      <c r="L11" s="32">
        <v>2.0554399999999999</v>
      </c>
      <c r="M11" s="32">
        <v>2.0811288000000001</v>
      </c>
      <c r="N11" s="32"/>
      <c r="O11" s="32"/>
      <c r="P11" s="32"/>
      <c r="Q11" s="32"/>
      <c r="R11" s="32"/>
      <c r="S11" s="32"/>
      <c r="T11" s="32"/>
      <c r="U11" s="32"/>
      <c r="V11" s="32"/>
      <c r="X11" t="s">
        <v>9</v>
      </c>
      <c r="Y11" t="s">
        <v>34</v>
      </c>
    </row>
    <row r="12" spans="2:29" x14ac:dyDescent="0.15">
      <c r="B12" t="s">
        <v>70</v>
      </c>
      <c r="C12" s="33">
        <v>3230.01</v>
      </c>
      <c r="D12" s="33">
        <f>Table1217[[#This Row],[fev.-21]]</f>
        <v>3230.01</v>
      </c>
      <c r="E12" s="33">
        <f>Table1217[[#This Row],[fev.-21]]</f>
        <v>3230.01</v>
      </c>
      <c r="F12" s="33">
        <f>Table1217[[#This Row],[fev.-21]]</f>
        <v>3230.01</v>
      </c>
      <c r="G12" s="33">
        <f>Table1217[[#This Row],[fev.-21]]</f>
        <v>3230.01</v>
      </c>
      <c r="H12" s="33">
        <f>Table1217[[#This Row],[fev.-21]]</f>
        <v>3230.01</v>
      </c>
      <c r="I12" s="33">
        <f>Table1217[[#This Row],[fev.-21]]</f>
        <v>3230.01</v>
      </c>
      <c r="J12" s="33">
        <f>Table1217[[#This Row],[fev.-21]]</f>
        <v>3230.01</v>
      </c>
      <c r="K12" s="33">
        <f>Table1217[[#This Row],[fev.-21]]</f>
        <v>3230.01</v>
      </c>
      <c r="L12" s="33">
        <f>Table1217[[#This Row],[fev.-21]]</f>
        <v>3230.01</v>
      </c>
      <c r="M12" s="33">
        <f>Table1217[[#This Row],[fev.-21]]</f>
        <v>3230.01</v>
      </c>
      <c r="N12" s="33">
        <f>Table1217[[#This Row],[fev.-21]]</f>
        <v>3230.01</v>
      </c>
      <c r="O12" s="33">
        <f>Table1217[[#This Row],[fev.-21]]</f>
        <v>3230.01</v>
      </c>
      <c r="P12" s="33">
        <f>Table1217[[#This Row],[fev.-21]]</f>
        <v>3230.01</v>
      </c>
      <c r="Q12" s="33">
        <f>Table1217[[#This Row],[fev.-21]]</f>
        <v>3230.01</v>
      </c>
      <c r="R12" s="33">
        <f>Table1217[[#This Row],[fev.-21]]</f>
        <v>3230.01</v>
      </c>
      <c r="S12" s="33">
        <f>Table1217[[#This Row],[fev.-21]]</f>
        <v>3230.01</v>
      </c>
      <c r="T12" s="33">
        <f>Table1217[[#This Row],[fev.-21]]</f>
        <v>3230.01</v>
      </c>
      <c r="U12" s="33">
        <f>Table1217[[#This Row],[fev.-21]]</f>
        <v>3230.01</v>
      </c>
      <c r="V12" s="33">
        <f>Table1217[[#This Row],[fev.-21]]</f>
        <v>3230.01</v>
      </c>
      <c r="X12" t="s">
        <v>10</v>
      </c>
      <c r="Y12" t="s">
        <v>35</v>
      </c>
      <c r="AB12" s="41" t="s">
        <v>36</v>
      </c>
    </row>
    <row r="13" spans="2:29" x14ac:dyDescent="0.15">
      <c r="B13" t="s">
        <v>11</v>
      </c>
      <c r="C13" s="34">
        <f>C11*C12</f>
        <v>5875.1901903870003</v>
      </c>
      <c r="D13" s="34">
        <f t="shared" ref="D13:V13" si="7">D11*D12</f>
        <v>6034.4077193190005</v>
      </c>
      <c r="E13" s="34">
        <f t="shared" si="7"/>
        <v>6165.3545857260006</v>
      </c>
      <c r="F13" s="34">
        <f t="shared" si="7"/>
        <v>6302.2252904730003</v>
      </c>
      <c r="G13" s="34">
        <f t="shared" si="7"/>
        <v>6523.6692850560003</v>
      </c>
      <c r="H13" s="34">
        <f t="shared" si="7"/>
        <v>6618.262388913</v>
      </c>
      <c r="I13" s="34">
        <f t="shared" si="7"/>
        <v>6608.9967822270009</v>
      </c>
      <c r="J13" s="34">
        <f t="shared" si="7"/>
        <v>6572.6504487000011</v>
      </c>
      <c r="K13" s="34">
        <f t="shared" si="7"/>
        <v>6677.8195742999997</v>
      </c>
      <c r="L13" s="34">
        <f t="shared" si="7"/>
        <v>6639.0917544000004</v>
      </c>
      <c r="M13" s="34">
        <f t="shared" si="7"/>
        <v>6722.0668352880011</v>
      </c>
      <c r="N13" s="34">
        <f t="shared" si="7"/>
        <v>0</v>
      </c>
      <c r="O13" s="34">
        <f t="shared" si="7"/>
        <v>0</v>
      </c>
      <c r="P13" s="34">
        <f t="shared" si="7"/>
        <v>0</v>
      </c>
      <c r="Q13" s="34">
        <f t="shared" si="7"/>
        <v>0</v>
      </c>
      <c r="R13" s="34">
        <f t="shared" si="7"/>
        <v>0</v>
      </c>
      <c r="S13" s="34">
        <f t="shared" si="7"/>
        <v>0</v>
      </c>
      <c r="T13" s="34">
        <f t="shared" si="7"/>
        <v>0</v>
      </c>
      <c r="U13" s="34">
        <f t="shared" si="7"/>
        <v>0</v>
      </c>
      <c r="V13" s="34">
        <f t="shared" si="7"/>
        <v>0</v>
      </c>
      <c r="X13" t="s">
        <v>12</v>
      </c>
      <c r="Y13" t="s">
        <v>37</v>
      </c>
    </row>
    <row r="14" spans="2:29" x14ac:dyDescent="0.15">
      <c r="B14" t="s">
        <v>12</v>
      </c>
      <c r="C14" s="31">
        <f t="shared" ref="C14:V14" si="8">C10-C13</f>
        <v>17392.65743990687</v>
      </c>
      <c r="D14" s="31">
        <f t="shared" si="8"/>
        <v>20940.348163148607</v>
      </c>
      <c r="E14" s="31">
        <f t="shared" si="8"/>
        <v>6692.5163563039177</v>
      </c>
      <c r="F14" s="31">
        <f t="shared" si="8"/>
        <v>6342.2837452411832</v>
      </c>
      <c r="G14" s="31">
        <f t="shared" si="8"/>
        <v>5651.6086985105439</v>
      </c>
      <c r="H14" s="31">
        <f t="shared" si="8"/>
        <v>6283.5489057150326</v>
      </c>
      <c r="I14" s="31">
        <f t="shared" si="8"/>
        <v>10308.882861904352</v>
      </c>
      <c r="J14" s="31">
        <f t="shared" si="8"/>
        <v>19975.54144534246</v>
      </c>
      <c r="K14" s="31">
        <f t="shared" si="8"/>
        <v>21597.061741980753</v>
      </c>
      <c r="L14" s="31" t="e">
        <f t="shared" si="8"/>
        <v>#REF!</v>
      </c>
      <c r="M14" s="31" t="e">
        <f t="shared" si="8"/>
        <v>#REF!</v>
      </c>
      <c r="N14" s="31" t="e">
        <f t="shared" si="8"/>
        <v>#REF!</v>
      </c>
      <c r="O14" s="31" t="e">
        <f t="shared" si="8"/>
        <v>#REF!</v>
      </c>
      <c r="P14" s="31" t="e">
        <f t="shared" si="8"/>
        <v>#REF!</v>
      </c>
      <c r="Q14" s="31" t="e">
        <f t="shared" si="8"/>
        <v>#REF!</v>
      </c>
      <c r="R14" s="31" t="e">
        <f t="shared" si="8"/>
        <v>#REF!</v>
      </c>
      <c r="S14" s="31" t="e">
        <f t="shared" si="8"/>
        <v>#REF!</v>
      </c>
      <c r="T14" s="31" t="e">
        <f t="shared" si="8"/>
        <v>#REF!</v>
      </c>
      <c r="U14" s="31" t="e">
        <f t="shared" si="8"/>
        <v>#REF!</v>
      </c>
      <c r="V14" s="31" t="e">
        <f t="shared" si="8"/>
        <v>#REF!</v>
      </c>
      <c r="X14" t="s">
        <v>13</v>
      </c>
      <c r="Y14" t="s">
        <v>38</v>
      </c>
      <c r="AC14" t="s">
        <v>71</v>
      </c>
    </row>
    <row r="15" spans="2:29" ht="15" x14ac:dyDescent="0.2">
      <c r="B15" s="35" t="s">
        <v>13</v>
      </c>
      <c r="C15" s="36">
        <f>C14*0.36</f>
        <v>6261.3566783664728</v>
      </c>
      <c r="D15" s="36">
        <f>D14*0.36</f>
        <v>7538.5253387334978</v>
      </c>
      <c r="E15" s="36">
        <f>E14*0.73</f>
        <v>4885.5369401018597</v>
      </c>
      <c r="F15" s="36">
        <f t="shared" ref="F15:V15" si="9">F14*0.73</f>
        <v>4629.8671340260635</v>
      </c>
      <c r="G15" s="36">
        <f t="shared" si="9"/>
        <v>4125.6743499126969</v>
      </c>
      <c r="H15" s="36">
        <f t="shared" si="9"/>
        <v>4586.9907011719733</v>
      </c>
      <c r="I15" s="36">
        <f t="shared" si="9"/>
        <v>7525.4844891901776</v>
      </c>
      <c r="J15" s="36">
        <f t="shared" si="9"/>
        <v>14582.145255099995</v>
      </c>
      <c r="K15" s="36">
        <f t="shared" si="9"/>
        <v>15765.855071645949</v>
      </c>
      <c r="L15" s="36" t="e">
        <f t="shared" si="9"/>
        <v>#REF!</v>
      </c>
      <c r="M15" s="36" t="e">
        <f t="shared" si="9"/>
        <v>#REF!</v>
      </c>
      <c r="N15" s="36" t="e">
        <f t="shared" si="9"/>
        <v>#REF!</v>
      </c>
      <c r="O15" s="36" t="e">
        <f t="shared" si="9"/>
        <v>#REF!</v>
      </c>
      <c r="P15" s="36" t="e">
        <f t="shared" si="9"/>
        <v>#REF!</v>
      </c>
      <c r="Q15" s="36" t="e">
        <f t="shared" si="9"/>
        <v>#REF!</v>
      </c>
      <c r="R15" s="36" t="e">
        <f t="shared" si="9"/>
        <v>#REF!</v>
      </c>
      <c r="S15" s="36" t="e">
        <f t="shared" si="9"/>
        <v>#REF!</v>
      </c>
      <c r="T15" s="36" t="e">
        <f t="shared" si="9"/>
        <v>#REF!</v>
      </c>
      <c r="U15" s="36" t="e">
        <f t="shared" si="9"/>
        <v>#REF!</v>
      </c>
      <c r="V15" s="36" t="e">
        <f t="shared" si="9"/>
        <v>#REF!</v>
      </c>
      <c r="X15" t="s">
        <v>14</v>
      </c>
      <c r="Y15" t="s">
        <v>39</v>
      </c>
    </row>
    <row r="16" spans="2:29" x14ac:dyDescent="0.15">
      <c r="B16" t="s">
        <v>14</v>
      </c>
      <c r="C16" s="29">
        <f>C14-C15</f>
        <v>11131.300761540399</v>
      </c>
      <c r="D16" s="29">
        <f t="shared" ref="D16:V16" si="10">D14-D15</f>
        <v>13401.822824415109</v>
      </c>
      <c r="E16" s="29">
        <f t="shared" si="10"/>
        <v>1806.979416202058</v>
      </c>
      <c r="F16" s="29">
        <f t="shared" si="10"/>
        <v>1712.4166112151197</v>
      </c>
      <c r="G16" s="29">
        <f t="shared" si="10"/>
        <v>1525.934348597847</v>
      </c>
      <c r="H16" s="29">
        <f t="shared" si="10"/>
        <v>1696.5582045430592</v>
      </c>
      <c r="I16" s="29">
        <f t="shared" si="10"/>
        <v>2783.3983727141749</v>
      </c>
      <c r="J16" s="29">
        <f t="shared" si="10"/>
        <v>5393.3961902424653</v>
      </c>
      <c r="K16" s="29">
        <f t="shared" si="10"/>
        <v>5831.2066703348046</v>
      </c>
      <c r="L16" s="29" t="e">
        <f t="shared" si="10"/>
        <v>#REF!</v>
      </c>
      <c r="M16" s="29" t="e">
        <f t="shared" si="10"/>
        <v>#REF!</v>
      </c>
      <c r="N16" s="29" t="e">
        <f t="shared" si="10"/>
        <v>#REF!</v>
      </c>
      <c r="O16" s="29" t="e">
        <f t="shared" si="10"/>
        <v>#REF!</v>
      </c>
      <c r="P16" s="29" t="e">
        <f t="shared" si="10"/>
        <v>#REF!</v>
      </c>
      <c r="Q16" s="29" t="e">
        <f t="shared" si="10"/>
        <v>#REF!</v>
      </c>
      <c r="R16" s="29" t="e">
        <f t="shared" si="10"/>
        <v>#REF!</v>
      </c>
      <c r="S16" s="29" t="e">
        <f t="shared" si="10"/>
        <v>#REF!</v>
      </c>
      <c r="T16" s="29" t="e">
        <f t="shared" si="10"/>
        <v>#REF!</v>
      </c>
      <c r="U16" s="29" t="e">
        <f t="shared" si="10"/>
        <v>#REF!</v>
      </c>
      <c r="V16" s="29" t="e">
        <f t="shared" si="10"/>
        <v>#REF!</v>
      </c>
      <c r="X16" t="s">
        <v>15</v>
      </c>
      <c r="Y16" t="s">
        <v>40</v>
      </c>
    </row>
    <row r="17" spans="2:22" ht="16" thickBot="1" x14ac:dyDescent="0.25">
      <c r="B17" s="37" t="s">
        <v>15</v>
      </c>
      <c r="C17" s="38">
        <f t="shared" ref="C17:V17" si="11">IF(C13&gt;C10,C10,C13+C16)</f>
        <v>17006.490951927401</v>
      </c>
      <c r="D17" s="38">
        <f t="shared" si="11"/>
        <v>19436.230543734109</v>
      </c>
      <c r="E17" s="38">
        <f t="shared" si="11"/>
        <v>7972.3340019280586</v>
      </c>
      <c r="F17" s="38">
        <f t="shared" si="11"/>
        <v>8014.64190168812</v>
      </c>
      <c r="G17" s="38">
        <f t="shared" si="11"/>
        <v>8049.6036336538473</v>
      </c>
      <c r="H17" s="38">
        <f t="shared" si="11"/>
        <v>8314.8205934560592</v>
      </c>
      <c r="I17" s="38">
        <f t="shared" si="11"/>
        <v>9392.3951549411759</v>
      </c>
      <c r="J17" s="38">
        <f t="shared" si="11"/>
        <v>11966.046638942466</v>
      </c>
      <c r="K17" s="38">
        <f t="shared" si="11"/>
        <v>12509.026244634804</v>
      </c>
      <c r="L17" s="38" t="e">
        <f t="shared" si="11"/>
        <v>#REF!</v>
      </c>
      <c r="M17" s="38" t="e">
        <f t="shared" si="11"/>
        <v>#REF!</v>
      </c>
      <c r="N17" s="38" t="e">
        <f t="shared" si="11"/>
        <v>#REF!</v>
      </c>
      <c r="O17" s="38" t="e">
        <f t="shared" si="11"/>
        <v>#REF!</v>
      </c>
      <c r="P17" s="38" t="e">
        <f t="shared" si="11"/>
        <v>#REF!</v>
      </c>
      <c r="Q17" s="38" t="e">
        <f t="shared" si="11"/>
        <v>#REF!</v>
      </c>
      <c r="R17" s="38" t="e">
        <f t="shared" si="11"/>
        <v>#REF!</v>
      </c>
      <c r="S17" s="38" t="e">
        <f t="shared" si="11"/>
        <v>#REF!</v>
      </c>
      <c r="T17" s="38" t="e">
        <f t="shared" si="11"/>
        <v>#REF!</v>
      </c>
      <c r="U17" s="38" t="e">
        <f t="shared" si="11"/>
        <v>#REF!</v>
      </c>
      <c r="V17" s="38" t="e">
        <f t="shared" si="11"/>
        <v>#REF!</v>
      </c>
    </row>
    <row r="18" spans="2:22" ht="15" thickTop="1" x14ac:dyDescent="0.15"/>
    <row r="19" spans="2:22" x14ac:dyDescent="0.15">
      <c r="K19" s="39"/>
    </row>
    <row r="20" spans="2:22" ht="15" x14ac:dyDescent="0.2">
      <c r="J20" s="40"/>
      <c r="K20" s="39"/>
    </row>
    <row r="24" spans="2:22" ht="15" x14ac:dyDescent="0.2">
      <c r="J24" s="40"/>
    </row>
  </sheetData>
  <hyperlinks>
    <hyperlink ref="AB12" r:id="rId1"/>
  </hyperlinks>
  <pageMargins left="0.7" right="0.7" top="0.75" bottom="0.75" header="0.3" footer="0.3"/>
  <pageSetup paperSize="9" orientation="portrait" horizontalDpi="0" verticalDpi="0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46"/>
  <sheetViews>
    <sheetView workbookViewId="0"/>
  </sheetViews>
  <sheetFormatPr baseColWidth="10" defaultRowHeight="14" x14ac:dyDescent="0.15"/>
  <cols>
    <col min="1" max="1" width="19.33203125" bestFit="1" customWidth="1"/>
    <col min="2" max="2" width="14.6640625" customWidth="1"/>
    <col min="3" max="3" width="15.1640625" customWidth="1"/>
    <col min="4" max="4" width="10.6640625" customWidth="1"/>
    <col min="5" max="5" width="8.5" customWidth="1"/>
    <col min="6" max="6" width="9" customWidth="1"/>
    <col min="7" max="7" width="12.83203125" customWidth="1"/>
    <col min="8" max="8" width="8.1640625" customWidth="1"/>
    <col min="9" max="9" width="11.6640625" bestFit="1" customWidth="1"/>
    <col min="10" max="10" width="12.1640625" customWidth="1"/>
    <col min="11" max="11" width="14.6640625" customWidth="1"/>
    <col min="12" max="12" width="13.5" customWidth="1"/>
    <col min="13" max="13" width="19.33203125" style="1" customWidth="1"/>
    <col min="14" max="14" width="10.6640625" customWidth="1"/>
    <col min="15" max="15" width="12.33203125" customWidth="1"/>
    <col min="16" max="16" width="10.6640625" customWidth="1"/>
    <col min="17" max="17" width="6.1640625" customWidth="1"/>
    <col min="18" max="18" width="9" customWidth="1"/>
    <col min="19" max="256" width="8.83203125" customWidth="1"/>
  </cols>
  <sheetData>
    <row r="3" spans="1:15" x14ac:dyDescent="0.15">
      <c r="A3" t="s">
        <v>0</v>
      </c>
    </row>
    <row r="4" spans="1:15" x14ac:dyDescent="0.15">
      <c r="M4" s="1" t="s">
        <v>41</v>
      </c>
    </row>
    <row r="5" spans="1:15" x14ac:dyDescent="0.1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2" t="s">
        <v>13</v>
      </c>
      <c r="N5" s="2" t="s">
        <v>14</v>
      </c>
      <c r="O5" s="2" t="s">
        <v>15</v>
      </c>
    </row>
    <row r="6" spans="1:15" x14ac:dyDescent="0.15">
      <c r="A6" s="3">
        <v>41913</v>
      </c>
      <c r="B6" s="4">
        <v>32048.560000000001</v>
      </c>
      <c r="C6" s="4">
        <v>334860.68</v>
      </c>
      <c r="D6" s="5">
        <f t="shared" ref="D6:D26" si="0">B6/C6</f>
        <v>9.5707146028611065E-2</v>
      </c>
      <c r="E6" s="4">
        <v>0</v>
      </c>
      <c r="F6" s="4">
        <v>0</v>
      </c>
      <c r="G6" s="4">
        <f>B6*0.12</f>
        <v>3845.8272000000002</v>
      </c>
      <c r="H6" s="4">
        <v>0</v>
      </c>
      <c r="I6" s="4">
        <v>3845.83</v>
      </c>
      <c r="J6" s="6">
        <v>1.0386599999999999</v>
      </c>
      <c r="K6" s="4">
        <f>L27*J6</f>
        <v>3354.8821865999998</v>
      </c>
      <c r="L6" s="4">
        <f>I6-K6</f>
        <v>490.94781340000009</v>
      </c>
      <c r="M6" s="7">
        <f t="shared" ref="M6:M16" si="1">L6*0.73</f>
        <v>358.39190378200004</v>
      </c>
      <c r="N6" s="4">
        <f t="shared" ref="N6:N16" si="2">L6-M6</f>
        <v>132.55590961800004</v>
      </c>
      <c r="O6" s="4">
        <f t="shared" ref="O6:O16" si="3">G6-M6</f>
        <v>3487.4352962180001</v>
      </c>
    </row>
    <row r="7" spans="1:15" x14ac:dyDescent="0.15">
      <c r="A7" s="3">
        <v>41944</v>
      </c>
      <c r="B7" s="4">
        <v>32524.54</v>
      </c>
      <c r="C7" s="4">
        <v>297714.2</v>
      </c>
      <c r="D7" s="5">
        <f t="shared" si="0"/>
        <v>0.10924752665475815</v>
      </c>
      <c r="E7" s="4">
        <v>0</v>
      </c>
      <c r="F7" s="4">
        <v>0</v>
      </c>
      <c r="G7" s="4">
        <f>B7*0.12</f>
        <v>3902.9447999999998</v>
      </c>
      <c r="H7" s="4">
        <v>0</v>
      </c>
      <c r="I7" s="4">
        <v>3902.94</v>
      </c>
      <c r="J7" s="6">
        <v>1.0505</v>
      </c>
      <c r="K7" s="4">
        <f>L27*J7</f>
        <v>3393.125505</v>
      </c>
      <c r="L7" s="4">
        <f>I7-K7</f>
        <v>509.81449500000008</v>
      </c>
      <c r="M7" s="7">
        <f t="shared" si="1"/>
        <v>372.16458135000005</v>
      </c>
      <c r="N7" s="4">
        <f t="shared" si="2"/>
        <v>137.64991365000003</v>
      </c>
      <c r="O7" s="4">
        <f t="shared" si="3"/>
        <v>3530.7802186499998</v>
      </c>
    </row>
    <row r="8" spans="1:15" x14ac:dyDescent="0.15">
      <c r="A8" s="3">
        <v>41974</v>
      </c>
      <c r="B8" s="4">
        <v>20098.27</v>
      </c>
      <c r="C8" s="4">
        <v>214457.02</v>
      </c>
      <c r="D8" s="5">
        <f t="shared" si="0"/>
        <v>9.3717006792316718E-2</v>
      </c>
      <c r="E8" s="4">
        <v>0</v>
      </c>
      <c r="F8" s="4">
        <v>0</v>
      </c>
      <c r="G8" s="4">
        <f>B8*0.12</f>
        <v>2411.7923999999998</v>
      </c>
      <c r="H8" s="4">
        <v>0</v>
      </c>
      <c r="I8" s="4">
        <v>2411.79</v>
      </c>
      <c r="J8" s="6">
        <v>1.0544899999999999</v>
      </c>
      <c r="K8" s="4">
        <f>L27*J8</f>
        <v>3406.0132448999998</v>
      </c>
      <c r="L8" s="4">
        <v>0</v>
      </c>
      <c r="M8" s="7">
        <f t="shared" si="1"/>
        <v>0</v>
      </c>
      <c r="N8" s="4">
        <f t="shared" si="2"/>
        <v>0</v>
      </c>
      <c r="O8" s="4">
        <f t="shared" si="3"/>
        <v>2411.7923999999998</v>
      </c>
    </row>
    <row r="9" spans="1:15" x14ac:dyDescent="0.15">
      <c r="A9" s="3">
        <v>42156</v>
      </c>
      <c r="B9" s="4">
        <v>30380.54</v>
      </c>
      <c r="C9" s="4">
        <v>144884.64000000001</v>
      </c>
      <c r="D9" s="5">
        <f t="shared" si="0"/>
        <v>0.2096877902309037</v>
      </c>
      <c r="E9" s="4">
        <v>0</v>
      </c>
      <c r="F9" s="4">
        <v>0</v>
      </c>
      <c r="G9" s="4">
        <v>3645.66</v>
      </c>
      <c r="H9" s="4">
        <v>0</v>
      </c>
      <c r="I9" s="4">
        <v>3645.66</v>
      </c>
      <c r="J9" s="6">
        <v>1.09439</v>
      </c>
      <c r="K9" s="4">
        <f>L27*J9</f>
        <v>3534.8906439000002</v>
      </c>
      <c r="L9" s="4">
        <f t="shared" ref="L9:L26" si="4">I9-K9</f>
        <v>110.76935609999964</v>
      </c>
      <c r="M9" s="7">
        <f t="shared" si="1"/>
        <v>80.861629952999735</v>
      </c>
      <c r="N9" s="4">
        <f t="shared" si="2"/>
        <v>29.907726146999906</v>
      </c>
      <c r="O9" s="4">
        <f t="shared" si="3"/>
        <v>3564.7983700469999</v>
      </c>
    </row>
    <row r="10" spans="1:15" x14ac:dyDescent="0.15">
      <c r="A10" s="8" t="s">
        <v>16</v>
      </c>
      <c r="B10" s="4">
        <v>45177.02</v>
      </c>
      <c r="C10" s="4">
        <v>396656.75</v>
      </c>
      <c r="D10" s="5">
        <f t="shared" si="0"/>
        <v>0.11389449442118404</v>
      </c>
      <c r="E10" s="4">
        <v>0</v>
      </c>
      <c r="F10" s="4">
        <v>0</v>
      </c>
      <c r="G10" s="4">
        <v>5421.25</v>
      </c>
      <c r="H10" s="4">
        <v>0</v>
      </c>
      <c r="I10" s="4">
        <v>5421.25</v>
      </c>
      <c r="J10" s="6">
        <v>1.1284540000000001</v>
      </c>
      <c r="K10" s="4">
        <f>L27*J10</f>
        <v>3644.9177045400006</v>
      </c>
      <c r="L10" s="4">
        <f t="shared" si="4"/>
        <v>1776.3322954599994</v>
      </c>
      <c r="M10" s="7">
        <f t="shared" si="1"/>
        <v>1296.7225756857995</v>
      </c>
      <c r="N10" s="4">
        <f t="shared" si="2"/>
        <v>479.6097197741999</v>
      </c>
      <c r="O10" s="4">
        <f t="shared" si="3"/>
        <v>4124.5274243142003</v>
      </c>
    </row>
    <row r="11" spans="1:15" x14ac:dyDescent="0.15">
      <c r="A11" s="8" t="s">
        <v>17</v>
      </c>
      <c r="B11" s="4">
        <v>29823.79</v>
      </c>
      <c r="C11" s="4">
        <v>479252.84</v>
      </c>
      <c r="D11" s="5">
        <f t="shared" si="0"/>
        <v>6.2229761643144359E-2</v>
      </c>
      <c r="E11" s="4">
        <v>0</v>
      </c>
      <c r="F11" s="4">
        <v>0</v>
      </c>
      <c r="G11" s="4">
        <v>3578.84</v>
      </c>
      <c r="H11" s="4">
        <v>0</v>
      </c>
      <c r="I11" s="4">
        <v>3578.84</v>
      </c>
      <c r="J11" s="9">
        <v>1.0504964999999999</v>
      </c>
      <c r="K11" s="4">
        <f>L27*J11</f>
        <v>3393.1141999649999</v>
      </c>
      <c r="L11" s="4">
        <f t="shared" si="4"/>
        <v>185.72580003500025</v>
      </c>
      <c r="M11" s="7">
        <f t="shared" si="1"/>
        <v>135.57983402555018</v>
      </c>
      <c r="N11" s="4">
        <f t="shared" si="2"/>
        <v>50.145966009450063</v>
      </c>
      <c r="O11" s="4">
        <f t="shared" si="3"/>
        <v>3443.26016597445</v>
      </c>
    </row>
    <row r="12" spans="1:15" x14ac:dyDescent="0.15">
      <c r="A12" s="8" t="s">
        <v>18</v>
      </c>
      <c r="B12" s="4">
        <v>40725.14</v>
      </c>
      <c r="C12" s="4">
        <v>363950.83</v>
      </c>
      <c r="D12" s="5">
        <f t="shared" si="0"/>
        <v>0.11189736811425872</v>
      </c>
      <c r="E12" s="4">
        <v>0</v>
      </c>
      <c r="F12" s="4">
        <v>0</v>
      </c>
      <c r="G12" s="4">
        <v>4887.0200000000004</v>
      </c>
      <c r="H12" s="4">
        <v>0</v>
      </c>
      <c r="I12" s="4">
        <v>4887.0200000000004</v>
      </c>
      <c r="J12" s="9">
        <v>1.1849495999999999</v>
      </c>
      <c r="K12" s="4">
        <f>L27*J12</f>
        <v>3827.3990574959998</v>
      </c>
      <c r="L12" s="4">
        <f t="shared" si="4"/>
        <v>1059.6209425040006</v>
      </c>
      <c r="M12" s="7">
        <f t="shared" si="1"/>
        <v>773.52328802792044</v>
      </c>
      <c r="N12" s="4">
        <f t="shared" si="2"/>
        <v>286.09765447608015</v>
      </c>
      <c r="O12" s="4">
        <f t="shared" si="3"/>
        <v>4113.4967119720804</v>
      </c>
    </row>
    <row r="13" spans="1:15" x14ac:dyDescent="0.15">
      <c r="A13" s="8" t="s">
        <v>19</v>
      </c>
      <c r="B13" s="4">
        <v>81932.17</v>
      </c>
      <c r="C13" s="4">
        <v>345875.62</v>
      </c>
      <c r="D13" s="5">
        <f t="shared" si="0"/>
        <v>0.23688333395687156</v>
      </c>
      <c r="E13" s="4">
        <v>0</v>
      </c>
      <c r="F13" s="4">
        <v>0</v>
      </c>
      <c r="G13" s="4">
        <v>8865.86</v>
      </c>
      <c r="H13" s="4">
        <v>0</v>
      </c>
      <c r="I13" s="4">
        <v>8865.86</v>
      </c>
      <c r="J13" s="9">
        <v>1.237684</v>
      </c>
      <c r="K13" s="4">
        <f>L27*J13</f>
        <v>3997.7316968400005</v>
      </c>
      <c r="L13" s="4">
        <f t="shared" si="4"/>
        <v>4868.1283031599996</v>
      </c>
      <c r="M13" s="7">
        <f t="shared" si="1"/>
        <v>3553.7336613067996</v>
      </c>
      <c r="N13" s="4">
        <f t="shared" si="2"/>
        <v>1314.3946418532</v>
      </c>
      <c r="O13" s="4">
        <f t="shared" si="3"/>
        <v>5312.1263386932005</v>
      </c>
    </row>
    <row r="14" spans="1:15" x14ac:dyDescent="0.15">
      <c r="A14" s="10" t="s">
        <v>20</v>
      </c>
      <c r="B14" s="4">
        <v>94971.22</v>
      </c>
      <c r="C14" s="4">
        <v>772965.42</v>
      </c>
      <c r="D14" s="5">
        <f t="shared" si="0"/>
        <v>0.12286606559967456</v>
      </c>
      <c r="E14" s="4">
        <v>0</v>
      </c>
      <c r="F14" s="4">
        <v>0</v>
      </c>
      <c r="G14" s="4">
        <v>12120.51</v>
      </c>
      <c r="H14" s="4">
        <v>0</v>
      </c>
      <c r="I14" s="4">
        <v>12120.51</v>
      </c>
      <c r="J14" s="9">
        <v>1.2380055299999999</v>
      </c>
      <c r="K14" s="4">
        <f>L27*J14</f>
        <v>3998.7702419552998</v>
      </c>
      <c r="L14" s="4">
        <f t="shared" si="4"/>
        <v>8121.7397580447005</v>
      </c>
      <c r="M14" s="7">
        <f t="shared" si="1"/>
        <v>5928.8700233726313</v>
      </c>
      <c r="N14" s="4">
        <f t="shared" si="2"/>
        <v>2192.8697346720692</v>
      </c>
      <c r="O14" s="4">
        <f t="shared" si="3"/>
        <v>6191.6399766273689</v>
      </c>
    </row>
    <row r="15" spans="1:15" x14ac:dyDescent="0.15">
      <c r="A15" s="10" t="s">
        <v>21</v>
      </c>
      <c r="B15" s="4">
        <v>118319.07</v>
      </c>
      <c r="C15" s="4">
        <v>633088.81999999995</v>
      </c>
      <c r="D15" s="5">
        <f t="shared" si="0"/>
        <v>0.18689173819243882</v>
      </c>
      <c r="E15" s="4">
        <v>0</v>
      </c>
      <c r="F15" s="4">
        <v>0</v>
      </c>
      <c r="G15" s="4">
        <v>14198.3</v>
      </c>
      <c r="H15" s="4">
        <v>0</v>
      </c>
      <c r="I15" s="4">
        <v>14198.3</v>
      </c>
      <c r="J15" s="9">
        <v>1.2396647000000001</v>
      </c>
      <c r="K15" s="4">
        <f t="shared" ref="K15:K26" si="5">$L$27*J15</f>
        <v>4004.1293776470006</v>
      </c>
      <c r="L15" s="4">
        <f t="shared" si="4"/>
        <v>10194.170622352998</v>
      </c>
      <c r="M15" s="7">
        <f t="shared" si="1"/>
        <v>7441.7445543176882</v>
      </c>
      <c r="N15" s="4">
        <f t="shared" si="2"/>
        <v>2752.42606803531</v>
      </c>
      <c r="O15" s="4">
        <f t="shared" si="3"/>
        <v>6756.5554456823111</v>
      </c>
    </row>
    <row r="16" spans="1:15" x14ac:dyDescent="0.15">
      <c r="A16" s="10" t="s">
        <v>22</v>
      </c>
      <c r="B16" s="4">
        <v>53204.02</v>
      </c>
      <c r="C16" s="4">
        <v>741719.08</v>
      </c>
      <c r="D16" s="5">
        <f t="shared" si="0"/>
        <v>7.1730688119820238E-2</v>
      </c>
      <c r="E16" s="4">
        <v>0</v>
      </c>
      <c r="F16" s="4">
        <v>0</v>
      </c>
      <c r="G16" s="4">
        <v>6384.47</v>
      </c>
      <c r="H16" s="4">
        <v>0</v>
      </c>
      <c r="I16" s="4">
        <v>6384.47</v>
      </c>
      <c r="J16" s="9">
        <v>1.2402846000000001</v>
      </c>
      <c r="K16" s="4">
        <f t="shared" si="5"/>
        <v>4006.1316608460006</v>
      </c>
      <c r="L16" s="4">
        <f t="shared" si="4"/>
        <v>2378.3383391539996</v>
      </c>
      <c r="M16" s="7">
        <f t="shared" si="1"/>
        <v>1736.1869875824198</v>
      </c>
      <c r="N16" s="4">
        <f t="shared" si="2"/>
        <v>642.15135157157988</v>
      </c>
      <c r="O16" s="4">
        <f t="shared" si="3"/>
        <v>4648.2830124175807</v>
      </c>
    </row>
    <row r="17" spans="1:15" x14ac:dyDescent="0.15">
      <c r="A17" s="10" t="s">
        <v>23</v>
      </c>
      <c r="B17" s="4">
        <v>52998.42</v>
      </c>
      <c r="C17" s="4">
        <v>554125.63</v>
      </c>
      <c r="D17" s="5">
        <f t="shared" si="0"/>
        <v>9.5643329112930581E-2</v>
      </c>
      <c r="E17" s="4">
        <v>0</v>
      </c>
      <c r="F17" s="4">
        <v>0</v>
      </c>
      <c r="G17" s="4">
        <v>3873.21</v>
      </c>
      <c r="H17" s="4">
        <v>0</v>
      </c>
      <c r="I17" s="4">
        <v>3873.21</v>
      </c>
      <c r="J17" s="9">
        <v>1.2580914999999999</v>
      </c>
      <c r="K17" s="4">
        <f t="shared" si="5"/>
        <v>4063.648125915</v>
      </c>
      <c r="L17" s="4">
        <f t="shared" si="4"/>
        <v>-190.438125915</v>
      </c>
      <c r="M17" s="7">
        <v>0</v>
      </c>
      <c r="N17" s="4">
        <v>0</v>
      </c>
      <c r="O17" s="4"/>
    </row>
    <row r="18" spans="1:15" x14ac:dyDescent="0.15">
      <c r="A18" s="10" t="s">
        <v>42</v>
      </c>
      <c r="B18" s="11">
        <v>9504.6200000000008</v>
      </c>
      <c r="C18" s="11">
        <v>216190.13</v>
      </c>
      <c r="D18" s="5">
        <f t="shared" si="0"/>
        <v>4.3964171722363089E-2</v>
      </c>
      <c r="E18" s="4">
        <v>0</v>
      </c>
      <c r="F18" s="4">
        <v>0</v>
      </c>
      <c r="G18" s="12">
        <v>1140.54</v>
      </c>
      <c r="H18" s="4">
        <v>0</v>
      </c>
      <c r="I18" s="4">
        <v>1140.54</v>
      </c>
      <c r="J18" s="9">
        <v>2.2580914999999999</v>
      </c>
      <c r="K18" s="4">
        <f t="shared" si="5"/>
        <v>7293.6581259149998</v>
      </c>
      <c r="L18" s="4">
        <f t="shared" si="4"/>
        <v>-6153.1181259149998</v>
      </c>
      <c r="M18" s="7">
        <v>0</v>
      </c>
      <c r="N18" s="4">
        <v>0</v>
      </c>
      <c r="O18" s="4"/>
    </row>
    <row r="19" spans="1:15" x14ac:dyDescent="0.15">
      <c r="A19" s="10" t="s">
        <v>43</v>
      </c>
      <c r="B19" s="11">
        <v>11344.38</v>
      </c>
      <c r="C19" s="11">
        <v>165648.25</v>
      </c>
      <c r="D19" s="5">
        <f t="shared" si="0"/>
        <v>6.8484756102162259E-2</v>
      </c>
      <c r="E19" s="4">
        <v>0</v>
      </c>
      <c r="F19" s="4">
        <v>0</v>
      </c>
      <c r="G19" s="12">
        <v>1361.33</v>
      </c>
      <c r="H19" s="4">
        <v>0</v>
      </c>
      <c r="I19" s="4">
        <v>1361.33</v>
      </c>
      <c r="J19" s="9">
        <v>2.2580914999999999</v>
      </c>
      <c r="K19" s="4">
        <f t="shared" si="5"/>
        <v>7293.6581259149998</v>
      </c>
      <c r="L19" s="4">
        <f t="shared" si="4"/>
        <v>-5932.3281259149999</v>
      </c>
      <c r="M19" s="23"/>
      <c r="N19" s="24"/>
      <c r="O19" s="25"/>
    </row>
    <row r="20" spans="1:15" x14ac:dyDescent="0.15">
      <c r="A20" s="10" t="s">
        <v>44</v>
      </c>
      <c r="B20" s="11">
        <v>0</v>
      </c>
      <c r="C20" s="11">
        <v>131961.26</v>
      </c>
      <c r="D20" s="5">
        <f t="shared" si="0"/>
        <v>0</v>
      </c>
      <c r="E20" s="4">
        <v>0</v>
      </c>
      <c r="F20" s="4">
        <v>0</v>
      </c>
      <c r="G20" s="12">
        <v>1563.3</v>
      </c>
      <c r="H20" s="4">
        <v>0</v>
      </c>
      <c r="I20" s="4">
        <v>1563.3</v>
      </c>
      <c r="J20" s="9">
        <v>2.2580914999999999</v>
      </c>
      <c r="K20" s="4">
        <f t="shared" si="5"/>
        <v>7293.6581259149998</v>
      </c>
      <c r="L20" s="4">
        <f t="shared" si="4"/>
        <v>-5730.3581259149996</v>
      </c>
      <c r="M20" s="23"/>
      <c r="N20" s="24"/>
      <c r="O20" s="25"/>
    </row>
    <row r="21" spans="1:15" x14ac:dyDescent="0.15">
      <c r="A21" s="10" t="s">
        <v>45</v>
      </c>
      <c r="B21" s="11">
        <v>0</v>
      </c>
      <c r="C21" s="11">
        <v>131961.26</v>
      </c>
      <c r="D21" s="5">
        <f t="shared" si="0"/>
        <v>0</v>
      </c>
      <c r="E21" s="4">
        <v>0</v>
      </c>
      <c r="F21" s="4">
        <v>0</v>
      </c>
      <c r="G21" s="12">
        <v>1564.3</v>
      </c>
      <c r="H21" s="4">
        <v>0</v>
      </c>
      <c r="I21" s="4">
        <v>1563.3</v>
      </c>
      <c r="J21" s="9">
        <v>3.2580914999999999</v>
      </c>
      <c r="K21" s="4">
        <f t="shared" si="5"/>
        <v>10523.668125915001</v>
      </c>
      <c r="L21" s="4">
        <f t="shared" si="4"/>
        <v>-8960.3681259150017</v>
      </c>
      <c r="M21" s="23"/>
      <c r="N21" s="24"/>
      <c r="O21" s="25"/>
    </row>
    <row r="22" spans="1:15" x14ac:dyDescent="0.15">
      <c r="A22" s="10" t="s">
        <v>46</v>
      </c>
      <c r="B22" s="11">
        <v>0</v>
      </c>
      <c r="C22" s="11">
        <v>131961.26</v>
      </c>
      <c r="D22" s="5">
        <f t="shared" si="0"/>
        <v>0</v>
      </c>
      <c r="E22" s="4">
        <v>0</v>
      </c>
      <c r="F22" s="4">
        <v>0</v>
      </c>
      <c r="G22" s="12">
        <v>1565.3</v>
      </c>
      <c r="H22" s="4">
        <v>0</v>
      </c>
      <c r="I22" s="4">
        <v>1563.3</v>
      </c>
      <c r="J22" s="9">
        <v>4.2580914999999999</v>
      </c>
      <c r="K22" s="4">
        <f t="shared" si="5"/>
        <v>13753.678125915001</v>
      </c>
      <c r="L22" s="4">
        <f t="shared" si="4"/>
        <v>-12190.378125915002</v>
      </c>
      <c r="M22" s="23"/>
      <c r="N22" s="24"/>
      <c r="O22" s="25"/>
    </row>
    <row r="23" spans="1:15" x14ac:dyDescent="0.15">
      <c r="A23" s="10" t="s">
        <v>47</v>
      </c>
      <c r="B23" s="11">
        <v>0</v>
      </c>
      <c r="C23" s="11">
        <v>131961.26</v>
      </c>
      <c r="D23" s="5">
        <f t="shared" si="0"/>
        <v>0</v>
      </c>
      <c r="E23" s="4">
        <v>0</v>
      </c>
      <c r="F23" s="4">
        <v>0</v>
      </c>
      <c r="G23" s="12">
        <v>1566.3</v>
      </c>
      <c r="H23" s="4">
        <v>0</v>
      </c>
      <c r="I23" s="4">
        <v>1563.3</v>
      </c>
      <c r="J23" s="9">
        <v>1.2251000000000001</v>
      </c>
      <c r="K23" s="4">
        <f t="shared" si="5"/>
        <v>3957.0852510000004</v>
      </c>
      <c r="L23" s="4">
        <f t="shared" si="4"/>
        <v>-2393.7852510000002</v>
      </c>
      <c r="M23" s="23"/>
      <c r="N23" s="24"/>
      <c r="O23" s="25"/>
    </row>
    <row r="24" spans="1:15" x14ac:dyDescent="0.15">
      <c r="A24" s="3">
        <v>43009</v>
      </c>
      <c r="B24" s="4">
        <v>131128.74</v>
      </c>
      <c r="C24" s="4">
        <v>575159.76</v>
      </c>
      <c r="D24" s="5">
        <f t="shared" si="0"/>
        <v>0.22798663800819444</v>
      </c>
      <c r="E24" s="4">
        <v>0</v>
      </c>
      <c r="F24" s="4">
        <v>0</v>
      </c>
      <c r="G24" s="4">
        <f>B24*0.12</f>
        <v>15735.448799999998</v>
      </c>
      <c r="H24" s="4">
        <v>0</v>
      </c>
      <c r="I24" s="4">
        <v>15735.45</v>
      </c>
      <c r="J24" s="6">
        <v>1.2251000000000001</v>
      </c>
      <c r="K24" s="4">
        <f t="shared" si="5"/>
        <v>3957.0852510000004</v>
      </c>
      <c r="L24" s="4">
        <f t="shared" si="4"/>
        <v>11778.364749</v>
      </c>
      <c r="M24" s="7">
        <f>L24*0.73</f>
        <v>8598.2062667699993</v>
      </c>
      <c r="N24" s="4">
        <f>L24-M24</f>
        <v>3180.158482230001</v>
      </c>
      <c r="O24" s="4">
        <f>G24-M24</f>
        <v>7137.242533229999</v>
      </c>
    </row>
    <row r="25" spans="1:15" x14ac:dyDescent="0.15">
      <c r="A25" s="3">
        <v>43040</v>
      </c>
      <c r="B25" s="4">
        <v>72152.149999999994</v>
      </c>
      <c r="C25" s="4">
        <v>590158.49</v>
      </c>
      <c r="D25" s="5">
        <f t="shared" si="0"/>
        <v>0.12225893759488235</v>
      </c>
      <c r="E25" s="4">
        <v>0</v>
      </c>
      <c r="F25" s="4">
        <v>0</v>
      </c>
      <c r="G25" s="4">
        <f>B25*0.12</f>
        <v>8658.2579999999998</v>
      </c>
      <c r="H25" s="4">
        <v>0</v>
      </c>
      <c r="I25" s="4">
        <v>8658.26</v>
      </c>
      <c r="J25" s="6">
        <v>1.2263299999999999</v>
      </c>
      <c r="K25" s="4">
        <f t="shared" si="5"/>
        <v>3961.0581633000002</v>
      </c>
      <c r="L25" s="4">
        <f t="shared" si="4"/>
        <v>4697.2018367000001</v>
      </c>
      <c r="M25" s="7">
        <f>L25*0.73</f>
        <v>3428.9573407909998</v>
      </c>
      <c r="N25" s="4">
        <f>L25-M25</f>
        <v>1268.2444959090003</v>
      </c>
      <c r="O25" s="4">
        <f>G25-M25</f>
        <v>5229.3006592090005</v>
      </c>
    </row>
    <row r="26" spans="1:15" x14ac:dyDescent="0.15">
      <c r="A26" s="26" t="s">
        <v>48</v>
      </c>
      <c r="B26" s="4">
        <v>94538.41</v>
      </c>
      <c r="C26" s="4">
        <v>746997.42</v>
      </c>
      <c r="D26" s="5">
        <f t="shared" si="0"/>
        <v>0.12655788021329445</v>
      </c>
      <c r="E26" s="4">
        <v>0</v>
      </c>
      <c r="F26" s="4">
        <v>0</v>
      </c>
      <c r="G26" s="4">
        <v>11398.93</v>
      </c>
      <c r="H26" s="4">
        <v>0</v>
      </c>
      <c r="I26" s="4">
        <v>11398.93</v>
      </c>
      <c r="J26" s="6">
        <v>1.23614</v>
      </c>
      <c r="K26" s="4">
        <f t="shared" si="5"/>
        <v>3992.7445614000003</v>
      </c>
      <c r="L26" s="4">
        <f t="shared" si="4"/>
        <v>7406.1854385999995</v>
      </c>
      <c r="M26" s="7">
        <f>L26*0.73</f>
        <v>5406.5153701779991</v>
      </c>
      <c r="N26" s="4">
        <f>L26-M26</f>
        <v>1999.6700684220004</v>
      </c>
      <c r="O26" s="4">
        <f>G26-M26</f>
        <v>5992.4146298220012</v>
      </c>
    </row>
    <row r="27" spans="1:15" x14ac:dyDescent="0.15">
      <c r="A27" s="13"/>
      <c r="B27" s="14"/>
      <c r="C27" s="14"/>
      <c r="D27" s="14"/>
      <c r="E27" s="14"/>
      <c r="F27" s="14"/>
      <c r="G27" s="14"/>
      <c r="H27" s="15"/>
      <c r="I27" s="16" t="s">
        <v>24</v>
      </c>
      <c r="J27" s="17" t="s">
        <v>25</v>
      </c>
      <c r="K27" s="18">
        <v>41548</v>
      </c>
      <c r="L27" s="19">
        <v>3230.01</v>
      </c>
      <c r="M27" s="20"/>
      <c r="N27" s="14"/>
      <c r="O27" s="15"/>
    </row>
    <row r="28" spans="1:15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20"/>
      <c r="N28" s="14"/>
      <c r="O28" s="15"/>
    </row>
    <row r="32" spans="1:15" x14ac:dyDescent="0.15">
      <c r="A32" t="s">
        <v>26</v>
      </c>
    </row>
    <row r="34" spans="1:5" x14ac:dyDescent="0.15">
      <c r="A34" t="s">
        <v>2</v>
      </c>
      <c r="B34" t="s">
        <v>27</v>
      </c>
    </row>
    <row r="35" spans="1:5" x14ac:dyDescent="0.15">
      <c r="A35" t="s">
        <v>3</v>
      </c>
      <c r="B35" t="s">
        <v>28</v>
      </c>
    </row>
    <row r="36" spans="1:5" x14ac:dyDescent="0.15">
      <c r="A36" t="s">
        <v>4</v>
      </c>
      <c r="B36" t="s">
        <v>29</v>
      </c>
    </row>
    <row r="37" spans="1:5" x14ac:dyDescent="0.15">
      <c r="A37" t="s">
        <v>8</v>
      </c>
      <c r="B37" t="s">
        <v>30</v>
      </c>
    </row>
    <row r="38" spans="1:5" x14ac:dyDescent="0.15">
      <c r="A38" t="s">
        <v>5</v>
      </c>
      <c r="B38" t="s">
        <v>31</v>
      </c>
    </row>
    <row r="39" spans="1:5" x14ac:dyDescent="0.15">
      <c r="A39" t="s">
        <v>6</v>
      </c>
      <c r="B39" t="s">
        <v>32</v>
      </c>
    </row>
    <row r="40" spans="1:5" x14ac:dyDescent="0.15">
      <c r="A40" t="s">
        <v>7</v>
      </c>
      <c r="B40" t="s">
        <v>33</v>
      </c>
    </row>
    <row r="41" spans="1:5" x14ac:dyDescent="0.15">
      <c r="A41" t="s">
        <v>9</v>
      </c>
      <c r="B41" t="s">
        <v>34</v>
      </c>
    </row>
    <row r="42" spans="1:5" x14ac:dyDescent="0.15">
      <c r="A42" t="s">
        <v>10</v>
      </c>
      <c r="B42" t="s">
        <v>35</v>
      </c>
      <c r="E42" s="21" t="s">
        <v>36</v>
      </c>
    </row>
    <row r="43" spans="1:5" x14ac:dyDescent="0.15">
      <c r="A43" t="s">
        <v>12</v>
      </c>
      <c r="B43" t="s">
        <v>37</v>
      </c>
    </row>
    <row r="44" spans="1:5" x14ac:dyDescent="0.15">
      <c r="A44" t="s">
        <v>13</v>
      </c>
      <c r="B44" t="s">
        <v>38</v>
      </c>
    </row>
    <row r="45" spans="1:5" x14ac:dyDescent="0.15">
      <c r="A45" t="s">
        <v>14</v>
      </c>
      <c r="B45" t="s">
        <v>39</v>
      </c>
    </row>
    <row r="46" spans="1:5" x14ac:dyDescent="0.15">
      <c r="A46" t="s">
        <v>15</v>
      </c>
      <c r="B46" t="s">
        <v>40</v>
      </c>
    </row>
  </sheetData>
  <hyperlinks>
    <hyperlink ref="E42" r:id="rId1"/>
  </hyperlinks>
  <pageMargins left="0" right="0" top="0.39370078740157505" bottom="0.39370078740157505" header="0" footer="0"/>
  <pageSetup paperSize="0" scale="67" fitToWidth="0" fitToHeight="0" pageOrder="overThenDown" orientation="landscape" cellComments="asDisplayed" useFirstPageNumber="1" horizontalDpi="0" verticalDpi="0" copies="0"/>
  <headerFooter>
    <oddHeader>&amp;C&amp;A</oddHeader>
    <oddFooter>&amp;CPage &amp;P&amp;RAna  &amp;D 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cols>
    <col min="1" max="1" width="10.6640625" customWidth="1"/>
    <col min="2" max="2" width="9" customWidth="1"/>
    <col min="3" max="256" width="8.83203125" customWidth="1"/>
  </cols>
  <sheetData/>
  <pageMargins left="0" right="0" top="0.39409448818897608" bottom="0.39409448818897608" header="0" footer="0"/>
  <pageSetup paperSize="0" scale="67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cols>
    <col min="1" max="1" width="10.6640625" customWidth="1"/>
    <col min="2" max="2" width="9" customWidth="1"/>
    <col min="3" max="256" width="8.83203125" customWidth="1"/>
  </cols>
  <sheetData/>
  <pageMargins left="0" right="0" top="0.39409448818897608" bottom="0.39409448818897608" header="0" footer="0"/>
  <pageSetup paperSize="0" scale="67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LOGPRODUZIR</vt:lpstr>
      <vt:lpstr>Cálculo-Log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Cecílio Elias Daher</cp:lastModifiedBy>
  <cp:revision>20</cp:revision>
  <cp:lastPrinted>2018-01-05T11:18:25Z</cp:lastPrinted>
  <dcterms:created xsi:type="dcterms:W3CDTF">2009-04-16T11:32:48Z</dcterms:created>
  <dcterms:modified xsi:type="dcterms:W3CDTF">2024-04-26T10:51:39Z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