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75" windowWidth="19440" windowHeight="9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3" i="1" l="1"/>
  <c r="D44" i="1"/>
  <c r="D45" i="1"/>
  <c r="O25" i="1"/>
  <c r="O4" i="1"/>
  <c r="R4" i="1" s="1"/>
  <c r="O26" i="1"/>
  <c r="AP26" i="1" s="1"/>
  <c r="O27" i="1"/>
  <c r="AP27" i="1" s="1"/>
  <c r="O28" i="1"/>
  <c r="O29" i="1"/>
  <c r="O30" i="1"/>
  <c r="AP30" i="1" s="1"/>
  <c r="O31" i="1"/>
  <c r="AP31" i="1" s="1"/>
  <c r="O32" i="1"/>
  <c r="AP32" i="1" s="1"/>
  <c r="O33" i="1"/>
  <c r="AP33" i="1" s="1"/>
  <c r="O34" i="1"/>
  <c r="AP34" i="1" s="1"/>
  <c r="O35" i="1"/>
  <c r="AP35" i="1" s="1"/>
  <c r="O36" i="1"/>
  <c r="O37" i="1"/>
  <c r="AP37" i="1" s="1"/>
  <c r="O38" i="1"/>
  <c r="AP38" i="1" s="1"/>
  <c r="O39" i="1"/>
  <c r="AP39" i="1" s="1"/>
  <c r="O40" i="1"/>
  <c r="AP40" i="1" s="1"/>
  <c r="O41" i="1"/>
  <c r="AP41" i="1" s="1"/>
  <c r="O42" i="1"/>
  <c r="AP42" i="1" s="1"/>
  <c r="O43" i="1"/>
  <c r="O44" i="1"/>
  <c r="O45" i="1"/>
  <c r="O46" i="1"/>
  <c r="AP46" i="1" s="1"/>
  <c r="O47" i="1"/>
  <c r="AP47" i="1" s="1"/>
  <c r="O48" i="1"/>
  <c r="AP48" i="1" s="1"/>
  <c r="O49" i="1"/>
  <c r="AP49" i="1" s="1"/>
  <c r="O50" i="1"/>
  <c r="R50" i="1" s="1"/>
  <c r="O51" i="1"/>
  <c r="R51" i="1" s="1"/>
  <c r="O52" i="1"/>
  <c r="O53" i="1"/>
  <c r="O54" i="1"/>
  <c r="AP54" i="1" s="1"/>
  <c r="O55" i="1"/>
  <c r="AP55" i="1" s="1"/>
  <c r="O56" i="1"/>
  <c r="R56" i="1" s="1"/>
  <c r="O57" i="1"/>
  <c r="AP57" i="1" s="1"/>
  <c r="O58" i="1"/>
  <c r="R58" i="1" s="1"/>
  <c r="O61" i="1"/>
  <c r="R61" i="1" s="1"/>
  <c r="O62" i="1"/>
  <c r="AP62" i="1" s="1"/>
  <c r="O63" i="1"/>
  <c r="AP63" i="1" s="1"/>
  <c r="O64" i="1"/>
  <c r="AP64" i="1" s="1"/>
  <c r="O65" i="1"/>
  <c r="AP65" i="1" s="1"/>
  <c r="AP36" i="1"/>
  <c r="AP52" i="1"/>
  <c r="AP53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34" i="1"/>
  <c r="AO33" i="1"/>
  <c r="AO32" i="1"/>
  <c r="AO31" i="1"/>
  <c r="AO30" i="1"/>
  <c r="AP29" i="1"/>
  <c r="AO29" i="1"/>
  <c r="AP28" i="1"/>
  <c r="AO28" i="1"/>
  <c r="AO27" i="1"/>
  <c r="AO26" i="1"/>
  <c r="K65" i="1"/>
  <c r="H65" i="1"/>
  <c r="AA65" i="1" s="1"/>
  <c r="AD64" i="1"/>
  <c r="AA64" i="1"/>
  <c r="K64" i="1"/>
  <c r="AD63" i="1"/>
  <c r="AE63" i="1" s="1"/>
  <c r="AA63" i="1"/>
  <c r="W63" i="1"/>
  <c r="R63" i="1"/>
  <c r="P63" i="1"/>
  <c r="L63" i="1"/>
  <c r="AD62" i="1"/>
  <c r="AE62" i="1" s="1"/>
  <c r="AA62" i="1"/>
  <c r="W62" i="1"/>
  <c r="R62" i="1"/>
  <c r="P62" i="1"/>
  <c r="L62" i="1"/>
  <c r="AD61" i="1"/>
  <c r="AE61" i="1" s="1"/>
  <c r="AA61" i="1"/>
  <c r="P61" i="1"/>
  <c r="L61" i="1"/>
  <c r="G60" i="1"/>
  <c r="AA60" i="1" s="1"/>
  <c r="G59" i="1"/>
  <c r="L59" i="1" s="1"/>
  <c r="AA58" i="1"/>
  <c r="L58" i="1"/>
  <c r="AA57" i="1"/>
  <c r="L57" i="1"/>
  <c r="AA56" i="1"/>
  <c r="L56" i="1"/>
  <c r="AE55" i="1"/>
  <c r="AD55" i="1"/>
  <c r="AA55" i="1"/>
  <c r="L55" i="1"/>
  <c r="AE54" i="1"/>
  <c r="AD54" i="1"/>
  <c r="AA54" i="1"/>
  <c r="L54" i="1"/>
  <c r="AE53" i="1"/>
  <c r="AD53" i="1"/>
  <c r="AA53" i="1"/>
  <c r="R53" i="1"/>
  <c r="L53" i="1"/>
  <c r="AA52" i="1"/>
  <c r="R52" i="1"/>
  <c r="L52" i="1"/>
  <c r="AA51" i="1"/>
  <c r="L51" i="1"/>
  <c r="AA50" i="1"/>
  <c r="L50" i="1"/>
  <c r="AA49" i="1"/>
  <c r="L49" i="1"/>
  <c r="AA48" i="1"/>
  <c r="L48" i="1"/>
  <c r="O59" i="1" l="1"/>
  <c r="R55" i="1"/>
  <c r="AP51" i="1"/>
  <c r="R48" i="1"/>
  <c r="AP50" i="1"/>
  <c r="AQ50" i="1" s="1"/>
  <c r="AP58" i="1"/>
  <c r="AP61" i="1"/>
  <c r="AQ61" i="1" s="1"/>
  <c r="O60" i="1"/>
  <c r="R57" i="1"/>
  <c r="R65" i="1"/>
  <c r="R54" i="1"/>
  <c r="R64" i="1"/>
  <c r="AP56" i="1"/>
  <c r="AQ56" i="1" s="1"/>
  <c r="R49" i="1"/>
  <c r="AQ29" i="1"/>
  <c r="AQ48" i="1"/>
  <c r="AQ30" i="1"/>
  <c r="AQ34" i="1"/>
  <c r="AQ32" i="1"/>
  <c r="AQ52" i="1"/>
  <c r="AQ64" i="1"/>
  <c r="AQ58" i="1"/>
  <c r="AQ65" i="1"/>
  <c r="AQ57" i="1"/>
  <c r="AQ47" i="1"/>
  <c r="AA59" i="1"/>
  <c r="AQ63" i="1"/>
  <c r="AQ55" i="1"/>
  <c r="AQ51" i="1"/>
  <c r="AQ46" i="1"/>
  <c r="AQ36" i="1"/>
  <c r="AQ62" i="1"/>
  <c r="AQ54" i="1"/>
  <c r="AQ33" i="1"/>
  <c r="AQ53" i="1"/>
  <c r="AQ49" i="1"/>
  <c r="AQ40" i="1"/>
  <c r="AQ38" i="1"/>
  <c r="AQ35" i="1"/>
  <c r="AQ42" i="1"/>
  <c r="L60" i="1"/>
  <c r="AQ39" i="1"/>
  <c r="AQ41" i="1"/>
  <c r="AQ37" i="1"/>
  <c r="AQ26" i="1"/>
  <c r="AQ27" i="1"/>
  <c r="AQ28" i="1"/>
  <c r="AQ31" i="1"/>
  <c r="R60" i="1" l="1"/>
  <c r="AP60" i="1"/>
  <c r="AQ60" i="1" s="1"/>
  <c r="R59" i="1"/>
  <c r="AP59" i="1"/>
  <c r="AQ59" i="1" s="1"/>
  <c r="AA47" i="1"/>
  <c r="R47" i="1"/>
  <c r="L47" i="1"/>
  <c r="AA46" i="1"/>
  <c r="R46" i="1"/>
  <c r="L46" i="1"/>
  <c r="AA45" i="1"/>
  <c r="R45" i="1"/>
  <c r="L45" i="1"/>
  <c r="AP45" i="1"/>
  <c r="AQ45" i="1" s="1"/>
  <c r="AA44" i="1"/>
  <c r="R44" i="1"/>
  <c r="L44" i="1"/>
  <c r="AP44" i="1"/>
  <c r="AQ44" i="1" s="1"/>
  <c r="AA43" i="1"/>
  <c r="R43" i="1"/>
  <c r="L43" i="1"/>
  <c r="AP43" i="1"/>
  <c r="AQ43" i="1" s="1"/>
  <c r="AA42" i="1"/>
  <c r="W42" i="1"/>
  <c r="R42" i="1"/>
  <c r="L42" i="1"/>
  <c r="AA41" i="1"/>
  <c r="R41" i="1"/>
  <c r="L41" i="1"/>
  <c r="AA40" i="1"/>
  <c r="R40" i="1"/>
  <c r="L40" i="1"/>
  <c r="AA39" i="1"/>
  <c r="R39" i="1"/>
  <c r="L39" i="1"/>
  <c r="R38" i="1"/>
  <c r="AA37" i="1"/>
  <c r="Z37" i="1"/>
  <c r="R37" i="1"/>
  <c r="K37" i="1"/>
  <c r="AA36" i="1"/>
  <c r="R36" i="1"/>
  <c r="AA35" i="1"/>
  <c r="R35" i="1"/>
  <c r="AA34" i="1"/>
  <c r="R34" i="1"/>
  <c r="AA33" i="1"/>
  <c r="R33" i="1"/>
  <c r="AA32" i="1"/>
  <c r="R32" i="1"/>
  <c r="AA31" i="1"/>
  <c r="R31" i="1"/>
  <c r="AA30" i="1"/>
  <c r="R30" i="1"/>
  <c r="AA29" i="1"/>
  <c r="R29" i="1"/>
  <c r="AE28" i="1"/>
  <c r="R28" i="1"/>
  <c r="L28" i="1"/>
  <c r="H28" i="1"/>
  <c r="AA28" i="1" s="1"/>
  <c r="AE27" i="1"/>
  <c r="R27" i="1"/>
  <c r="L27" i="1"/>
  <c r="H27" i="1"/>
  <c r="AA27" i="1" s="1"/>
  <c r="AE26" i="1"/>
  <c r="L26" i="1"/>
  <c r="H26" i="1"/>
  <c r="AA26" i="1" s="1"/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4" i="1"/>
  <c r="O5" i="1"/>
  <c r="AP5" i="1" s="1"/>
  <c r="O6" i="1"/>
  <c r="AP6" i="1" s="1"/>
  <c r="O7" i="1"/>
  <c r="AP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AP13" i="1" s="1"/>
  <c r="O14" i="1"/>
  <c r="AP14" i="1" s="1"/>
  <c r="O15" i="1"/>
  <c r="AP15" i="1" s="1"/>
  <c r="O17" i="1"/>
  <c r="R17" i="1" s="1"/>
  <c r="O18" i="1"/>
  <c r="R18" i="1" s="1"/>
  <c r="O19" i="1"/>
  <c r="R19" i="1" s="1"/>
  <c r="O24" i="1"/>
  <c r="R24" i="1" s="1"/>
  <c r="R25" i="1"/>
  <c r="AP4" i="1"/>
  <c r="AM23" i="1"/>
  <c r="AM21" i="1"/>
  <c r="AM18" i="1"/>
  <c r="AM17" i="1"/>
  <c r="AM15" i="1"/>
  <c r="AM11" i="1"/>
  <c r="AM8" i="1"/>
  <c r="AM7" i="1"/>
  <c r="AM6" i="1"/>
  <c r="AM5" i="1"/>
  <c r="AM4" i="1"/>
  <c r="AG21" i="1"/>
  <c r="AG20" i="1"/>
  <c r="R6" i="1" l="1"/>
  <c r="R14" i="1"/>
  <c r="R7" i="1"/>
  <c r="R13" i="1"/>
  <c r="AQ4" i="1"/>
  <c r="AQ13" i="1"/>
  <c r="R15" i="1"/>
  <c r="AQ15" i="1"/>
  <c r="AQ7" i="1"/>
  <c r="R5" i="1"/>
  <c r="AQ6" i="1"/>
  <c r="AP12" i="1"/>
  <c r="AQ12" i="1" s="1"/>
  <c r="AQ14" i="1"/>
  <c r="AQ5" i="1"/>
  <c r="AP19" i="1"/>
  <c r="AQ19" i="1" s="1"/>
  <c r="AP11" i="1"/>
  <c r="AQ11" i="1" s="1"/>
  <c r="AP25" i="1"/>
  <c r="AQ25" i="1" s="1"/>
  <c r="AP18" i="1"/>
  <c r="AQ18" i="1" s="1"/>
  <c r="AP10" i="1"/>
  <c r="AQ10" i="1" s="1"/>
  <c r="AP17" i="1"/>
  <c r="AQ17" i="1" s="1"/>
  <c r="AP9" i="1"/>
  <c r="AQ9" i="1" s="1"/>
  <c r="AP24" i="1"/>
  <c r="AQ24" i="1" s="1"/>
  <c r="AP8" i="1"/>
  <c r="AQ8" i="1" s="1"/>
  <c r="AA25" i="1"/>
  <c r="L25" i="1"/>
  <c r="AA24" i="1"/>
  <c r="L24" i="1"/>
  <c r="H24" i="1"/>
  <c r="AE23" i="1" l="1"/>
  <c r="G23" i="1"/>
  <c r="AE22" i="1"/>
  <c r="G22" i="1"/>
  <c r="AE21" i="1"/>
  <c r="G21" i="1"/>
  <c r="AE20" i="1"/>
  <c r="G20" i="1"/>
  <c r="AE19" i="1"/>
  <c r="AA19" i="1"/>
  <c r="K19" i="1"/>
  <c r="AA18" i="1"/>
  <c r="L18" i="1"/>
  <c r="AA17" i="1"/>
  <c r="L17" i="1"/>
  <c r="H16" i="1"/>
  <c r="G16" i="1"/>
  <c r="AA15" i="1"/>
  <c r="L15" i="1"/>
  <c r="AA14" i="1"/>
  <c r="AA13" i="1"/>
  <c r="Z13" i="1"/>
  <c r="K13" i="1"/>
  <c r="AA12" i="1"/>
  <c r="Z12" i="1"/>
  <c r="K12" i="1"/>
  <c r="AA11" i="1"/>
  <c r="L11" i="1"/>
  <c r="AA10" i="1"/>
  <c r="L10" i="1"/>
  <c r="AE9" i="1"/>
  <c r="AA9" i="1"/>
  <c r="L9" i="1"/>
  <c r="AA8" i="1"/>
  <c r="W8" i="1"/>
  <c r="L8" i="1"/>
  <c r="AA7" i="1"/>
  <c r="L7" i="1"/>
  <c r="AA6" i="1"/>
  <c r="L6" i="1"/>
  <c r="L5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20" i="1" l="1"/>
  <c r="O20" i="1"/>
  <c r="AA21" i="1"/>
  <c r="O21" i="1"/>
  <c r="AA23" i="1"/>
  <c r="O23" i="1"/>
  <c r="L22" i="1"/>
  <c r="O22" i="1"/>
  <c r="L16" i="1"/>
  <c r="O16" i="1"/>
  <c r="L23" i="1"/>
  <c r="AA16" i="1"/>
  <c r="AA22" i="1"/>
  <c r="AP22" i="1" l="1"/>
  <c r="AQ22" i="1" s="1"/>
  <c r="R22" i="1"/>
  <c r="R21" i="1"/>
  <c r="AP21" i="1"/>
  <c r="AQ21" i="1" s="1"/>
  <c r="R16" i="1"/>
  <c r="AP16" i="1"/>
  <c r="AQ16" i="1" s="1"/>
  <c r="AP20" i="1"/>
  <c r="AQ20" i="1" s="1"/>
  <c r="R20" i="1"/>
  <c r="AP23" i="1"/>
  <c r="AQ23" i="1" s="1"/>
  <c r="R23" i="1"/>
</calcChain>
</file>

<file path=xl/comments1.xml><?xml version="1.0" encoding="utf-8"?>
<comments xmlns="http://schemas.openxmlformats.org/spreadsheetml/2006/main">
  <authors>
    <author>Chen Guangming</author>
  </authors>
  <commentList>
    <comment ref="W2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M39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</commentList>
</comments>
</file>

<file path=xl/sharedStrings.xml><?xml version="1.0" encoding="utf-8"?>
<sst xmlns="http://schemas.openxmlformats.org/spreadsheetml/2006/main" count="471" uniqueCount="135">
  <si>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</si>
  <si>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</si>
  <si>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</si>
  <si>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</si>
  <si>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</si>
  <si>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</si>
  <si>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</si>
  <si>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</si>
  <si>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</si>
  <si>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</si>
  <si>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</si>
  <si>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</si>
  <si>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</si>
  <si>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</si>
  <si>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</si>
  <si>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</si>
  <si>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</si>
  <si>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</si>
  <si>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</si>
  <si>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</si>
  <si>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</si>
  <si>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</si>
  <si>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</si>
  <si>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</si>
  <si>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</si>
  <si>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</si>
  <si>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</si>
  <si>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</si>
  <si>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</si>
  <si>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</si>
  <si>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</si>
  <si>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</si>
  <si>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</si>
  <si>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</si>
  <si>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</si>
  <si>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</si>
  <si>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</si>
  <si>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</si>
  <si>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</si>
  <si>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</si>
  <si>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SO</t>
  </si>
  <si>
    <t>Strip</t>
  </si>
  <si>
    <t>WP</t>
  </si>
  <si>
    <t>S2</t>
  </si>
  <si>
    <t xml:space="preserve">Sato et al. 1996 </t>
  </si>
  <si>
    <t>S4</t>
  </si>
  <si>
    <t>Kage et al. 1997</t>
  </si>
  <si>
    <t>SB1210</t>
  </si>
  <si>
    <t>A1</t>
  </si>
  <si>
    <t>Mitsui et al. 1998</t>
  </si>
  <si>
    <t>S1a</t>
  </si>
  <si>
    <t>Triantafillou 1998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</si>
  <si>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</si>
  <si>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</si>
  <si>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</si>
  <si>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</si>
  <si>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</si>
  <si>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</si>
  <si>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</si>
  <si>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</si>
  <si>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Pellegrino and Modena 2002</t>
  </si>
  <si>
    <t>Z4-90</t>
  </si>
  <si>
    <t>RS2Sa</t>
  </si>
  <si>
    <t>GFRP</t>
  </si>
  <si>
    <t>Kim et al. 2008</t>
  </si>
  <si>
    <t>CP3-1VS</t>
  </si>
  <si>
    <t>290a</t>
  </si>
  <si>
    <t xml:space="preserve">Park et al. 2001 </t>
  </si>
  <si>
    <t>Form</t>
  </si>
  <si>
    <t>Side</t>
  </si>
  <si>
    <t>V3</t>
  </si>
  <si>
    <t>Dash 2009</t>
  </si>
  <si>
    <t>Kamiiharako et al. 1999</t>
  </si>
  <si>
    <t>fc</t>
  </si>
  <si>
    <t>Av,min</t>
  </si>
  <si>
    <t>Av</t>
  </si>
  <si>
    <t>U</t>
  </si>
  <si>
    <t>PU1</t>
  </si>
  <si>
    <t>`</t>
  </si>
  <si>
    <t>Diagana et al. 2003</t>
  </si>
  <si>
    <t>PU2</t>
  </si>
  <si>
    <t>PU3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</si>
  <si>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</si>
  <si>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</si>
  <si>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</si>
  <si>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</si>
  <si>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</si>
  <si>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</si>
  <si>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</si>
  <si>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</si>
  <si>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</si>
  <si>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</si>
  <si>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Sato et al. 1997</t>
  </si>
  <si>
    <t>No.2</t>
  </si>
  <si>
    <t>Malek and Saadatmanesh 1998</t>
  </si>
  <si>
    <t>IIGu</t>
  </si>
  <si>
    <t>Hatchinson and Rizkalla 1999</t>
  </si>
  <si>
    <t>S-Diag-CL</t>
  </si>
  <si>
    <t>I</t>
  </si>
  <si>
    <t>Rizzo and Lorenzis 2009</t>
  </si>
  <si>
    <t>UW 90</t>
  </si>
  <si>
    <t>2S-M</t>
  </si>
  <si>
    <t>Dias and Barros  2010</t>
  </si>
  <si>
    <t>2S-M(1)</t>
  </si>
  <si>
    <t>2S-M(2)</t>
  </si>
  <si>
    <t>SB1-3</t>
  </si>
  <si>
    <t>Feng  et al. 2004</t>
  </si>
  <si>
    <t>SB1-5</t>
  </si>
  <si>
    <t>SB1-9</t>
  </si>
  <si>
    <t>Deniaud and Cheng 2001</t>
  </si>
  <si>
    <t>T6S4-C90</t>
  </si>
  <si>
    <t>T6S4-G45</t>
  </si>
  <si>
    <t>PC1</t>
  </si>
  <si>
    <t>W</t>
  </si>
  <si>
    <t>PC2</t>
  </si>
  <si>
    <t>PC3</t>
  </si>
  <si>
    <t>PC4</t>
  </si>
  <si>
    <t>Sheet</t>
  </si>
  <si>
    <t>W45+</t>
  </si>
  <si>
    <t>SB-F1</t>
  </si>
  <si>
    <t>Leung et al. 2007</t>
  </si>
  <si>
    <t>MB-F1</t>
  </si>
  <si>
    <t>LB-F1</t>
  </si>
  <si>
    <t>ST1b</t>
  </si>
  <si>
    <t>Ianniruberto et al. 2004</t>
  </si>
  <si>
    <t>ST2b</t>
  </si>
  <si>
    <t>ST3b</t>
  </si>
  <si>
    <t>Alzate et al. 2009</t>
  </si>
  <si>
    <t>V4L</t>
  </si>
  <si>
    <t>V6L</t>
  </si>
  <si>
    <t>Melo et al. 2006</t>
  </si>
  <si>
    <t>(FRPRCS-6)</t>
  </si>
  <si>
    <t>AS150-1/5Z-2.7S</t>
  </si>
  <si>
    <t>Taerwe et al. 1997</t>
  </si>
  <si>
    <t>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</si>
</sst>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3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5"/>
  <sheetViews>
    <sheetView tabSelected="1" workbookViewId="0">
      <pane ySplit="3" topLeftCell="A4" activePane="bottomLeft" state="frozen"/>
      <selection pane="bottomLeft" activeCell="A25" sqref="A25:XFD25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35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68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 t="s">
        <v>73</v>
      </c>
      <c r="AH3" s="13" t="s">
        <v>19</v>
      </c>
      <c r="AI3" s="12" t="s">
        <v>20</v>
      </c>
      <c r="AJ3" s="12" t="s">
        <v>21</v>
      </c>
      <c r="AK3" s="12" t="s">
        <v>22</v>
      </c>
      <c r="AL3" s="12" t="s">
        <v>23</v>
      </c>
      <c r="AM3" s="14" t="s">
        <v>24</v>
      </c>
      <c r="AN3" s="2"/>
      <c r="AO3" s="2" t="s">
        <v>75</v>
      </c>
      <c r="AP3" s="2" t="s">
        <v>74</v>
      </c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19">
        <v>1</v>
      </c>
      <c r="B4" s="10"/>
      <c r="C4" s="2" t="s">
        <v>40</v>
      </c>
      <c r="D4" s="19">
        <v>20.5</v>
      </c>
      <c r="E4" s="19">
        <v>150</v>
      </c>
      <c r="F4" s="19">
        <v>150</v>
      </c>
      <c r="G4" s="19">
        <v>113</v>
      </c>
      <c r="H4" s="19">
        <v>150</v>
      </c>
      <c r="I4" s="19">
        <v>0</v>
      </c>
      <c r="J4" s="19" t="s">
        <v>36</v>
      </c>
      <c r="K4" s="19">
        <v>400</v>
      </c>
      <c r="L4" s="20">
        <f t="shared" ref="L4:L11" si="1">K4/G4</f>
        <v>3.5398230088495577</v>
      </c>
      <c r="M4" s="19" t="s">
        <v>20</v>
      </c>
      <c r="N4" s="19">
        <v>6</v>
      </c>
      <c r="O4" s="19">
        <f>0.45*G4</f>
        <v>50.85</v>
      </c>
      <c r="P4" s="19">
        <v>200000</v>
      </c>
      <c r="Q4" s="19">
        <v>450</v>
      </c>
      <c r="R4" s="19">
        <f t="shared" ref="R4:R25" si="2">100*2*3.1416*N4^2/4/O4/E4</f>
        <v>0.74138053097345114</v>
      </c>
      <c r="S4" s="19" t="s">
        <v>38</v>
      </c>
      <c r="T4" s="19" t="s">
        <v>41</v>
      </c>
      <c r="U4" s="19" t="s">
        <v>69</v>
      </c>
      <c r="V4" s="19">
        <v>16000</v>
      </c>
      <c r="W4" s="19">
        <v>3</v>
      </c>
      <c r="X4" s="19">
        <v>200</v>
      </c>
      <c r="Y4" s="19">
        <v>20</v>
      </c>
      <c r="Z4" s="19">
        <v>50</v>
      </c>
      <c r="AA4" s="9">
        <f>0.9*G4</f>
        <v>101.7</v>
      </c>
      <c r="AB4" s="19">
        <v>90</v>
      </c>
      <c r="AC4" s="19">
        <v>45</v>
      </c>
      <c r="AD4" s="21">
        <v>41.5</v>
      </c>
      <c r="AE4" s="21">
        <v>8.15</v>
      </c>
      <c r="AF4" s="2"/>
      <c r="AG4" s="19">
        <v>37.700000000000003</v>
      </c>
      <c r="AH4" s="10" t="s">
        <v>20</v>
      </c>
      <c r="AI4" s="19">
        <v>6</v>
      </c>
      <c r="AJ4" s="19">
        <v>200</v>
      </c>
      <c r="AK4" s="19">
        <v>200000</v>
      </c>
      <c r="AL4" s="19">
        <v>450</v>
      </c>
      <c r="AM4" s="19">
        <f t="shared" ref="AM4:AM8" si="3">100*2*3.1416*AI4^2/4/AJ4/Z4</f>
        <v>0.56548799999999988</v>
      </c>
      <c r="AN4" s="2"/>
      <c r="AO4" s="2">
        <f>2*PI()/4*N4^2</f>
        <v>56.548667764616276</v>
      </c>
      <c r="AP4" s="2">
        <f>0.062*SQRT(D4)*E4*O4/Q4</f>
        <v>4.7581521208343061</v>
      </c>
      <c r="AQ4" s="2" t="str">
        <f>IF(AO4&gt;AP4, "OK","No")</f>
        <v>OK</v>
      </c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19">
        <v>2</v>
      </c>
      <c r="B5" s="10"/>
      <c r="C5" s="2" t="s">
        <v>42</v>
      </c>
      <c r="D5" s="19">
        <v>20.5</v>
      </c>
      <c r="E5" s="19">
        <v>150</v>
      </c>
      <c r="F5" s="19">
        <v>150</v>
      </c>
      <c r="G5" s="19">
        <v>113</v>
      </c>
      <c r="H5" s="19">
        <v>135</v>
      </c>
      <c r="I5" s="19">
        <v>15</v>
      </c>
      <c r="J5" s="19" t="s">
        <v>36</v>
      </c>
      <c r="K5" s="19">
        <v>400</v>
      </c>
      <c r="L5" s="20">
        <f t="shared" si="1"/>
        <v>3.5398230088495577</v>
      </c>
      <c r="M5" s="19" t="s">
        <v>20</v>
      </c>
      <c r="N5" s="19">
        <v>6</v>
      </c>
      <c r="O5" s="19">
        <f t="shared" ref="O5:O65" si="4">0.45*G5</f>
        <v>50.85</v>
      </c>
      <c r="P5" s="19">
        <v>200000</v>
      </c>
      <c r="Q5" s="19">
        <v>450</v>
      </c>
      <c r="R5" s="19">
        <f t="shared" si="2"/>
        <v>0.74138053097345114</v>
      </c>
      <c r="S5" s="19" t="s">
        <v>38</v>
      </c>
      <c r="T5" s="19" t="s">
        <v>39</v>
      </c>
      <c r="U5" s="19" t="s">
        <v>69</v>
      </c>
      <c r="V5" s="19">
        <v>16000</v>
      </c>
      <c r="W5" s="19">
        <v>3</v>
      </c>
      <c r="X5" s="19">
        <v>200</v>
      </c>
      <c r="Y5" s="19">
        <v>20</v>
      </c>
      <c r="Z5" s="19">
        <v>20</v>
      </c>
      <c r="AA5" s="9">
        <v>71.7</v>
      </c>
      <c r="AB5" s="19">
        <v>90</v>
      </c>
      <c r="AC5" s="19">
        <v>45</v>
      </c>
      <c r="AD5" s="21">
        <v>45.2</v>
      </c>
      <c r="AE5" s="21">
        <v>11.85</v>
      </c>
      <c r="AF5" s="2"/>
      <c r="AG5" s="19">
        <v>37.700000000000003</v>
      </c>
      <c r="AH5" s="10" t="s">
        <v>20</v>
      </c>
      <c r="AI5" s="19">
        <v>6</v>
      </c>
      <c r="AJ5" s="19">
        <v>200</v>
      </c>
      <c r="AK5" s="19">
        <v>200000</v>
      </c>
      <c r="AL5" s="19">
        <v>450</v>
      </c>
      <c r="AM5" s="19">
        <f t="shared" si="3"/>
        <v>1.4137199999999999</v>
      </c>
      <c r="AN5" s="2"/>
      <c r="AO5" s="2">
        <f t="shared" ref="AO5:AO25" si="5">2*PI()/4*N5^2</f>
        <v>56.548667764616276</v>
      </c>
      <c r="AP5" s="2">
        <f t="shared" ref="AP5:AP25" si="6">0.062*SQRT(D5)*E5*O5/Q5</f>
        <v>4.7581521208343061</v>
      </c>
      <c r="AQ5" s="2" t="str">
        <f t="shared" ref="AQ5:AQ25" si="7">IF(AO5&gt;AP5, "OK","No")</f>
        <v>OK</v>
      </c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19">
        <v>3</v>
      </c>
      <c r="B6" s="18"/>
      <c r="C6" s="2" t="s">
        <v>43</v>
      </c>
      <c r="D6" s="19">
        <v>20.5</v>
      </c>
      <c r="E6" s="19">
        <v>200</v>
      </c>
      <c r="F6" s="19">
        <v>300</v>
      </c>
      <c r="G6" s="19">
        <v>260</v>
      </c>
      <c r="H6" s="19">
        <v>300</v>
      </c>
      <c r="I6" s="19">
        <v>0</v>
      </c>
      <c r="J6" s="19" t="s">
        <v>36</v>
      </c>
      <c r="K6" s="19">
        <v>700</v>
      </c>
      <c r="L6" s="20">
        <f t="shared" si="1"/>
        <v>2.6923076923076925</v>
      </c>
      <c r="M6" s="19" t="s">
        <v>20</v>
      </c>
      <c r="N6" s="19">
        <v>6</v>
      </c>
      <c r="O6" s="19">
        <f t="shared" si="4"/>
        <v>117</v>
      </c>
      <c r="P6" s="19">
        <v>200000</v>
      </c>
      <c r="Q6" s="18">
        <v>390</v>
      </c>
      <c r="R6" s="19">
        <f t="shared" si="2"/>
        <v>0.24166153846153843</v>
      </c>
      <c r="S6" s="19" t="s">
        <v>38</v>
      </c>
      <c r="T6" s="19" t="s">
        <v>41</v>
      </c>
      <c r="U6" s="19" t="s">
        <v>69</v>
      </c>
      <c r="V6" s="19">
        <v>230000</v>
      </c>
      <c r="W6" s="19">
        <v>0.11</v>
      </c>
      <c r="X6" s="19">
        <v>3480</v>
      </c>
      <c r="Y6" s="19">
        <v>30</v>
      </c>
      <c r="Z6" s="19">
        <v>60</v>
      </c>
      <c r="AA6" s="9">
        <f t="shared" ref="AA6:AA13" si="8">0.9*G6</f>
        <v>234</v>
      </c>
      <c r="AB6" s="19">
        <v>90</v>
      </c>
      <c r="AC6" s="19">
        <v>45</v>
      </c>
      <c r="AD6" s="21">
        <v>80.25</v>
      </c>
      <c r="AE6" s="21">
        <v>34.200000000000003</v>
      </c>
      <c r="AF6" s="2"/>
      <c r="AG6" s="19">
        <v>45.2</v>
      </c>
      <c r="AH6" s="18" t="s">
        <v>37</v>
      </c>
      <c r="AI6" s="18"/>
      <c r="AJ6" s="18">
        <v>120</v>
      </c>
      <c r="AK6" s="18">
        <v>197000</v>
      </c>
      <c r="AL6" s="18">
        <v>390</v>
      </c>
      <c r="AM6" s="19">
        <f t="shared" si="3"/>
        <v>0</v>
      </c>
      <c r="AN6" s="2"/>
      <c r="AO6" s="2">
        <f t="shared" si="5"/>
        <v>56.548667764616276</v>
      </c>
      <c r="AP6" s="2">
        <f t="shared" si="6"/>
        <v>16.843016356935596</v>
      </c>
      <c r="AQ6" s="2" t="str">
        <f t="shared" si="7"/>
        <v>OK</v>
      </c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19">
        <v>4</v>
      </c>
      <c r="B7" s="18" t="s">
        <v>44</v>
      </c>
      <c r="C7" s="2" t="s">
        <v>45</v>
      </c>
      <c r="D7" s="19">
        <v>20.5</v>
      </c>
      <c r="E7" s="19">
        <v>200</v>
      </c>
      <c r="F7" s="19">
        <v>300</v>
      </c>
      <c r="G7" s="19">
        <v>260</v>
      </c>
      <c r="H7" s="19">
        <v>300</v>
      </c>
      <c r="I7" s="19">
        <v>0</v>
      </c>
      <c r="J7" s="19" t="s">
        <v>36</v>
      </c>
      <c r="K7" s="19">
        <v>700</v>
      </c>
      <c r="L7" s="20">
        <f t="shared" si="1"/>
        <v>2.6923076923076925</v>
      </c>
      <c r="M7" s="19" t="s">
        <v>20</v>
      </c>
      <c r="N7" s="19">
        <v>6</v>
      </c>
      <c r="O7" s="19">
        <f t="shared" si="4"/>
        <v>117</v>
      </c>
      <c r="P7" s="19">
        <v>200000</v>
      </c>
      <c r="Q7" s="18">
        <v>390</v>
      </c>
      <c r="R7" s="19">
        <f t="shared" si="2"/>
        <v>0.24166153846153843</v>
      </c>
      <c r="S7" s="19" t="s">
        <v>38</v>
      </c>
      <c r="T7" s="19" t="s">
        <v>39</v>
      </c>
      <c r="U7" s="19" t="s">
        <v>69</v>
      </c>
      <c r="V7" s="19">
        <v>230000</v>
      </c>
      <c r="W7" s="19">
        <v>0.11</v>
      </c>
      <c r="X7" s="19">
        <v>3480</v>
      </c>
      <c r="Y7" s="19">
        <v>30</v>
      </c>
      <c r="Z7" s="19">
        <v>30</v>
      </c>
      <c r="AA7" s="9">
        <f t="shared" si="8"/>
        <v>234</v>
      </c>
      <c r="AB7" s="19">
        <v>90</v>
      </c>
      <c r="AC7" s="19">
        <v>45</v>
      </c>
      <c r="AD7" s="21">
        <v>78.150000000000006</v>
      </c>
      <c r="AE7" s="21">
        <v>32.1</v>
      </c>
      <c r="AF7" s="2"/>
      <c r="AG7" s="19">
        <v>37.5</v>
      </c>
      <c r="AH7" s="18" t="s">
        <v>37</v>
      </c>
      <c r="AI7" s="18"/>
      <c r="AJ7" s="18">
        <v>120</v>
      </c>
      <c r="AK7" s="18">
        <v>197000</v>
      </c>
      <c r="AL7" s="18">
        <v>390</v>
      </c>
      <c r="AM7" s="19">
        <f t="shared" si="3"/>
        <v>0</v>
      </c>
      <c r="AN7" s="2"/>
      <c r="AO7" s="2">
        <f t="shared" si="5"/>
        <v>56.548667764616276</v>
      </c>
      <c r="AP7" s="2">
        <f t="shared" si="6"/>
        <v>16.843016356935596</v>
      </c>
      <c r="AQ7" s="2" t="str">
        <f t="shared" si="7"/>
        <v>OK</v>
      </c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19">
        <v>5</v>
      </c>
      <c r="B8" s="10" t="s">
        <v>46</v>
      </c>
      <c r="C8" s="2" t="s">
        <v>47</v>
      </c>
      <c r="D8" s="19">
        <v>20.5</v>
      </c>
      <c r="E8" s="19">
        <v>200</v>
      </c>
      <c r="F8" s="19">
        <v>200</v>
      </c>
      <c r="G8" s="19">
        <v>160</v>
      </c>
      <c r="H8" s="19">
        <v>200</v>
      </c>
      <c r="I8" s="19">
        <v>0</v>
      </c>
      <c r="J8" s="19" t="s">
        <v>36</v>
      </c>
      <c r="K8" s="19">
        <v>650</v>
      </c>
      <c r="L8" s="20">
        <f t="shared" si="1"/>
        <v>4.0625</v>
      </c>
      <c r="M8" s="19" t="s">
        <v>20</v>
      </c>
      <c r="N8" s="19">
        <v>6</v>
      </c>
      <c r="O8" s="19">
        <f t="shared" si="4"/>
        <v>72</v>
      </c>
      <c r="P8" s="19">
        <v>200000</v>
      </c>
      <c r="Q8" s="19">
        <v>132.30000000000001</v>
      </c>
      <c r="R8" s="19">
        <f t="shared" si="2"/>
        <v>0.39269999999999994</v>
      </c>
      <c r="S8" s="19" t="s">
        <v>38</v>
      </c>
      <c r="T8" s="19" t="s">
        <v>39</v>
      </c>
      <c r="U8" s="19" t="s">
        <v>69</v>
      </c>
      <c r="V8" s="19">
        <v>284200</v>
      </c>
      <c r="W8" s="22">
        <f>0.097*1</f>
        <v>9.7000000000000003E-2</v>
      </c>
      <c r="X8" s="19">
        <v>3430</v>
      </c>
      <c r="Y8" s="19">
        <v>100</v>
      </c>
      <c r="Z8" s="19">
        <v>100</v>
      </c>
      <c r="AA8" s="9">
        <f t="shared" si="8"/>
        <v>144</v>
      </c>
      <c r="AB8" s="19">
        <v>90</v>
      </c>
      <c r="AC8" s="19">
        <v>45</v>
      </c>
      <c r="AD8" s="21">
        <v>78.95</v>
      </c>
      <c r="AE8" s="21">
        <v>22.1</v>
      </c>
      <c r="AF8" s="2"/>
      <c r="AG8" s="19">
        <v>39.200000000000003</v>
      </c>
      <c r="AH8" s="10" t="s">
        <v>4</v>
      </c>
      <c r="AI8" s="19">
        <v>3</v>
      </c>
      <c r="AJ8" s="19">
        <v>100</v>
      </c>
      <c r="AK8" s="19">
        <v>178360</v>
      </c>
      <c r="AL8" s="19">
        <v>132.30000000000001</v>
      </c>
      <c r="AM8" s="19">
        <f t="shared" si="3"/>
        <v>0.14137199999999997</v>
      </c>
      <c r="AN8" s="2"/>
      <c r="AO8" s="2">
        <f t="shared" si="5"/>
        <v>56.548667764616276</v>
      </c>
      <c r="AP8" s="2">
        <f t="shared" si="6"/>
        <v>30.554224683783392</v>
      </c>
      <c r="AQ8" s="2" t="str">
        <f t="shared" si="7"/>
        <v>OK</v>
      </c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19">
        <v>6</v>
      </c>
      <c r="B9" s="18" t="s">
        <v>49</v>
      </c>
      <c r="C9" s="2" t="s">
        <v>48</v>
      </c>
      <c r="D9" s="19">
        <v>20.5</v>
      </c>
      <c r="E9" s="19">
        <v>150</v>
      </c>
      <c r="F9" s="19">
        <v>250</v>
      </c>
      <c r="G9" s="19">
        <v>220</v>
      </c>
      <c r="H9" s="19">
        <v>250</v>
      </c>
      <c r="I9" s="19">
        <v>0</v>
      </c>
      <c r="J9" s="19" t="s">
        <v>36</v>
      </c>
      <c r="K9" s="19">
        <v>250</v>
      </c>
      <c r="L9" s="20">
        <f t="shared" si="1"/>
        <v>1.1363636363636365</v>
      </c>
      <c r="M9" s="19" t="s">
        <v>20</v>
      </c>
      <c r="N9" s="19">
        <v>6</v>
      </c>
      <c r="O9" s="19">
        <f t="shared" si="4"/>
        <v>99</v>
      </c>
      <c r="P9" s="19">
        <v>200000</v>
      </c>
      <c r="Q9" s="19">
        <v>273</v>
      </c>
      <c r="R9" s="19">
        <f t="shared" si="2"/>
        <v>0.38079999999999992</v>
      </c>
      <c r="S9" s="19" t="s">
        <v>38</v>
      </c>
      <c r="T9" s="19" t="s">
        <v>39</v>
      </c>
      <c r="U9" s="19" t="s">
        <v>69</v>
      </c>
      <c r="V9" s="19">
        <v>230000</v>
      </c>
      <c r="W9" s="19">
        <v>0.16700000000000001</v>
      </c>
      <c r="X9" s="19">
        <v>3430</v>
      </c>
      <c r="Y9" s="19">
        <v>50</v>
      </c>
      <c r="Z9" s="19">
        <v>50</v>
      </c>
      <c r="AA9" s="9">
        <f t="shared" si="8"/>
        <v>198</v>
      </c>
      <c r="AB9" s="19">
        <v>90</v>
      </c>
      <c r="AC9" s="19">
        <v>45</v>
      </c>
      <c r="AD9" s="21">
        <v>134.35</v>
      </c>
      <c r="AE9" s="21">
        <f>40.2</f>
        <v>40.200000000000003</v>
      </c>
      <c r="AF9" s="2"/>
      <c r="AG9" s="19">
        <v>28.5</v>
      </c>
      <c r="AH9" s="9" t="s">
        <v>37</v>
      </c>
      <c r="AI9" s="19"/>
      <c r="AJ9" s="19"/>
      <c r="AK9" s="19"/>
      <c r="AL9" s="19"/>
      <c r="AM9" s="19"/>
      <c r="AN9" s="2"/>
      <c r="AO9" s="2">
        <f t="shared" si="5"/>
        <v>56.548667764616276</v>
      </c>
      <c r="AP9" s="2">
        <f t="shared" si="6"/>
        <v>15.269767576342709</v>
      </c>
      <c r="AQ9" s="2" t="str">
        <f t="shared" si="7"/>
        <v>OK</v>
      </c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19">
        <v>7</v>
      </c>
      <c r="B10" s="10" t="s">
        <v>51</v>
      </c>
      <c r="C10" s="2" t="s">
        <v>50</v>
      </c>
      <c r="D10" s="19">
        <v>20.5</v>
      </c>
      <c r="E10" s="19">
        <v>70</v>
      </c>
      <c r="F10" s="19">
        <v>110</v>
      </c>
      <c r="G10" s="19">
        <v>100</v>
      </c>
      <c r="H10" s="19">
        <v>110</v>
      </c>
      <c r="I10" s="19">
        <v>0</v>
      </c>
      <c r="J10" s="19" t="s">
        <v>36</v>
      </c>
      <c r="K10" s="19">
        <v>320</v>
      </c>
      <c r="L10" s="20">
        <f t="shared" si="1"/>
        <v>3.2</v>
      </c>
      <c r="M10" s="19" t="s">
        <v>20</v>
      </c>
      <c r="N10" s="19">
        <v>6</v>
      </c>
      <c r="O10" s="19">
        <f t="shared" si="4"/>
        <v>45</v>
      </c>
      <c r="P10" s="19">
        <v>200000</v>
      </c>
      <c r="Q10" s="19">
        <v>273</v>
      </c>
      <c r="R10" s="19">
        <f t="shared" si="2"/>
        <v>1.7951999999999999</v>
      </c>
      <c r="S10" s="19" t="s">
        <v>38</v>
      </c>
      <c r="T10" s="19" t="s">
        <v>41</v>
      </c>
      <c r="U10" s="19" t="s">
        <v>69</v>
      </c>
      <c r="V10" s="22">
        <v>235000</v>
      </c>
      <c r="W10" s="24">
        <v>0.11</v>
      </c>
      <c r="X10" s="22">
        <v>3300</v>
      </c>
      <c r="Y10" s="25">
        <v>30</v>
      </c>
      <c r="Z10" s="19">
        <v>45</v>
      </c>
      <c r="AA10" s="9">
        <f t="shared" si="8"/>
        <v>90</v>
      </c>
      <c r="AB10" s="19">
        <v>90</v>
      </c>
      <c r="AC10" s="19">
        <v>45</v>
      </c>
      <c r="AD10" s="26">
        <v>43.5</v>
      </c>
      <c r="AE10" s="21">
        <v>27.1</v>
      </c>
      <c r="AF10" s="2"/>
      <c r="AG10" s="19">
        <v>30</v>
      </c>
      <c r="AH10" s="19" t="s">
        <v>37</v>
      </c>
      <c r="AI10" s="19">
        <v>0</v>
      </c>
      <c r="AJ10" s="19"/>
      <c r="AK10" s="19"/>
      <c r="AL10" s="19"/>
      <c r="AM10" s="19"/>
      <c r="AN10" s="2"/>
      <c r="AO10" s="2">
        <f t="shared" si="5"/>
        <v>56.548667764616276</v>
      </c>
      <c r="AP10" s="2">
        <f t="shared" si="6"/>
        <v>3.2390416071029993</v>
      </c>
      <c r="AQ10" s="2" t="str">
        <f t="shared" si="7"/>
        <v>OK</v>
      </c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19">
        <v>8</v>
      </c>
      <c r="B11" s="27"/>
      <c r="C11" s="2" t="s">
        <v>52</v>
      </c>
      <c r="D11" s="19">
        <v>20.5</v>
      </c>
      <c r="E11" s="19">
        <v>152</v>
      </c>
      <c r="F11" s="19">
        <v>152</v>
      </c>
      <c r="G11" s="19">
        <v>101</v>
      </c>
      <c r="H11" s="19">
        <v>152</v>
      </c>
      <c r="I11" s="19">
        <v>0</v>
      </c>
      <c r="J11" s="19" t="s">
        <v>36</v>
      </c>
      <c r="K11" s="19">
        <v>152.4</v>
      </c>
      <c r="L11" s="20">
        <f t="shared" si="1"/>
        <v>1.5089108910891089</v>
      </c>
      <c r="M11" s="19" t="s">
        <v>20</v>
      </c>
      <c r="N11" s="19">
        <v>6</v>
      </c>
      <c r="O11" s="19">
        <f t="shared" si="4"/>
        <v>45.45</v>
      </c>
      <c r="P11" s="19">
        <v>200000</v>
      </c>
      <c r="Q11" s="19">
        <v>273</v>
      </c>
      <c r="R11" s="19">
        <f t="shared" si="2"/>
        <v>0.81855132881709203</v>
      </c>
      <c r="S11" s="19" t="s">
        <v>38</v>
      </c>
      <c r="T11" s="19" t="s">
        <v>39</v>
      </c>
      <c r="U11" s="19" t="s">
        <v>69</v>
      </c>
      <c r="V11" s="19">
        <v>230000</v>
      </c>
      <c r="W11" s="19">
        <v>0.33</v>
      </c>
      <c r="X11" s="19">
        <v>3400</v>
      </c>
      <c r="Y11" s="19">
        <v>50</v>
      </c>
      <c r="Z11" s="19">
        <v>50</v>
      </c>
      <c r="AA11" s="9">
        <f t="shared" si="8"/>
        <v>90.9</v>
      </c>
      <c r="AB11" s="19">
        <v>90</v>
      </c>
      <c r="AC11" s="19">
        <v>45</v>
      </c>
      <c r="AD11" s="21">
        <v>84.75</v>
      </c>
      <c r="AE11" s="21">
        <v>34.049999999999997</v>
      </c>
      <c r="AF11" s="2"/>
      <c r="AG11" s="19">
        <v>27.5</v>
      </c>
      <c r="AH11" s="18" t="s">
        <v>37</v>
      </c>
      <c r="AI11" s="28"/>
      <c r="AJ11" s="19">
        <v>100</v>
      </c>
      <c r="AK11" s="28"/>
      <c r="AL11" s="28"/>
      <c r="AM11" s="19">
        <f t="shared" ref="AM11" si="9">100*2*3.1416*AI11^2/4/AJ11/Z11</f>
        <v>0</v>
      </c>
      <c r="AN11" s="2"/>
      <c r="AO11" s="2">
        <f t="shared" si="5"/>
        <v>56.548667764616276</v>
      </c>
      <c r="AP11" s="2">
        <f t="shared" si="6"/>
        <v>7.1036809646064638</v>
      </c>
      <c r="AQ11" s="2" t="str">
        <f t="shared" si="7"/>
        <v>OK</v>
      </c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19">
        <v>9</v>
      </c>
      <c r="B12" s="29"/>
      <c r="C12" s="19" t="s">
        <v>53</v>
      </c>
      <c r="D12" s="19">
        <v>20.5</v>
      </c>
      <c r="E12" s="19">
        <v>180</v>
      </c>
      <c r="F12" s="18">
        <v>500</v>
      </c>
      <c r="G12" s="19">
        <v>460</v>
      </c>
      <c r="H12" s="19">
        <v>500</v>
      </c>
      <c r="I12" s="19">
        <v>0</v>
      </c>
      <c r="J12" s="19" t="s">
        <v>36</v>
      </c>
      <c r="K12" s="18">
        <f>L12*G12</f>
        <v>1610</v>
      </c>
      <c r="L12" s="20">
        <v>3.5</v>
      </c>
      <c r="M12" s="19" t="s">
        <v>20</v>
      </c>
      <c r="N12" s="19">
        <v>8</v>
      </c>
      <c r="O12" s="19">
        <f t="shared" si="4"/>
        <v>207</v>
      </c>
      <c r="P12" s="19">
        <v>200000</v>
      </c>
      <c r="Q12" s="19">
        <v>273</v>
      </c>
      <c r="R12" s="19">
        <f t="shared" si="2"/>
        <v>0.26980998389694039</v>
      </c>
      <c r="S12" s="19" t="s">
        <v>38</v>
      </c>
      <c r="T12" s="19" t="s">
        <v>39</v>
      </c>
      <c r="U12" s="19" t="s">
        <v>69</v>
      </c>
      <c r="V12" s="19">
        <v>70800</v>
      </c>
      <c r="W12" s="19">
        <v>0.8</v>
      </c>
      <c r="X12" s="19">
        <v>860</v>
      </c>
      <c r="Y12" s="18">
        <v>300</v>
      </c>
      <c r="Z12" s="18">
        <f>4*Y12/SQRT(2)</f>
        <v>848.52813742385695</v>
      </c>
      <c r="AA12" s="9">
        <f t="shared" si="8"/>
        <v>414</v>
      </c>
      <c r="AB12" s="19">
        <v>45</v>
      </c>
      <c r="AC12" s="19">
        <v>45</v>
      </c>
      <c r="AD12" s="21">
        <v>195</v>
      </c>
      <c r="AE12" s="21">
        <v>89</v>
      </c>
      <c r="AF12" s="2"/>
      <c r="AG12" s="19">
        <v>53.8</v>
      </c>
      <c r="AH12" s="19" t="s">
        <v>37</v>
      </c>
      <c r="AI12" s="19">
        <v>0</v>
      </c>
      <c r="AJ12" s="28"/>
      <c r="AK12" s="28"/>
      <c r="AL12" s="28"/>
      <c r="AM12" s="19"/>
      <c r="AN12" s="2"/>
      <c r="AO12" s="2">
        <f t="shared" si="5"/>
        <v>100.53096491487338</v>
      </c>
      <c r="AP12" s="2">
        <f t="shared" si="6"/>
        <v>38.313235009732622</v>
      </c>
      <c r="AQ12" s="2" t="str">
        <f t="shared" si="7"/>
        <v>OK</v>
      </c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19">
        <v>10</v>
      </c>
      <c r="B13" s="29" t="s">
        <v>54</v>
      </c>
      <c r="C13" s="19" t="s">
        <v>55</v>
      </c>
      <c r="D13" s="19">
        <v>20.5</v>
      </c>
      <c r="E13" s="19">
        <v>180</v>
      </c>
      <c r="F13" s="18">
        <v>500</v>
      </c>
      <c r="G13" s="19">
        <v>460</v>
      </c>
      <c r="H13" s="19">
        <v>500</v>
      </c>
      <c r="I13" s="19">
        <v>0</v>
      </c>
      <c r="J13" s="19" t="s">
        <v>36</v>
      </c>
      <c r="K13" s="18">
        <f>L13*G13</f>
        <v>1196</v>
      </c>
      <c r="L13" s="20">
        <v>2.6</v>
      </c>
      <c r="M13" s="19" t="s">
        <v>20</v>
      </c>
      <c r="N13" s="19">
        <v>8</v>
      </c>
      <c r="O13" s="19">
        <f t="shared" si="4"/>
        <v>207</v>
      </c>
      <c r="P13" s="19">
        <v>200000</v>
      </c>
      <c r="Q13" s="19">
        <v>273</v>
      </c>
      <c r="R13" s="19">
        <f t="shared" si="2"/>
        <v>0.26980998389694039</v>
      </c>
      <c r="S13" s="19" t="s">
        <v>38</v>
      </c>
      <c r="T13" s="19" t="s">
        <v>39</v>
      </c>
      <c r="U13" s="19" t="s">
        <v>69</v>
      </c>
      <c r="V13" s="19">
        <v>70800</v>
      </c>
      <c r="W13" s="19">
        <v>0.8</v>
      </c>
      <c r="X13" s="19">
        <v>860</v>
      </c>
      <c r="Y13" s="18">
        <v>1</v>
      </c>
      <c r="Z13" s="18">
        <f>2*Y13/SQRT(2)</f>
        <v>1.4142135623730949</v>
      </c>
      <c r="AA13" s="9">
        <f t="shared" si="8"/>
        <v>414</v>
      </c>
      <c r="AB13" s="19">
        <v>45</v>
      </c>
      <c r="AC13" s="19">
        <v>45</v>
      </c>
      <c r="AD13" s="21">
        <v>243</v>
      </c>
      <c r="AE13" s="21">
        <v>122.5</v>
      </c>
      <c r="AF13" s="2"/>
      <c r="AG13" s="19">
        <v>52.7</v>
      </c>
      <c r="AH13" s="19" t="s">
        <v>37</v>
      </c>
      <c r="AI13" s="19">
        <v>0</v>
      </c>
      <c r="AJ13" s="19"/>
      <c r="AK13" s="19"/>
      <c r="AL13" s="19"/>
      <c r="AM13" s="19"/>
      <c r="AN13" s="2"/>
      <c r="AO13" s="2">
        <f t="shared" si="5"/>
        <v>100.53096491487338</v>
      </c>
      <c r="AP13" s="2">
        <f t="shared" si="6"/>
        <v>38.313235009732622</v>
      </c>
      <c r="AQ13" s="2" t="str">
        <f t="shared" si="7"/>
        <v>OK</v>
      </c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19">
        <v>11</v>
      </c>
      <c r="B14" s="18" t="s">
        <v>56</v>
      </c>
      <c r="C14" s="2" t="s">
        <v>57</v>
      </c>
      <c r="D14" s="19">
        <v>20.5</v>
      </c>
      <c r="E14" s="19">
        <v>150</v>
      </c>
      <c r="F14" s="19">
        <v>405</v>
      </c>
      <c r="G14" s="19">
        <v>360</v>
      </c>
      <c r="H14" s="19">
        <v>405</v>
      </c>
      <c r="I14" s="19">
        <v>100</v>
      </c>
      <c r="J14" s="19" t="s">
        <v>58</v>
      </c>
      <c r="K14" s="19">
        <v>1070</v>
      </c>
      <c r="L14" s="20">
        <v>2.6</v>
      </c>
      <c r="M14" s="19" t="s">
        <v>20</v>
      </c>
      <c r="N14" s="19">
        <v>6</v>
      </c>
      <c r="O14" s="19">
        <f t="shared" si="4"/>
        <v>162</v>
      </c>
      <c r="P14" s="19">
        <v>200000</v>
      </c>
      <c r="Q14" s="19">
        <v>273</v>
      </c>
      <c r="R14" s="19">
        <f t="shared" si="2"/>
        <v>0.23271111111111106</v>
      </c>
      <c r="S14" s="19" t="s">
        <v>38</v>
      </c>
      <c r="T14" s="19" t="s">
        <v>41</v>
      </c>
      <c r="U14" s="19" t="s">
        <v>69</v>
      </c>
      <c r="V14" s="19">
        <v>228000</v>
      </c>
      <c r="W14" s="19">
        <v>0.16500000000000001</v>
      </c>
      <c r="X14" s="19">
        <v>3790</v>
      </c>
      <c r="Y14" s="19">
        <v>50</v>
      </c>
      <c r="Z14" s="19">
        <v>125</v>
      </c>
      <c r="AA14" s="30">
        <f t="shared" ref="AA14:AA24" si="10">0.9*G14-I14</f>
        <v>224</v>
      </c>
      <c r="AB14" s="19">
        <v>90</v>
      </c>
      <c r="AC14" s="19">
        <v>45</v>
      </c>
      <c r="AD14" s="21">
        <v>121.5</v>
      </c>
      <c r="AE14" s="21">
        <v>31.5</v>
      </c>
      <c r="AF14" s="2"/>
      <c r="AG14" s="19">
        <v>35</v>
      </c>
      <c r="AH14" s="19" t="s">
        <v>37</v>
      </c>
      <c r="AI14" s="19">
        <v>0</v>
      </c>
      <c r="AJ14" s="19"/>
      <c r="AK14" s="19"/>
      <c r="AL14" s="19"/>
      <c r="AM14" s="19"/>
      <c r="AN14" s="2"/>
      <c r="AO14" s="2">
        <f t="shared" si="5"/>
        <v>56.548667764616276</v>
      </c>
      <c r="AP14" s="2">
        <f t="shared" si="6"/>
        <v>24.986892397651708</v>
      </c>
      <c r="AQ14" s="2" t="str">
        <f t="shared" si="7"/>
        <v>OK</v>
      </c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19">
        <v>12</v>
      </c>
      <c r="B15" s="29" t="s">
        <v>60</v>
      </c>
      <c r="C15" s="2" t="s">
        <v>59</v>
      </c>
      <c r="D15" s="19">
        <v>20.5</v>
      </c>
      <c r="E15" s="19">
        <v>150</v>
      </c>
      <c r="F15" s="19">
        <v>300</v>
      </c>
      <c r="G15" s="19">
        <v>250</v>
      </c>
      <c r="H15" s="19">
        <v>300</v>
      </c>
      <c r="I15" s="19">
        <v>0</v>
      </c>
      <c r="J15" s="19" t="s">
        <v>36</v>
      </c>
      <c r="K15" s="19">
        <v>750</v>
      </c>
      <c r="L15" s="20">
        <f t="shared" ref="L15:L18" si="11">K15/G15</f>
        <v>3</v>
      </c>
      <c r="M15" s="19" t="s">
        <v>20</v>
      </c>
      <c r="N15" s="19">
        <v>6</v>
      </c>
      <c r="O15" s="19">
        <f t="shared" si="4"/>
        <v>112.5</v>
      </c>
      <c r="P15" s="19">
        <v>200000</v>
      </c>
      <c r="Q15" s="19">
        <v>548</v>
      </c>
      <c r="R15" s="19">
        <f t="shared" si="2"/>
        <v>0.33510399999999996</v>
      </c>
      <c r="S15" s="19" t="s">
        <v>38</v>
      </c>
      <c r="T15" s="19" t="s">
        <v>39</v>
      </c>
      <c r="U15" s="19" t="s">
        <v>69</v>
      </c>
      <c r="V15" s="19">
        <v>233600</v>
      </c>
      <c r="W15" s="19">
        <v>0.16500000000000001</v>
      </c>
      <c r="X15" s="19">
        <v>3550</v>
      </c>
      <c r="Y15" s="19">
        <v>1</v>
      </c>
      <c r="Z15" s="19">
        <v>1</v>
      </c>
      <c r="AA15" s="9">
        <f t="shared" si="10"/>
        <v>225</v>
      </c>
      <c r="AB15" s="19">
        <v>90</v>
      </c>
      <c r="AC15" s="19">
        <v>45</v>
      </c>
      <c r="AD15" s="21">
        <v>120</v>
      </c>
      <c r="AE15" s="21">
        <v>45.3</v>
      </c>
      <c r="AF15" s="2"/>
      <c r="AG15" s="19">
        <v>27.5</v>
      </c>
      <c r="AH15" s="18" t="s">
        <v>20</v>
      </c>
      <c r="AI15" s="19">
        <v>8</v>
      </c>
      <c r="AJ15" s="19">
        <v>200</v>
      </c>
      <c r="AK15" s="19">
        <v>210000</v>
      </c>
      <c r="AL15" s="19">
        <v>548</v>
      </c>
      <c r="AM15" s="19">
        <f t="shared" ref="AM15" si="12">100*2*3.1416*AI15^2/4/AJ15/Z15</f>
        <v>50.265599999999992</v>
      </c>
      <c r="AN15" s="2"/>
      <c r="AO15" s="2">
        <f t="shared" si="5"/>
        <v>56.548667764616276</v>
      </c>
      <c r="AP15" s="2">
        <f t="shared" si="6"/>
        <v>8.6443400554528029</v>
      </c>
      <c r="AQ15" s="2" t="str">
        <f t="shared" si="7"/>
        <v>OK</v>
      </c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19">
        <v>13</v>
      </c>
      <c r="B16" s="30"/>
      <c r="C16" s="19" t="s">
        <v>61</v>
      </c>
      <c r="D16" s="19">
        <v>20.5</v>
      </c>
      <c r="E16" s="19">
        <v>152.4</v>
      </c>
      <c r="F16" s="19">
        <v>228.6</v>
      </c>
      <c r="G16" s="19">
        <f>F16-40</f>
        <v>188.6</v>
      </c>
      <c r="H16" s="19">
        <f>F16</f>
        <v>228.6</v>
      </c>
      <c r="I16" s="19">
        <v>0</v>
      </c>
      <c r="J16" s="19" t="s">
        <v>36</v>
      </c>
      <c r="K16" s="19">
        <v>533.4</v>
      </c>
      <c r="L16" s="20">
        <f t="shared" si="11"/>
        <v>2.8282078472958641</v>
      </c>
      <c r="M16" s="19" t="s">
        <v>20</v>
      </c>
      <c r="N16" s="19">
        <v>6</v>
      </c>
      <c r="O16" s="19">
        <f t="shared" si="4"/>
        <v>84.87</v>
      </c>
      <c r="P16" s="19">
        <v>200000</v>
      </c>
      <c r="Q16" s="19">
        <v>273</v>
      </c>
      <c r="R16" s="19">
        <f t="shared" si="2"/>
        <v>0.43720409816217287</v>
      </c>
      <c r="S16" s="19" t="s">
        <v>38</v>
      </c>
      <c r="T16" s="19" t="s">
        <v>41</v>
      </c>
      <c r="U16" s="19" t="s">
        <v>69</v>
      </c>
      <c r="V16" s="19">
        <v>165000</v>
      </c>
      <c r="W16" s="19">
        <v>1.2</v>
      </c>
      <c r="X16" s="19">
        <v>2800</v>
      </c>
      <c r="Y16" s="19">
        <v>40</v>
      </c>
      <c r="Z16" s="19">
        <v>127</v>
      </c>
      <c r="AA16" s="9">
        <f t="shared" si="10"/>
        <v>169.74</v>
      </c>
      <c r="AB16" s="19">
        <v>90</v>
      </c>
      <c r="AC16" s="19">
        <v>45</v>
      </c>
      <c r="AD16" s="21">
        <v>73.7</v>
      </c>
      <c r="AE16" s="21">
        <v>27.6</v>
      </c>
      <c r="AF16" s="2"/>
      <c r="AG16" s="19">
        <v>43.83</v>
      </c>
      <c r="AH16" s="19" t="s">
        <v>37</v>
      </c>
      <c r="AI16" s="19">
        <v>0</v>
      </c>
      <c r="AJ16" s="19"/>
      <c r="AK16" s="19"/>
      <c r="AL16" s="19"/>
      <c r="AM16" s="19"/>
      <c r="AN16" s="2"/>
      <c r="AO16" s="2">
        <f t="shared" si="5"/>
        <v>56.548667764616276</v>
      </c>
      <c r="AP16" s="2">
        <f t="shared" si="6"/>
        <v>13.299800979711851</v>
      </c>
      <c r="AQ16" s="2" t="str">
        <f t="shared" si="7"/>
        <v>OK</v>
      </c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19">
        <v>14</v>
      </c>
      <c r="B17" s="29"/>
      <c r="C17" s="18" t="s">
        <v>62</v>
      </c>
      <c r="D17" s="19">
        <v>20.5</v>
      </c>
      <c r="E17" s="18">
        <v>250</v>
      </c>
      <c r="F17" s="18">
        <v>450</v>
      </c>
      <c r="G17" s="18">
        <v>410</v>
      </c>
      <c r="H17" s="18">
        <v>450</v>
      </c>
      <c r="I17" s="18">
        <v>0</v>
      </c>
      <c r="J17" s="18" t="s">
        <v>36</v>
      </c>
      <c r="K17" s="18">
        <v>1400</v>
      </c>
      <c r="L17" s="23">
        <f t="shared" si="11"/>
        <v>3.4146341463414633</v>
      </c>
      <c r="M17" s="19" t="s">
        <v>20</v>
      </c>
      <c r="N17" s="19">
        <v>6</v>
      </c>
      <c r="O17" s="19">
        <f t="shared" si="4"/>
        <v>184.5</v>
      </c>
      <c r="P17" s="19">
        <v>200000</v>
      </c>
      <c r="Q17" s="18">
        <v>476</v>
      </c>
      <c r="R17" s="19">
        <f t="shared" si="2"/>
        <v>0.12259902439024388</v>
      </c>
      <c r="S17" s="18" t="s">
        <v>38</v>
      </c>
      <c r="T17" s="18" t="s">
        <v>39</v>
      </c>
      <c r="U17" s="19" t="s">
        <v>69</v>
      </c>
      <c r="V17" s="18">
        <v>392000</v>
      </c>
      <c r="W17" s="18">
        <v>0.191</v>
      </c>
      <c r="X17" s="18">
        <v>2600</v>
      </c>
      <c r="Y17" s="18">
        <v>1</v>
      </c>
      <c r="Z17" s="18">
        <v>1</v>
      </c>
      <c r="AA17" s="18">
        <f t="shared" si="10"/>
        <v>369</v>
      </c>
      <c r="AB17" s="18">
        <v>90</v>
      </c>
      <c r="AC17" s="19">
        <v>45</v>
      </c>
      <c r="AD17" s="18">
        <v>240</v>
      </c>
      <c r="AE17" s="18">
        <v>25</v>
      </c>
      <c r="AF17" s="2"/>
      <c r="AG17" s="18">
        <v>21</v>
      </c>
      <c r="AH17" s="18" t="s">
        <v>20</v>
      </c>
      <c r="AI17" s="18">
        <v>8</v>
      </c>
      <c r="AJ17" s="18">
        <v>200</v>
      </c>
      <c r="AK17" s="18">
        <v>210000</v>
      </c>
      <c r="AL17" s="18">
        <v>476</v>
      </c>
      <c r="AM17" s="18">
        <f t="shared" ref="AM17:AM18" si="13">100*2*3.1416*AI17^2/4/AJ17/Z17</f>
        <v>50.265599999999992</v>
      </c>
      <c r="AN17" s="2"/>
      <c r="AO17" s="2">
        <f t="shared" si="5"/>
        <v>56.548667764616276</v>
      </c>
      <c r="AP17" s="2">
        <f t="shared" si="6"/>
        <v>27.201825261332438</v>
      </c>
      <c r="AQ17" s="2" t="str">
        <f t="shared" si="7"/>
        <v>OK</v>
      </c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19">
        <v>15</v>
      </c>
      <c r="B18" s="30"/>
      <c r="C18" s="18" t="s">
        <v>70</v>
      </c>
      <c r="D18" s="19">
        <v>20.5</v>
      </c>
      <c r="E18" s="18">
        <v>100</v>
      </c>
      <c r="F18" s="18">
        <v>150</v>
      </c>
      <c r="G18" s="18">
        <v>120</v>
      </c>
      <c r="H18" s="18">
        <v>150</v>
      </c>
      <c r="I18" s="18">
        <v>0</v>
      </c>
      <c r="J18" s="18" t="s">
        <v>36</v>
      </c>
      <c r="K18" s="18">
        <v>330</v>
      </c>
      <c r="L18" s="18">
        <f t="shared" si="11"/>
        <v>2.75</v>
      </c>
      <c r="M18" s="19" t="s">
        <v>20</v>
      </c>
      <c r="N18" s="19">
        <v>6</v>
      </c>
      <c r="O18" s="19">
        <f t="shared" si="4"/>
        <v>54</v>
      </c>
      <c r="P18" s="19">
        <v>200000</v>
      </c>
      <c r="Q18" s="18">
        <v>240</v>
      </c>
      <c r="R18" s="19">
        <f t="shared" si="2"/>
        <v>1.0471999999999999</v>
      </c>
      <c r="S18" s="18" t="s">
        <v>63</v>
      </c>
      <c r="T18" s="18" t="s">
        <v>41</v>
      </c>
      <c r="U18" s="19" t="s">
        <v>69</v>
      </c>
      <c r="V18" s="18">
        <v>73000</v>
      </c>
      <c r="W18" s="18">
        <v>1</v>
      </c>
      <c r="X18" s="18">
        <v>3400</v>
      </c>
      <c r="Y18" s="18">
        <v>20</v>
      </c>
      <c r="Z18" s="18">
        <v>45</v>
      </c>
      <c r="AA18" s="18">
        <f t="shared" si="10"/>
        <v>108</v>
      </c>
      <c r="AB18" s="18">
        <v>90</v>
      </c>
      <c r="AC18" s="19">
        <v>45</v>
      </c>
      <c r="AD18" s="18">
        <v>24.5</v>
      </c>
      <c r="AE18" s="18">
        <v>3.5</v>
      </c>
      <c r="AF18" s="19"/>
      <c r="AG18" s="18">
        <v>29.11</v>
      </c>
      <c r="AH18" s="18" t="s">
        <v>4</v>
      </c>
      <c r="AI18" s="18">
        <v>6</v>
      </c>
      <c r="AJ18" s="18">
        <v>150</v>
      </c>
      <c r="AK18" s="18">
        <v>200000</v>
      </c>
      <c r="AL18" s="18">
        <v>240</v>
      </c>
      <c r="AM18" s="18">
        <f t="shared" si="13"/>
        <v>0.83775999999999995</v>
      </c>
      <c r="AN18" s="2"/>
      <c r="AO18" s="2">
        <f t="shared" si="5"/>
        <v>56.548667764616276</v>
      </c>
      <c r="AP18" s="2">
        <f t="shared" si="6"/>
        <v>6.3161311338508481</v>
      </c>
      <c r="AQ18" s="2" t="str">
        <f t="shared" si="7"/>
        <v>OK</v>
      </c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19">
        <v>16</v>
      </c>
      <c r="B19" s="29" t="s">
        <v>64</v>
      </c>
      <c r="C19" s="2" t="s">
        <v>65</v>
      </c>
      <c r="D19" s="19">
        <v>20.5</v>
      </c>
      <c r="E19" s="19">
        <v>250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f>L19*G19</f>
        <v>484.00000000000006</v>
      </c>
      <c r="L19" s="19">
        <v>2.2000000000000002</v>
      </c>
      <c r="M19" s="19" t="s">
        <v>20</v>
      </c>
      <c r="N19" s="19">
        <v>6</v>
      </c>
      <c r="O19" s="19">
        <f t="shared" si="4"/>
        <v>99</v>
      </c>
      <c r="P19" s="19">
        <v>200000</v>
      </c>
      <c r="Q19" s="19">
        <v>273</v>
      </c>
      <c r="R19" s="19">
        <f t="shared" si="2"/>
        <v>0.22847999999999996</v>
      </c>
      <c r="S19" s="19" t="s">
        <v>38</v>
      </c>
      <c r="T19" s="19" t="s">
        <v>41</v>
      </c>
      <c r="U19" s="19" t="s">
        <v>69</v>
      </c>
      <c r="V19" s="19">
        <v>158000</v>
      </c>
      <c r="W19" s="19">
        <v>1.2</v>
      </c>
      <c r="X19" s="19">
        <v>3160</v>
      </c>
      <c r="Y19" s="19">
        <v>50</v>
      </c>
      <c r="Z19" s="19">
        <v>100</v>
      </c>
      <c r="AA19" s="9">
        <f t="shared" si="10"/>
        <v>198</v>
      </c>
      <c r="AB19" s="19">
        <v>90</v>
      </c>
      <c r="AC19" s="19">
        <v>45</v>
      </c>
      <c r="AD19" s="21">
        <v>95.5</v>
      </c>
      <c r="AE19" s="21">
        <f>AD19-62.5</f>
        <v>33</v>
      </c>
      <c r="AF19" s="2"/>
      <c r="AG19" s="19">
        <v>34.700000000000003</v>
      </c>
      <c r="AH19" s="19" t="s">
        <v>37</v>
      </c>
      <c r="AI19" s="19">
        <v>0</v>
      </c>
      <c r="AJ19" s="28"/>
      <c r="AK19" s="28"/>
      <c r="AL19" s="28"/>
      <c r="AM19" s="19"/>
      <c r="AN19" s="2"/>
      <c r="AO19" s="2">
        <f t="shared" si="5"/>
        <v>56.548667764616276</v>
      </c>
      <c r="AP19" s="2">
        <f t="shared" si="6"/>
        <v>25.449612627237851</v>
      </c>
      <c r="AQ19" s="2" t="str">
        <f t="shared" si="7"/>
        <v>OK</v>
      </c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19">
        <v>17</v>
      </c>
      <c r="B20" s="29"/>
      <c r="C20" s="19" t="s">
        <v>66</v>
      </c>
      <c r="D20" s="19">
        <v>20.5</v>
      </c>
      <c r="E20" s="19">
        <v>180</v>
      </c>
      <c r="F20" s="19">
        <v>500</v>
      </c>
      <c r="G20" s="19">
        <f>F20-65</f>
        <v>435</v>
      </c>
      <c r="H20" s="19">
        <v>500</v>
      </c>
      <c r="I20" s="19">
        <v>0</v>
      </c>
      <c r="J20" s="19" t="s">
        <v>36</v>
      </c>
      <c r="K20" s="19">
        <v>1250</v>
      </c>
      <c r="L20" s="19">
        <v>2.2000000000000002</v>
      </c>
      <c r="M20" s="19" t="s">
        <v>20</v>
      </c>
      <c r="N20" s="19">
        <v>6</v>
      </c>
      <c r="O20" s="19">
        <f t="shared" si="4"/>
        <v>195.75</v>
      </c>
      <c r="P20" s="19">
        <v>200000</v>
      </c>
      <c r="Q20" s="19">
        <v>273</v>
      </c>
      <c r="R20" s="19">
        <f t="shared" si="2"/>
        <v>0.16049042145593867</v>
      </c>
      <c r="S20" s="19" t="s">
        <v>38</v>
      </c>
      <c r="T20" s="19" t="s">
        <v>39</v>
      </c>
      <c r="U20" s="19" t="s">
        <v>69</v>
      </c>
      <c r="V20" s="19">
        <v>234000</v>
      </c>
      <c r="W20" s="18">
        <v>0.11</v>
      </c>
      <c r="X20" s="19">
        <v>4500</v>
      </c>
      <c r="Y20" s="19">
        <v>1</v>
      </c>
      <c r="Z20" s="19">
        <v>1</v>
      </c>
      <c r="AA20" s="9">
        <f t="shared" si="10"/>
        <v>391.5</v>
      </c>
      <c r="AB20" s="19">
        <v>90</v>
      </c>
      <c r="AC20" s="19">
        <v>45</v>
      </c>
      <c r="AD20" s="21">
        <v>256</v>
      </c>
      <c r="AE20" s="21">
        <f>AD20-122</f>
        <v>134</v>
      </c>
      <c r="AF20" s="2"/>
      <c r="AG20" s="2">
        <f>59*0.79</f>
        <v>46.61</v>
      </c>
      <c r="AH20" s="19" t="s">
        <v>37</v>
      </c>
      <c r="AI20" s="19">
        <v>0</v>
      </c>
      <c r="AJ20" s="19"/>
      <c r="AK20" s="19"/>
      <c r="AL20" s="19"/>
      <c r="AM20" s="19"/>
      <c r="AN20" s="2"/>
      <c r="AO20" s="2">
        <f t="shared" si="5"/>
        <v>56.548667764616276</v>
      </c>
      <c r="AP20" s="2">
        <f t="shared" si="6"/>
        <v>36.230993976594981</v>
      </c>
      <c r="AQ20" s="2" t="str">
        <f t="shared" si="7"/>
        <v>OK</v>
      </c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19">
        <v>18</v>
      </c>
      <c r="B21" s="29"/>
      <c r="C21" s="19">
        <v>290</v>
      </c>
      <c r="D21" s="19">
        <v>20.5</v>
      </c>
      <c r="E21" s="19">
        <v>180</v>
      </c>
      <c r="F21" s="2">
        <v>400</v>
      </c>
      <c r="G21" s="19">
        <f>F21-65</f>
        <v>335</v>
      </c>
      <c r="H21" s="2">
        <v>400</v>
      </c>
      <c r="I21" s="19">
        <v>0</v>
      </c>
      <c r="J21" s="19" t="s">
        <v>36</v>
      </c>
      <c r="K21" s="2">
        <v>1000</v>
      </c>
      <c r="L21" s="19">
        <v>2.2000000000000002</v>
      </c>
      <c r="M21" s="19" t="s">
        <v>20</v>
      </c>
      <c r="N21" s="19">
        <v>6</v>
      </c>
      <c r="O21" s="19">
        <f t="shared" si="4"/>
        <v>150.75</v>
      </c>
      <c r="P21" s="19">
        <v>200000</v>
      </c>
      <c r="Q21" s="2">
        <v>515</v>
      </c>
      <c r="R21" s="19">
        <f t="shared" si="2"/>
        <v>0.20839800995024874</v>
      </c>
      <c r="S21" s="19" t="s">
        <v>38</v>
      </c>
      <c r="T21" s="19" t="s">
        <v>39</v>
      </c>
      <c r="U21" s="19" t="s">
        <v>69</v>
      </c>
      <c r="V21" s="19">
        <v>234000</v>
      </c>
      <c r="W21" s="18">
        <v>0.11</v>
      </c>
      <c r="X21" s="19">
        <v>4500</v>
      </c>
      <c r="Y21" s="2">
        <v>1</v>
      </c>
      <c r="Z21" s="2">
        <v>1</v>
      </c>
      <c r="AA21" s="9">
        <f t="shared" si="10"/>
        <v>301.5</v>
      </c>
      <c r="AB21" s="2">
        <v>90</v>
      </c>
      <c r="AC21" s="19">
        <v>45</v>
      </c>
      <c r="AD21" s="21">
        <v>298</v>
      </c>
      <c r="AE21" s="21">
        <f>AD21-237</f>
        <v>61</v>
      </c>
      <c r="AF21" s="2"/>
      <c r="AG21" s="2">
        <f>46*0.79</f>
        <v>36.340000000000003</v>
      </c>
      <c r="AH21" s="2" t="s">
        <v>20</v>
      </c>
      <c r="AI21" s="2">
        <v>6</v>
      </c>
      <c r="AJ21" s="2">
        <v>200</v>
      </c>
      <c r="AK21" s="2">
        <v>210000</v>
      </c>
      <c r="AL21" s="2">
        <v>515</v>
      </c>
      <c r="AM21" s="19">
        <f t="shared" ref="AM21" si="14">100*2*3.1416*AI21^2/4/AJ21/Z21</f>
        <v>28.274399999999996</v>
      </c>
      <c r="AN21" s="2"/>
      <c r="AO21" s="2">
        <f t="shared" si="5"/>
        <v>56.548667764616276</v>
      </c>
      <c r="AP21" s="2">
        <f t="shared" si="6"/>
        <v>14.790784752279853</v>
      </c>
      <c r="AQ21" s="2" t="str">
        <f t="shared" si="7"/>
        <v>OK</v>
      </c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19">
        <v>19</v>
      </c>
      <c r="B22" s="5"/>
      <c r="C22" s="19">
        <v>3</v>
      </c>
      <c r="D22" s="19">
        <v>20.5</v>
      </c>
      <c r="E22" s="19">
        <v>100</v>
      </c>
      <c r="F22" s="19">
        <v>250</v>
      </c>
      <c r="G22" s="19">
        <f>F22-50</f>
        <v>200</v>
      </c>
      <c r="H22" s="19">
        <v>250</v>
      </c>
      <c r="I22" s="19">
        <v>0</v>
      </c>
      <c r="J22" s="19" t="s">
        <v>36</v>
      </c>
      <c r="K22" s="19">
        <v>510</v>
      </c>
      <c r="L22" s="19">
        <f t="shared" ref="L22:L24" si="15">K22/G22</f>
        <v>2.5499999999999998</v>
      </c>
      <c r="M22" s="19" t="s">
        <v>20</v>
      </c>
      <c r="N22" s="19">
        <v>6</v>
      </c>
      <c r="O22" s="19">
        <f t="shared" si="4"/>
        <v>90</v>
      </c>
      <c r="P22" s="19">
        <v>200000</v>
      </c>
      <c r="Q22" s="19">
        <v>273</v>
      </c>
      <c r="R22" s="19">
        <f t="shared" si="2"/>
        <v>0.62831999999999999</v>
      </c>
      <c r="S22" s="19" t="s">
        <v>38</v>
      </c>
      <c r="T22" s="19" t="s">
        <v>41</v>
      </c>
      <c r="U22" s="19" t="s">
        <v>69</v>
      </c>
      <c r="V22" s="19">
        <v>178600</v>
      </c>
      <c r="W22" s="19">
        <v>1.2</v>
      </c>
      <c r="X22" s="19">
        <v>2868</v>
      </c>
      <c r="Y22" s="19">
        <v>25</v>
      </c>
      <c r="Z22" s="19">
        <v>75</v>
      </c>
      <c r="AA22" s="9">
        <f t="shared" si="10"/>
        <v>180</v>
      </c>
      <c r="AB22" s="19">
        <v>90</v>
      </c>
      <c r="AC22" s="19">
        <v>45</v>
      </c>
      <c r="AD22" s="21">
        <v>44.05</v>
      </c>
      <c r="AE22" s="21">
        <f>AD22-51.8/2</f>
        <v>18.149999999999999</v>
      </c>
      <c r="AF22" s="2"/>
      <c r="AG22" s="19">
        <v>25.4</v>
      </c>
      <c r="AH22" s="19" t="s">
        <v>37</v>
      </c>
      <c r="AI22" s="19">
        <v>0</v>
      </c>
      <c r="AJ22" s="19"/>
      <c r="AK22" s="19"/>
      <c r="AL22" s="19"/>
      <c r="AM22" s="19"/>
      <c r="AN22" s="2"/>
      <c r="AO22" s="2">
        <f t="shared" si="5"/>
        <v>56.548667764616276</v>
      </c>
      <c r="AP22" s="2">
        <f t="shared" si="6"/>
        <v>9.2544045917228548</v>
      </c>
      <c r="AQ22" s="2" t="str">
        <f t="shared" si="7"/>
        <v>OK</v>
      </c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19">
        <v>20</v>
      </c>
      <c r="B23" s="9" t="s">
        <v>67</v>
      </c>
      <c r="C23" s="19">
        <v>5</v>
      </c>
      <c r="D23" s="19">
        <v>20.5</v>
      </c>
      <c r="E23" s="19">
        <v>100</v>
      </c>
      <c r="F23" s="19">
        <v>300</v>
      </c>
      <c r="G23" s="19">
        <f>F23-50</f>
        <v>250</v>
      </c>
      <c r="H23" s="19">
        <v>300</v>
      </c>
      <c r="I23" s="19">
        <v>50</v>
      </c>
      <c r="J23" s="19" t="s">
        <v>58</v>
      </c>
      <c r="K23" s="19">
        <v>810</v>
      </c>
      <c r="L23" s="20">
        <f t="shared" si="15"/>
        <v>3.24</v>
      </c>
      <c r="M23" s="19" t="s">
        <v>20</v>
      </c>
      <c r="N23" s="19">
        <v>6</v>
      </c>
      <c r="O23" s="19">
        <f t="shared" si="4"/>
        <v>112.5</v>
      </c>
      <c r="P23" s="19">
        <v>200000</v>
      </c>
      <c r="Q23" s="19">
        <v>325</v>
      </c>
      <c r="R23" s="19">
        <f t="shared" si="2"/>
        <v>0.50265599999999988</v>
      </c>
      <c r="S23" s="19" t="s">
        <v>38</v>
      </c>
      <c r="T23" s="19" t="s">
        <v>41</v>
      </c>
      <c r="U23" s="19" t="s">
        <v>69</v>
      </c>
      <c r="V23" s="19">
        <v>178600</v>
      </c>
      <c r="W23" s="19">
        <v>1.2</v>
      </c>
      <c r="X23" s="19">
        <v>2868</v>
      </c>
      <c r="Y23" s="19">
        <v>25</v>
      </c>
      <c r="Z23" s="19">
        <v>75</v>
      </c>
      <c r="AA23" s="9">
        <f t="shared" si="10"/>
        <v>175</v>
      </c>
      <c r="AB23" s="19">
        <v>90</v>
      </c>
      <c r="AC23" s="19">
        <v>45</v>
      </c>
      <c r="AD23" s="21">
        <v>107.25</v>
      </c>
      <c r="AE23" s="21">
        <f>AD23-164.2/2</f>
        <v>25.150000000000006</v>
      </c>
      <c r="AF23" s="2"/>
      <c r="AG23" s="19">
        <v>25.4</v>
      </c>
      <c r="AH23" s="19" t="s">
        <v>20</v>
      </c>
      <c r="AI23" s="19">
        <v>6</v>
      </c>
      <c r="AJ23" s="19">
        <v>75</v>
      </c>
      <c r="AK23" s="19">
        <v>200000</v>
      </c>
      <c r="AL23" s="19">
        <v>325</v>
      </c>
      <c r="AM23" s="19">
        <f>100*2*3.1416*AI23^2/4/AJ23/Z23</f>
        <v>1.005312</v>
      </c>
      <c r="AN23" s="2"/>
      <c r="AO23" s="2">
        <f t="shared" si="5"/>
        <v>56.548667764616276</v>
      </c>
      <c r="AP23" s="2">
        <f t="shared" si="6"/>
        <v>9.7171248213089978</v>
      </c>
      <c r="AQ23" s="2" t="str">
        <f t="shared" si="7"/>
        <v>OK</v>
      </c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9">
        <v>21</v>
      </c>
      <c r="B24" s="33" t="s">
        <v>71</v>
      </c>
      <c r="C24" s="33" t="s">
        <v>43</v>
      </c>
      <c r="D24" s="19">
        <v>20.5</v>
      </c>
      <c r="E24" s="33">
        <v>200</v>
      </c>
      <c r="F24" s="33">
        <v>250</v>
      </c>
      <c r="G24" s="33">
        <v>224</v>
      </c>
      <c r="H24" s="33">
        <f>F24</f>
        <v>250</v>
      </c>
      <c r="I24" s="33">
        <v>0</v>
      </c>
      <c r="J24" s="33" t="s">
        <v>36</v>
      </c>
      <c r="K24" s="33">
        <v>667</v>
      </c>
      <c r="L24" s="34">
        <f t="shared" si="15"/>
        <v>2.9776785714285716</v>
      </c>
      <c r="M24" s="19" t="s">
        <v>20</v>
      </c>
      <c r="N24" s="19">
        <v>6</v>
      </c>
      <c r="O24" s="19">
        <f t="shared" si="4"/>
        <v>100.8</v>
      </c>
      <c r="P24" s="19">
        <v>200000</v>
      </c>
      <c r="Q24" s="19">
        <v>273</v>
      </c>
      <c r="R24" s="19">
        <f t="shared" si="2"/>
        <v>0.28049999999999997</v>
      </c>
      <c r="S24" s="33" t="s">
        <v>63</v>
      </c>
      <c r="T24" s="33" t="s">
        <v>39</v>
      </c>
      <c r="U24" s="33" t="s">
        <v>69</v>
      </c>
      <c r="V24" s="33">
        <v>11310</v>
      </c>
      <c r="W24" s="33">
        <v>0.6</v>
      </c>
      <c r="X24" s="33">
        <v>334.5</v>
      </c>
      <c r="Y24" s="33">
        <v>1</v>
      </c>
      <c r="Z24" s="33">
        <v>1</v>
      </c>
      <c r="AA24" s="33">
        <f t="shared" si="10"/>
        <v>201.6</v>
      </c>
      <c r="AB24" s="33">
        <v>90</v>
      </c>
      <c r="AC24" s="19">
        <v>45</v>
      </c>
      <c r="AD24" s="33">
        <v>54</v>
      </c>
      <c r="AE24" s="33">
        <v>13</v>
      </c>
      <c r="AG24" s="33">
        <v>17.8</v>
      </c>
      <c r="AH24" s="33" t="s">
        <v>37</v>
      </c>
      <c r="AI24" s="33">
        <v>0</v>
      </c>
      <c r="AJ24" s="33"/>
      <c r="AK24" s="33"/>
      <c r="AL24" s="33"/>
      <c r="AM24" s="33"/>
      <c r="AO24" s="2">
        <f t="shared" si="5"/>
        <v>56.548667764616276</v>
      </c>
      <c r="AP24" s="2">
        <f t="shared" si="6"/>
        <v>20.729866285459195</v>
      </c>
      <c r="AQ24" s="2" t="str">
        <f t="shared" si="7"/>
        <v>OK</v>
      </c>
    </row>
    <row r="25" spans="1:52" x14ac:dyDescent="0.25">
      <c r="A25" s="19">
        <v>23</v>
      </c>
      <c r="B25" s="31" t="s">
        <v>72</v>
      </c>
      <c r="C25" s="31">
        <v>4</v>
      </c>
      <c r="D25" s="19">
        <v>20.5</v>
      </c>
      <c r="E25" s="2">
        <v>250</v>
      </c>
      <c r="F25" s="2">
        <v>500</v>
      </c>
      <c r="G25" s="2">
        <v>400</v>
      </c>
      <c r="H25" s="2">
        <v>500</v>
      </c>
      <c r="I25" s="2">
        <v>0</v>
      </c>
      <c r="J25" s="2" t="s">
        <v>36</v>
      </c>
      <c r="K25" s="2">
        <v>1000</v>
      </c>
      <c r="L25" s="35">
        <f t="shared" ref="L25" si="16">K25/G25</f>
        <v>2.5</v>
      </c>
      <c r="M25" s="19" t="s">
        <v>20</v>
      </c>
      <c r="N25" s="19">
        <v>8</v>
      </c>
      <c r="O25" s="19">
        <f t="shared" si="4"/>
        <v>180</v>
      </c>
      <c r="P25" s="19">
        <v>200000</v>
      </c>
      <c r="Q25" s="19">
        <v>273</v>
      </c>
      <c r="R25" s="19">
        <f t="shared" si="2"/>
        <v>0.22340266666666664</v>
      </c>
      <c r="S25" s="2" t="s">
        <v>38</v>
      </c>
      <c r="T25" s="2" t="s">
        <v>41</v>
      </c>
      <c r="U25" s="2" t="s">
        <v>69</v>
      </c>
      <c r="V25" s="2">
        <v>244000</v>
      </c>
      <c r="W25" s="2">
        <v>0.111</v>
      </c>
      <c r="X25" s="2">
        <v>3990</v>
      </c>
      <c r="Y25" s="2">
        <v>40</v>
      </c>
      <c r="Z25" s="2">
        <v>100</v>
      </c>
      <c r="AA25" s="2">
        <f t="shared" ref="AA25" si="17">0.9*G25-I25</f>
        <v>360</v>
      </c>
      <c r="AB25" s="2">
        <v>90</v>
      </c>
      <c r="AC25" s="19">
        <v>45</v>
      </c>
      <c r="AD25" s="2">
        <v>183.9</v>
      </c>
      <c r="AE25" s="2">
        <v>2.9</v>
      </c>
      <c r="AG25" s="2">
        <v>32.6</v>
      </c>
      <c r="AH25" s="2" t="s">
        <v>37</v>
      </c>
      <c r="AI25" s="2">
        <v>0</v>
      </c>
      <c r="AO25" s="2">
        <f t="shared" si="5"/>
        <v>100.53096491487338</v>
      </c>
      <c r="AP25" s="2">
        <f t="shared" si="6"/>
        <v>46.272022958614272</v>
      </c>
      <c r="AQ25" s="2" t="str">
        <f t="shared" si="7"/>
        <v>OK</v>
      </c>
    </row>
    <row r="26" spans="1:52" x14ac:dyDescent="0.25">
      <c r="A26" s="19">
        <v>24</v>
      </c>
      <c r="B26" s="29"/>
      <c r="C26" s="19" t="s">
        <v>77</v>
      </c>
      <c r="D26" s="19">
        <v>40</v>
      </c>
      <c r="E26" s="19">
        <v>130</v>
      </c>
      <c r="F26" s="19">
        <v>450</v>
      </c>
      <c r="G26" s="19">
        <v>425</v>
      </c>
      <c r="H26" s="19">
        <f>450</f>
        <v>450</v>
      </c>
      <c r="I26" s="19">
        <v>0</v>
      </c>
      <c r="J26" s="19" t="s">
        <v>36</v>
      </c>
      <c r="K26" s="19">
        <v>900</v>
      </c>
      <c r="L26" s="20">
        <f t="shared" ref="L26:L28" si="18">K26/G26</f>
        <v>2.1176470588235294</v>
      </c>
      <c r="M26" s="19" t="s">
        <v>4</v>
      </c>
      <c r="N26" s="19">
        <v>6</v>
      </c>
      <c r="O26" s="19">
        <f t="shared" si="4"/>
        <v>191.25</v>
      </c>
      <c r="P26" s="19">
        <v>210000</v>
      </c>
      <c r="Q26" s="19">
        <v>240</v>
      </c>
      <c r="R26" s="19" t="s">
        <v>78</v>
      </c>
      <c r="S26" s="19" t="s">
        <v>38</v>
      </c>
      <c r="T26" s="19" t="s">
        <v>41</v>
      </c>
      <c r="U26" s="19" t="s">
        <v>76</v>
      </c>
      <c r="V26" s="19">
        <v>105000</v>
      </c>
      <c r="W26" s="19">
        <v>0.43</v>
      </c>
      <c r="X26" s="19">
        <v>1400</v>
      </c>
      <c r="Y26" s="19">
        <v>40</v>
      </c>
      <c r="Z26" s="19">
        <v>200</v>
      </c>
      <c r="AA26" s="9">
        <f t="shared" ref="AA26:AA47" si="19">0.9*G26-(F26-H26)-I26</f>
        <v>382.5</v>
      </c>
      <c r="AB26" s="19">
        <v>90</v>
      </c>
      <c r="AC26" s="19">
        <v>45</v>
      </c>
      <c r="AD26" s="19">
        <v>142.5</v>
      </c>
      <c r="AE26" s="19">
        <f>65/2</f>
        <v>32.5</v>
      </c>
      <c r="AO26" s="2">
        <f t="shared" ref="AO26:AO64" si="20">2*PI()/4*N26^2</f>
        <v>56.548667764616276</v>
      </c>
      <c r="AP26" s="2">
        <f t="shared" ref="AP26:AP64" si="21">0.062*SQRT(D26)*E26*O26/Q26</f>
        <v>40.621432968400441</v>
      </c>
      <c r="AQ26" s="2" t="str">
        <f t="shared" ref="AQ26:AQ64" si="22">IF(AO26&gt;AP26, "OK","No")</f>
        <v>OK</v>
      </c>
    </row>
    <row r="27" spans="1:52" x14ac:dyDescent="0.25">
      <c r="A27" s="19">
        <v>25</v>
      </c>
      <c r="B27" s="29" t="s">
        <v>79</v>
      </c>
      <c r="C27" s="19" t="s">
        <v>80</v>
      </c>
      <c r="D27" s="19">
        <v>40</v>
      </c>
      <c r="E27" s="19">
        <v>130</v>
      </c>
      <c r="F27" s="19">
        <v>450</v>
      </c>
      <c r="G27" s="19">
        <v>425</v>
      </c>
      <c r="H27" s="19">
        <f>450</f>
        <v>450</v>
      </c>
      <c r="I27" s="19">
        <v>0</v>
      </c>
      <c r="J27" s="19" t="s">
        <v>36</v>
      </c>
      <c r="K27" s="19">
        <v>900</v>
      </c>
      <c r="L27" s="20">
        <f t="shared" si="18"/>
        <v>2.1176470588235294</v>
      </c>
      <c r="M27" s="19" t="s">
        <v>4</v>
      </c>
      <c r="N27" s="19">
        <v>6</v>
      </c>
      <c r="O27" s="19">
        <f t="shared" si="4"/>
        <v>191.25</v>
      </c>
      <c r="P27" s="19">
        <v>210000</v>
      </c>
      <c r="Q27" s="19">
        <v>240</v>
      </c>
      <c r="R27" s="19">
        <f>100*2*3.1416*N27^2/4/O27/E27</f>
        <v>0.2274461538461538</v>
      </c>
      <c r="S27" s="19" t="s">
        <v>38</v>
      </c>
      <c r="T27" s="19" t="s">
        <v>41</v>
      </c>
      <c r="U27" s="19" t="s">
        <v>76</v>
      </c>
      <c r="V27" s="19">
        <v>105000</v>
      </c>
      <c r="W27" s="19">
        <v>0.43</v>
      </c>
      <c r="X27" s="19">
        <v>1400</v>
      </c>
      <c r="Y27" s="19">
        <v>40</v>
      </c>
      <c r="Z27" s="19">
        <v>250</v>
      </c>
      <c r="AA27" s="9">
        <f t="shared" si="19"/>
        <v>382.5</v>
      </c>
      <c r="AB27" s="19">
        <v>90</v>
      </c>
      <c r="AC27" s="19">
        <v>45</v>
      </c>
      <c r="AD27" s="19">
        <v>130</v>
      </c>
      <c r="AE27" s="19">
        <f>40/2</f>
        <v>20</v>
      </c>
      <c r="AO27" s="2">
        <f t="shared" si="20"/>
        <v>56.548667764616276</v>
      </c>
      <c r="AP27" s="2">
        <f t="shared" si="21"/>
        <v>40.621432968400441</v>
      </c>
      <c r="AQ27" s="2" t="str">
        <f t="shared" si="22"/>
        <v>OK</v>
      </c>
    </row>
    <row r="28" spans="1:52" x14ac:dyDescent="0.25">
      <c r="A28" s="19">
        <v>26</v>
      </c>
      <c r="B28" s="29"/>
      <c r="C28" s="19" t="s">
        <v>81</v>
      </c>
      <c r="D28" s="19">
        <v>40</v>
      </c>
      <c r="E28" s="19">
        <v>130</v>
      </c>
      <c r="F28" s="19">
        <v>450</v>
      </c>
      <c r="G28" s="19">
        <v>425</v>
      </c>
      <c r="H28" s="19">
        <f>450</f>
        <v>450</v>
      </c>
      <c r="I28" s="19">
        <v>0</v>
      </c>
      <c r="J28" s="19" t="s">
        <v>36</v>
      </c>
      <c r="K28" s="19">
        <v>900</v>
      </c>
      <c r="L28" s="20">
        <f t="shared" si="18"/>
        <v>2.1176470588235294</v>
      </c>
      <c r="M28" s="19" t="s">
        <v>4</v>
      </c>
      <c r="N28" s="19">
        <v>6</v>
      </c>
      <c r="O28" s="19">
        <f t="shared" si="4"/>
        <v>191.25</v>
      </c>
      <c r="P28" s="19">
        <v>210000</v>
      </c>
      <c r="Q28" s="19">
        <v>240</v>
      </c>
      <c r="R28" s="19">
        <f>100*2*3.1416*N28^2/4/O28/E28</f>
        <v>0.2274461538461538</v>
      </c>
      <c r="S28" s="19" t="s">
        <v>38</v>
      </c>
      <c r="T28" s="19" t="s">
        <v>41</v>
      </c>
      <c r="U28" s="19" t="s">
        <v>76</v>
      </c>
      <c r="V28" s="19">
        <v>105000</v>
      </c>
      <c r="W28" s="19">
        <v>0.43</v>
      </c>
      <c r="X28" s="19">
        <v>1400</v>
      </c>
      <c r="Y28" s="19">
        <v>40</v>
      </c>
      <c r="Z28" s="19">
        <v>300</v>
      </c>
      <c r="AA28" s="9">
        <f t="shared" si="19"/>
        <v>382.5</v>
      </c>
      <c r="AB28" s="19">
        <v>45</v>
      </c>
      <c r="AC28" s="19">
        <v>45</v>
      </c>
      <c r="AD28" s="19">
        <v>154.5</v>
      </c>
      <c r="AE28" s="19">
        <f>89/2</f>
        <v>44.5</v>
      </c>
      <c r="AO28" s="2">
        <f t="shared" si="20"/>
        <v>56.548667764616276</v>
      </c>
      <c r="AP28" s="2">
        <f t="shared" si="21"/>
        <v>40.621432968400441</v>
      </c>
      <c r="AQ28" s="2" t="str">
        <f t="shared" si="22"/>
        <v>OK</v>
      </c>
    </row>
    <row r="29" spans="1:52" x14ac:dyDescent="0.25">
      <c r="A29" s="19">
        <v>27</v>
      </c>
      <c r="B29" s="30"/>
      <c r="C29" s="18" t="s">
        <v>82</v>
      </c>
      <c r="D29" s="18">
        <v>13.3</v>
      </c>
      <c r="E29" s="18">
        <v>250</v>
      </c>
      <c r="F29" s="18">
        <v>450</v>
      </c>
      <c r="G29" s="18">
        <v>400</v>
      </c>
      <c r="H29" s="18">
        <v>450</v>
      </c>
      <c r="I29" s="18">
        <v>150</v>
      </c>
      <c r="J29" s="18" t="s">
        <v>36</v>
      </c>
      <c r="K29" s="18">
        <v>1400</v>
      </c>
      <c r="L29" s="18">
        <v>2.2000000000000002</v>
      </c>
      <c r="M29" s="18" t="s">
        <v>20</v>
      </c>
      <c r="N29" s="18">
        <v>8</v>
      </c>
      <c r="O29" s="19">
        <f t="shared" si="4"/>
        <v>180</v>
      </c>
      <c r="P29" s="18">
        <v>200000</v>
      </c>
      <c r="Q29" s="18">
        <v>500</v>
      </c>
      <c r="R29" s="18">
        <f>100*2*3.1416*N29^2/4/O29/E29</f>
        <v>0.22340266666666664</v>
      </c>
      <c r="S29" s="18" t="s">
        <v>38</v>
      </c>
      <c r="T29" s="18" t="s">
        <v>41</v>
      </c>
      <c r="U29" s="19" t="s">
        <v>76</v>
      </c>
      <c r="V29" s="18">
        <v>390000</v>
      </c>
      <c r="W29" s="18">
        <v>0.22</v>
      </c>
      <c r="X29" s="18">
        <v>3000</v>
      </c>
      <c r="Y29" s="18">
        <v>150</v>
      </c>
      <c r="Z29" s="18">
        <v>300</v>
      </c>
      <c r="AA29" s="18">
        <f t="shared" si="19"/>
        <v>210</v>
      </c>
      <c r="AB29" s="18">
        <v>60</v>
      </c>
      <c r="AC29" s="19">
        <v>45</v>
      </c>
      <c r="AD29" s="18">
        <v>111</v>
      </c>
      <c r="AE29" s="18">
        <v>12</v>
      </c>
      <c r="AO29" s="2">
        <f t="shared" si="20"/>
        <v>100.53096491487338</v>
      </c>
      <c r="AP29" s="2">
        <f t="shared" si="21"/>
        <v>20.349794102152487</v>
      </c>
      <c r="AQ29" s="2" t="str">
        <f t="shared" si="22"/>
        <v>OK</v>
      </c>
    </row>
    <row r="30" spans="1:52" x14ac:dyDescent="0.25">
      <c r="A30" s="19">
        <v>28</v>
      </c>
      <c r="B30" s="30" t="s">
        <v>83</v>
      </c>
      <c r="C30" s="18" t="s">
        <v>84</v>
      </c>
      <c r="D30" s="18">
        <v>13.3</v>
      </c>
      <c r="E30" s="18">
        <v>250</v>
      </c>
      <c r="F30" s="18">
        <v>450</v>
      </c>
      <c r="G30" s="18">
        <v>400</v>
      </c>
      <c r="H30" s="18">
        <v>450</v>
      </c>
      <c r="I30" s="18">
        <v>150</v>
      </c>
      <c r="J30" s="18" t="s">
        <v>36</v>
      </c>
      <c r="K30" s="18">
        <v>1400</v>
      </c>
      <c r="L30" s="18">
        <v>2.2000000000000002</v>
      </c>
      <c r="M30" s="18" t="s">
        <v>20</v>
      </c>
      <c r="N30" s="18">
        <v>8</v>
      </c>
      <c r="O30" s="19">
        <f t="shared" si="4"/>
        <v>180</v>
      </c>
      <c r="P30" s="18">
        <v>200000</v>
      </c>
      <c r="Q30" s="18">
        <v>500</v>
      </c>
      <c r="R30" s="18">
        <f t="shared" ref="R30:R38" si="23">100*2*3.1416*N30^2/4/O30/E30</f>
        <v>0.22340266666666664</v>
      </c>
      <c r="S30" s="18" t="s">
        <v>38</v>
      </c>
      <c r="T30" s="18" t="s">
        <v>39</v>
      </c>
      <c r="U30" s="19" t="s">
        <v>76</v>
      </c>
      <c r="V30" s="18">
        <v>390000</v>
      </c>
      <c r="W30" s="18">
        <v>0.22</v>
      </c>
      <c r="X30" s="18">
        <v>3000</v>
      </c>
      <c r="Y30" s="18">
        <v>1</v>
      </c>
      <c r="Z30" s="18">
        <v>1</v>
      </c>
      <c r="AA30" s="18">
        <f t="shared" si="19"/>
        <v>210</v>
      </c>
      <c r="AB30" s="18">
        <v>90</v>
      </c>
      <c r="AC30" s="19">
        <v>45</v>
      </c>
      <c r="AD30" s="18">
        <v>125</v>
      </c>
      <c r="AE30" s="18">
        <v>27</v>
      </c>
      <c r="AO30" s="2">
        <f t="shared" si="20"/>
        <v>100.53096491487338</v>
      </c>
      <c r="AP30" s="2">
        <f t="shared" si="21"/>
        <v>20.349794102152487</v>
      </c>
      <c r="AQ30" s="2" t="str">
        <f t="shared" si="22"/>
        <v>OK</v>
      </c>
    </row>
    <row r="31" spans="1:52" x14ac:dyDescent="0.25">
      <c r="A31" s="19">
        <v>29</v>
      </c>
      <c r="B31" s="29" t="s">
        <v>85</v>
      </c>
      <c r="C31" s="19" t="s">
        <v>86</v>
      </c>
      <c r="D31" s="19">
        <v>36</v>
      </c>
      <c r="E31" s="19">
        <v>200</v>
      </c>
      <c r="F31" s="19">
        <v>450</v>
      </c>
      <c r="G31" s="19">
        <v>390</v>
      </c>
      <c r="H31" s="19">
        <v>450</v>
      </c>
      <c r="I31" s="19">
        <v>0</v>
      </c>
      <c r="J31" s="19" t="s">
        <v>36</v>
      </c>
      <c r="K31" s="19">
        <v>1250</v>
      </c>
      <c r="L31" s="19">
        <v>2.2000000000000002</v>
      </c>
      <c r="M31" s="19" t="s">
        <v>20</v>
      </c>
      <c r="N31" s="19">
        <v>6</v>
      </c>
      <c r="O31" s="19">
        <f t="shared" si="4"/>
        <v>175.5</v>
      </c>
      <c r="P31" s="19">
        <v>200000</v>
      </c>
      <c r="Q31" s="19">
        <v>590</v>
      </c>
      <c r="R31" s="19">
        <f t="shared" si="23"/>
        <v>0.16110769230769229</v>
      </c>
      <c r="S31" s="19" t="s">
        <v>38</v>
      </c>
      <c r="T31" s="19" t="s">
        <v>41</v>
      </c>
      <c r="U31" s="19" t="s">
        <v>76</v>
      </c>
      <c r="V31" s="19">
        <v>233000</v>
      </c>
      <c r="W31" s="19">
        <v>0.111</v>
      </c>
      <c r="X31" s="19">
        <v>3500</v>
      </c>
      <c r="Y31" s="19">
        <v>50</v>
      </c>
      <c r="Z31" s="19">
        <v>400</v>
      </c>
      <c r="AA31" s="9">
        <f t="shared" si="19"/>
        <v>351</v>
      </c>
      <c r="AB31" s="19">
        <v>90</v>
      </c>
      <c r="AC31" s="19">
        <v>45</v>
      </c>
      <c r="AD31" s="21">
        <v>170</v>
      </c>
      <c r="AE31" s="21">
        <v>33.4</v>
      </c>
      <c r="AO31" s="2">
        <f t="shared" si="20"/>
        <v>56.548667764616276</v>
      </c>
      <c r="AP31" s="2">
        <f t="shared" si="21"/>
        <v>22.130847457627119</v>
      </c>
      <c r="AQ31" s="2" t="str">
        <f t="shared" si="22"/>
        <v>OK</v>
      </c>
    </row>
    <row r="32" spans="1:52" x14ac:dyDescent="0.25">
      <c r="A32" s="19">
        <v>30</v>
      </c>
      <c r="B32" s="6"/>
      <c r="C32" s="19" t="s">
        <v>87</v>
      </c>
      <c r="D32" s="19">
        <v>41.4</v>
      </c>
      <c r="E32" s="19">
        <v>150</v>
      </c>
      <c r="F32" s="19">
        <v>300</v>
      </c>
      <c r="G32" s="19">
        <v>250</v>
      </c>
      <c r="H32" s="19">
        <v>300</v>
      </c>
      <c r="I32" s="19">
        <v>0</v>
      </c>
      <c r="J32" s="19" t="s">
        <v>36</v>
      </c>
      <c r="K32" s="19">
        <v>750</v>
      </c>
      <c r="L32" s="19">
        <v>2.2000000000000002</v>
      </c>
      <c r="M32" s="19" t="s">
        <v>20</v>
      </c>
      <c r="N32" s="19">
        <v>8</v>
      </c>
      <c r="O32" s="19">
        <f t="shared" si="4"/>
        <v>112.5</v>
      </c>
      <c r="P32" s="19">
        <v>200000</v>
      </c>
      <c r="Q32" s="19">
        <v>534</v>
      </c>
      <c r="R32" s="19">
        <f t="shared" si="23"/>
        <v>0.59574044444444441</v>
      </c>
      <c r="S32" s="19" t="s">
        <v>38</v>
      </c>
      <c r="T32" s="19" t="s">
        <v>39</v>
      </c>
      <c r="U32" s="19" t="s">
        <v>76</v>
      </c>
      <c r="V32" s="19">
        <v>230000</v>
      </c>
      <c r="W32" s="19">
        <v>0.16500000000000001</v>
      </c>
      <c r="X32" s="19">
        <v>3450</v>
      </c>
      <c r="Y32" s="19">
        <v>1</v>
      </c>
      <c r="Z32" s="19">
        <v>1</v>
      </c>
      <c r="AA32" s="9">
        <f t="shared" si="19"/>
        <v>225</v>
      </c>
      <c r="AB32" s="19">
        <v>90</v>
      </c>
      <c r="AC32" s="19">
        <v>45</v>
      </c>
      <c r="AD32" s="19">
        <v>238.1</v>
      </c>
      <c r="AE32" s="19">
        <v>52.9</v>
      </c>
      <c r="AO32" s="2">
        <f t="shared" si="20"/>
        <v>100.53096491487338</v>
      </c>
      <c r="AP32" s="2">
        <f t="shared" si="21"/>
        <v>12.6064958310634</v>
      </c>
      <c r="AQ32" s="2" t="str">
        <f t="shared" si="22"/>
        <v>OK</v>
      </c>
    </row>
    <row r="33" spans="1:43" x14ac:dyDescent="0.25">
      <c r="A33" s="19">
        <v>31</v>
      </c>
      <c r="B33" s="30" t="s">
        <v>88</v>
      </c>
      <c r="C33" s="19" t="s">
        <v>89</v>
      </c>
      <c r="D33" s="19">
        <v>41.4</v>
      </c>
      <c r="E33" s="19">
        <v>150</v>
      </c>
      <c r="F33" s="19">
        <v>300</v>
      </c>
      <c r="G33" s="19">
        <v>250</v>
      </c>
      <c r="H33" s="19">
        <v>300</v>
      </c>
      <c r="I33" s="19">
        <v>0</v>
      </c>
      <c r="J33" s="19" t="s">
        <v>36</v>
      </c>
      <c r="K33" s="19">
        <v>750</v>
      </c>
      <c r="L33" s="19">
        <v>2.2000000000000002</v>
      </c>
      <c r="M33" s="19" t="s">
        <v>20</v>
      </c>
      <c r="N33" s="19">
        <v>8</v>
      </c>
      <c r="O33" s="19">
        <f t="shared" si="4"/>
        <v>112.5</v>
      </c>
      <c r="P33" s="19">
        <v>200000</v>
      </c>
      <c r="Q33" s="19">
        <v>534</v>
      </c>
      <c r="R33" s="19">
        <f t="shared" si="23"/>
        <v>0.59574044444444441</v>
      </c>
      <c r="S33" s="19" t="s">
        <v>38</v>
      </c>
      <c r="T33" s="19" t="s">
        <v>39</v>
      </c>
      <c r="U33" s="19" t="s">
        <v>76</v>
      </c>
      <c r="V33" s="19">
        <v>230000</v>
      </c>
      <c r="W33" s="19">
        <v>0.33</v>
      </c>
      <c r="X33" s="19">
        <v>3450</v>
      </c>
      <c r="Y33" s="19">
        <v>1</v>
      </c>
      <c r="Z33" s="19">
        <v>1</v>
      </c>
      <c r="AA33" s="9">
        <f t="shared" si="19"/>
        <v>225</v>
      </c>
      <c r="AB33" s="19">
        <v>90</v>
      </c>
      <c r="AC33" s="19">
        <v>45</v>
      </c>
      <c r="AD33" s="19">
        <v>243</v>
      </c>
      <c r="AE33" s="19">
        <v>57.8</v>
      </c>
      <c r="AO33" s="2">
        <f t="shared" si="20"/>
        <v>100.53096491487338</v>
      </c>
      <c r="AP33" s="2">
        <f t="shared" si="21"/>
        <v>12.6064958310634</v>
      </c>
      <c r="AQ33" s="2" t="str">
        <f t="shared" si="22"/>
        <v>OK</v>
      </c>
    </row>
    <row r="34" spans="1:43" x14ac:dyDescent="0.25">
      <c r="A34" s="19">
        <v>32</v>
      </c>
      <c r="B34" s="30"/>
      <c r="C34" s="19" t="s">
        <v>90</v>
      </c>
      <c r="D34" s="19">
        <v>41.4</v>
      </c>
      <c r="E34" s="19">
        <v>150</v>
      </c>
      <c r="F34" s="19">
        <v>300</v>
      </c>
      <c r="G34" s="19">
        <v>250</v>
      </c>
      <c r="H34" s="19">
        <v>300</v>
      </c>
      <c r="I34" s="19">
        <v>0</v>
      </c>
      <c r="J34" s="19" t="s">
        <v>36</v>
      </c>
      <c r="K34" s="19">
        <v>750</v>
      </c>
      <c r="L34" s="19">
        <v>2.2000000000000002</v>
      </c>
      <c r="M34" s="19" t="s">
        <v>20</v>
      </c>
      <c r="N34" s="19">
        <v>8</v>
      </c>
      <c r="O34" s="19">
        <f t="shared" si="4"/>
        <v>112.5</v>
      </c>
      <c r="P34" s="19">
        <v>200000</v>
      </c>
      <c r="Q34" s="19">
        <v>534</v>
      </c>
      <c r="R34" s="19">
        <f t="shared" si="23"/>
        <v>0.59574044444444441</v>
      </c>
      <c r="S34" s="19" t="s">
        <v>38</v>
      </c>
      <c r="T34" s="19" t="s">
        <v>39</v>
      </c>
      <c r="U34" s="19" t="s">
        <v>76</v>
      </c>
      <c r="V34" s="19">
        <v>230000</v>
      </c>
      <c r="W34" s="19">
        <v>0.16500000000000001</v>
      </c>
      <c r="X34" s="19">
        <v>3450</v>
      </c>
      <c r="Y34" s="19">
        <v>1</v>
      </c>
      <c r="Z34" s="19">
        <v>1</v>
      </c>
      <c r="AA34" s="9">
        <f t="shared" si="19"/>
        <v>225</v>
      </c>
      <c r="AB34" s="19">
        <v>90</v>
      </c>
      <c r="AC34" s="19">
        <v>45</v>
      </c>
      <c r="AD34" s="19">
        <v>225</v>
      </c>
      <c r="AE34" s="19">
        <v>55.8</v>
      </c>
      <c r="AO34" s="2">
        <f t="shared" si="20"/>
        <v>100.53096491487338</v>
      </c>
      <c r="AP34" s="2">
        <f t="shared" si="21"/>
        <v>12.6064958310634</v>
      </c>
      <c r="AQ34" s="2" t="str">
        <f t="shared" si="22"/>
        <v>OK</v>
      </c>
    </row>
    <row r="35" spans="1:43" x14ac:dyDescent="0.25">
      <c r="A35" s="19">
        <v>33</v>
      </c>
      <c r="B35" s="30"/>
      <c r="C35" s="19" t="s">
        <v>91</v>
      </c>
      <c r="D35" s="19">
        <v>41.4</v>
      </c>
      <c r="E35" s="19">
        <v>150</v>
      </c>
      <c r="F35" s="19">
        <v>300</v>
      </c>
      <c r="G35" s="19">
        <v>250</v>
      </c>
      <c r="H35" s="19">
        <v>300</v>
      </c>
      <c r="I35" s="19">
        <v>0</v>
      </c>
      <c r="J35" s="19" t="s">
        <v>36</v>
      </c>
      <c r="K35" s="19">
        <v>750</v>
      </c>
      <c r="L35" s="19">
        <v>2.2000000000000002</v>
      </c>
      <c r="M35" s="19" t="s">
        <v>20</v>
      </c>
      <c r="N35" s="19">
        <v>8</v>
      </c>
      <c r="O35" s="19">
        <f t="shared" si="4"/>
        <v>112.5</v>
      </c>
      <c r="P35" s="19">
        <v>200000</v>
      </c>
      <c r="Q35" s="19">
        <v>534</v>
      </c>
      <c r="R35" s="19">
        <f t="shared" si="23"/>
        <v>0.59574044444444441</v>
      </c>
      <c r="S35" s="19" t="s">
        <v>38</v>
      </c>
      <c r="T35" s="19" t="s">
        <v>39</v>
      </c>
      <c r="U35" s="19" t="s">
        <v>76</v>
      </c>
      <c r="V35" s="19">
        <v>230000</v>
      </c>
      <c r="W35" s="19">
        <v>0.33</v>
      </c>
      <c r="X35" s="19">
        <v>3450</v>
      </c>
      <c r="Y35" s="19">
        <v>1</v>
      </c>
      <c r="Z35" s="19">
        <v>1</v>
      </c>
      <c r="AA35" s="9">
        <f t="shared" si="19"/>
        <v>225</v>
      </c>
      <c r="AB35" s="19">
        <v>90</v>
      </c>
      <c r="AC35" s="19">
        <v>45</v>
      </c>
      <c r="AD35" s="19">
        <v>229.7</v>
      </c>
      <c r="AE35" s="19">
        <v>60.5</v>
      </c>
      <c r="AO35" s="2">
        <f t="shared" si="20"/>
        <v>100.53096491487338</v>
      </c>
      <c r="AP35" s="2">
        <f t="shared" si="21"/>
        <v>12.6064958310634</v>
      </c>
      <c r="AQ35" s="2" t="str">
        <f t="shared" si="22"/>
        <v>OK</v>
      </c>
    </row>
    <row r="36" spans="1:43" x14ac:dyDescent="0.25">
      <c r="A36" s="19">
        <v>34</v>
      </c>
      <c r="B36" s="10" t="s">
        <v>92</v>
      </c>
      <c r="C36" s="19" t="s">
        <v>93</v>
      </c>
      <c r="D36" s="19">
        <v>35.700000000000003</v>
      </c>
      <c r="E36" s="19">
        <v>150</v>
      </c>
      <c r="F36" s="19">
        <v>300</v>
      </c>
      <c r="G36" s="19">
        <v>232</v>
      </c>
      <c r="H36" s="19">
        <v>300</v>
      </c>
      <c r="I36" s="19">
        <v>100</v>
      </c>
      <c r="J36" s="19" t="s">
        <v>58</v>
      </c>
      <c r="K36" s="19">
        <v>600</v>
      </c>
      <c r="L36" s="19">
        <v>2.2000000000000002</v>
      </c>
      <c r="M36" s="18" t="s">
        <v>4</v>
      </c>
      <c r="N36" s="37">
        <v>6</v>
      </c>
      <c r="O36" s="19">
        <f t="shared" si="4"/>
        <v>104.4</v>
      </c>
      <c r="P36" s="19">
        <v>183000</v>
      </c>
      <c r="Q36" s="19">
        <v>387</v>
      </c>
      <c r="R36" s="19">
        <f t="shared" si="23"/>
        <v>0.36110344827586199</v>
      </c>
      <c r="S36" s="19" t="s">
        <v>38</v>
      </c>
      <c r="T36" s="19" t="s">
        <v>39</v>
      </c>
      <c r="U36" s="19" t="s">
        <v>76</v>
      </c>
      <c r="V36" s="22">
        <v>230000</v>
      </c>
      <c r="W36" s="25">
        <v>0.111</v>
      </c>
      <c r="X36" s="22">
        <v>3480</v>
      </c>
      <c r="Y36" s="25">
        <v>1</v>
      </c>
      <c r="Z36" s="19">
        <v>1</v>
      </c>
      <c r="AA36" s="9">
        <f t="shared" si="19"/>
        <v>108.80000000000001</v>
      </c>
      <c r="AB36" s="19">
        <v>90</v>
      </c>
      <c r="AC36" s="19">
        <v>45</v>
      </c>
      <c r="AD36" s="22">
        <v>223</v>
      </c>
      <c r="AE36" s="19">
        <v>24</v>
      </c>
      <c r="AO36" s="2">
        <f t="shared" si="20"/>
        <v>56.548667764616276</v>
      </c>
      <c r="AP36" s="2">
        <f t="shared" si="21"/>
        <v>14.990171109671888</v>
      </c>
      <c r="AQ36" s="2" t="str">
        <f t="shared" si="22"/>
        <v>OK</v>
      </c>
    </row>
    <row r="37" spans="1:43" x14ac:dyDescent="0.25">
      <c r="A37" s="19">
        <v>35</v>
      </c>
      <c r="B37" s="36" t="s">
        <v>94</v>
      </c>
      <c r="C37" s="19" t="s">
        <v>95</v>
      </c>
      <c r="D37" s="19">
        <v>36.5</v>
      </c>
      <c r="E37" s="19">
        <v>127</v>
      </c>
      <c r="F37" s="19">
        <v>203</v>
      </c>
      <c r="G37" s="19">
        <v>165</v>
      </c>
      <c r="H37" s="19">
        <v>203</v>
      </c>
      <c r="I37" s="19">
        <v>0</v>
      </c>
      <c r="J37" s="19" t="s">
        <v>36</v>
      </c>
      <c r="K37" s="19">
        <f>1070/3</f>
        <v>356.66666666666669</v>
      </c>
      <c r="L37" s="19">
        <v>2.2000000000000002</v>
      </c>
      <c r="M37" s="18" t="s">
        <v>4</v>
      </c>
      <c r="N37" s="19">
        <v>6</v>
      </c>
      <c r="O37" s="19">
        <f t="shared" si="4"/>
        <v>74.25</v>
      </c>
      <c r="P37" s="19">
        <v>200000</v>
      </c>
      <c r="Q37" s="19">
        <v>420</v>
      </c>
      <c r="R37" s="19">
        <f t="shared" si="23"/>
        <v>0.59968503937007855</v>
      </c>
      <c r="S37" s="19" t="s">
        <v>38</v>
      </c>
      <c r="T37" s="19" t="s">
        <v>39</v>
      </c>
      <c r="U37" s="19" t="s">
        <v>76</v>
      </c>
      <c r="V37" s="22">
        <v>200000</v>
      </c>
      <c r="W37" s="25">
        <v>1.68</v>
      </c>
      <c r="X37" s="22">
        <v>105</v>
      </c>
      <c r="Y37" s="25">
        <v>1</v>
      </c>
      <c r="Z37" s="19">
        <f>SQRT(2)</f>
        <v>1.4142135623730951</v>
      </c>
      <c r="AA37" s="9">
        <f t="shared" si="19"/>
        <v>148.5</v>
      </c>
      <c r="AB37" s="19">
        <v>45</v>
      </c>
      <c r="AC37" s="19">
        <v>45</v>
      </c>
      <c r="AD37" s="19">
        <v>100.8</v>
      </c>
      <c r="AE37" s="19">
        <v>49.3</v>
      </c>
      <c r="AO37" s="2">
        <f t="shared" si="20"/>
        <v>56.548667764616276</v>
      </c>
      <c r="AP37" s="2">
        <f t="shared" si="21"/>
        <v>8.4098647282252532</v>
      </c>
      <c r="AQ37" s="2" t="str">
        <f t="shared" si="22"/>
        <v>OK</v>
      </c>
    </row>
    <row r="38" spans="1:43" x14ac:dyDescent="0.25">
      <c r="A38" s="19">
        <v>36</v>
      </c>
      <c r="B38" s="18" t="s">
        <v>96</v>
      </c>
      <c r="C38" s="19" t="s">
        <v>97</v>
      </c>
      <c r="D38" s="19">
        <v>59</v>
      </c>
      <c r="E38" s="19">
        <v>70</v>
      </c>
      <c r="F38" s="19">
        <v>475</v>
      </c>
      <c r="G38" s="19">
        <v>410</v>
      </c>
      <c r="H38" s="19">
        <v>345</v>
      </c>
      <c r="I38" s="19">
        <v>105</v>
      </c>
      <c r="J38" s="19" t="s">
        <v>98</v>
      </c>
      <c r="K38" s="19">
        <v>1940</v>
      </c>
      <c r="L38" s="19">
        <v>2.2000000000000002</v>
      </c>
      <c r="M38" s="19" t="s">
        <v>20</v>
      </c>
      <c r="N38" s="19">
        <v>5.5</v>
      </c>
      <c r="O38" s="19">
        <f t="shared" si="4"/>
        <v>184.5</v>
      </c>
      <c r="P38" s="19">
        <v>200000</v>
      </c>
      <c r="Q38" s="19">
        <v>640</v>
      </c>
      <c r="R38" s="19">
        <f t="shared" si="23"/>
        <v>0.36791869918699183</v>
      </c>
      <c r="S38" s="19" t="s">
        <v>38</v>
      </c>
      <c r="T38" s="19" t="s">
        <v>41</v>
      </c>
      <c r="U38" s="19" t="s">
        <v>76</v>
      </c>
      <c r="V38" s="19">
        <v>230000</v>
      </c>
      <c r="W38" s="19">
        <v>0.11</v>
      </c>
      <c r="X38" s="19">
        <v>3400</v>
      </c>
      <c r="Y38" s="19">
        <v>50</v>
      </c>
      <c r="Z38" s="19">
        <v>150</v>
      </c>
      <c r="AA38" s="18">
        <v>199</v>
      </c>
      <c r="AB38" s="19">
        <v>45</v>
      </c>
      <c r="AC38" s="19">
        <v>45</v>
      </c>
      <c r="AD38" s="19">
        <v>272</v>
      </c>
      <c r="AE38" s="19">
        <v>62.5</v>
      </c>
      <c r="AO38" s="2">
        <f t="shared" si="20"/>
        <v>47.516588885545623</v>
      </c>
      <c r="AP38" s="2">
        <f t="shared" si="21"/>
        <v>9.6101934917044236</v>
      </c>
      <c r="AQ38" s="2" t="str">
        <f t="shared" si="22"/>
        <v>OK</v>
      </c>
    </row>
    <row r="39" spans="1:43" x14ac:dyDescent="0.25">
      <c r="A39" s="19">
        <v>37</v>
      </c>
      <c r="B39" s="9" t="s">
        <v>99</v>
      </c>
      <c r="C39" s="9" t="s">
        <v>100</v>
      </c>
      <c r="D39" s="9">
        <v>29.3</v>
      </c>
      <c r="E39" s="9">
        <v>200</v>
      </c>
      <c r="F39" s="9">
        <v>210</v>
      </c>
      <c r="G39" s="9">
        <v>173</v>
      </c>
      <c r="H39" s="9">
        <v>210</v>
      </c>
      <c r="I39" s="9">
        <v>0</v>
      </c>
      <c r="J39" s="9" t="s">
        <v>36</v>
      </c>
      <c r="K39" s="38">
        <v>519</v>
      </c>
      <c r="L39" s="39">
        <f t="shared" ref="L39:L47" si="24">K39/G39</f>
        <v>3</v>
      </c>
      <c r="M39" s="9" t="s">
        <v>20</v>
      </c>
      <c r="N39" s="9">
        <v>6</v>
      </c>
      <c r="O39" s="19">
        <f t="shared" si="4"/>
        <v>77.850000000000009</v>
      </c>
      <c r="P39" s="9">
        <v>251500</v>
      </c>
      <c r="Q39" s="9">
        <v>665.3</v>
      </c>
      <c r="R39" s="9">
        <f>100*2*3.1416*N39^2/4/O39/E39</f>
        <v>0.36319075144508661</v>
      </c>
      <c r="S39" s="9" t="s">
        <v>38</v>
      </c>
      <c r="T39" s="9" t="s">
        <v>39</v>
      </c>
      <c r="U39" s="19" t="s">
        <v>76</v>
      </c>
      <c r="V39" s="9">
        <v>230000</v>
      </c>
      <c r="W39" s="9">
        <v>0.16500000000000001</v>
      </c>
      <c r="X39" s="9">
        <v>3430</v>
      </c>
      <c r="Y39" s="9">
        <v>1</v>
      </c>
      <c r="Z39" s="9">
        <v>1</v>
      </c>
      <c r="AA39" s="9">
        <f t="shared" si="19"/>
        <v>155.70000000000002</v>
      </c>
      <c r="AB39" s="9">
        <v>90</v>
      </c>
      <c r="AC39" s="19">
        <v>45</v>
      </c>
      <c r="AD39" s="9">
        <v>141.5</v>
      </c>
      <c r="AE39" s="9">
        <v>19.3</v>
      </c>
      <c r="AO39" s="2">
        <f t="shared" si="20"/>
        <v>56.548667764616276</v>
      </c>
      <c r="AP39" s="2">
        <f t="shared" si="21"/>
        <v>7.8541029351894984</v>
      </c>
      <c r="AQ39" s="2" t="str">
        <f t="shared" si="22"/>
        <v>OK</v>
      </c>
    </row>
    <row r="40" spans="1:43" x14ac:dyDescent="0.25">
      <c r="A40" s="19">
        <v>38</v>
      </c>
      <c r="B40" s="5"/>
      <c r="C40" s="18" t="s">
        <v>101</v>
      </c>
      <c r="D40" s="18">
        <v>31.7</v>
      </c>
      <c r="E40" s="18">
        <v>180</v>
      </c>
      <c r="F40" s="18">
        <v>400</v>
      </c>
      <c r="G40" s="18">
        <v>360</v>
      </c>
      <c r="H40" s="18">
        <v>400</v>
      </c>
      <c r="I40" s="18">
        <v>100</v>
      </c>
      <c r="J40" s="18" t="s">
        <v>58</v>
      </c>
      <c r="K40" s="40">
        <v>900</v>
      </c>
      <c r="L40" s="23">
        <f t="shared" si="24"/>
        <v>2.5</v>
      </c>
      <c r="M40" s="18" t="s">
        <v>20</v>
      </c>
      <c r="N40" s="18">
        <v>6</v>
      </c>
      <c r="O40" s="19">
        <f t="shared" si="4"/>
        <v>162</v>
      </c>
      <c r="P40" s="18">
        <v>200000</v>
      </c>
      <c r="Q40" s="18">
        <v>542</v>
      </c>
      <c r="R40" s="18">
        <f>100*2*3.1416*N40^2/4/O40/E40</f>
        <v>0.19392592592592589</v>
      </c>
      <c r="S40" s="18" t="s">
        <v>38</v>
      </c>
      <c r="T40" s="18" t="s">
        <v>41</v>
      </c>
      <c r="U40" s="19" t="s">
        <v>76</v>
      </c>
      <c r="V40" s="18">
        <v>218400</v>
      </c>
      <c r="W40" s="18">
        <v>0.17599999999999999</v>
      </c>
      <c r="X40" s="18">
        <v>2863</v>
      </c>
      <c r="Y40" s="18">
        <v>60</v>
      </c>
      <c r="Z40" s="18">
        <v>180</v>
      </c>
      <c r="AA40" s="18">
        <f t="shared" si="19"/>
        <v>224</v>
      </c>
      <c r="AB40" s="18">
        <v>90</v>
      </c>
      <c r="AC40" s="19">
        <v>45</v>
      </c>
      <c r="AD40" s="18">
        <v>155.55000000000001</v>
      </c>
      <c r="AE40" s="18">
        <v>4.4000000000000004</v>
      </c>
      <c r="AO40" s="2">
        <f t="shared" si="20"/>
        <v>56.548667764616276</v>
      </c>
      <c r="AP40" s="2">
        <f t="shared" si="21"/>
        <v>18.780603925821328</v>
      </c>
      <c r="AQ40" s="2" t="str">
        <f t="shared" si="22"/>
        <v>OK</v>
      </c>
    </row>
    <row r="41" spans="1:43" x14ac:dyDescent="0.25">
      <c r="A41" s="19">
        <v>39</v>
      </c>
      <c r="B41" s="9" t="s">
        <v>102</v>
      </c>
      <c r="C41" s="18" t="s">
        <v>103</v>
      </c>
      <c r="D41" s="18">
        <v>39.700000000000003</v>
      </c>
      <c r="E41" s="18">
        <v>180</v>
      </c>
      <c r="F41" s="18">
        <v>400</v>
      </c>
      <c r="G41" s="18">
        <v>360</v>
      </c>
      <c r="H41" s="18">
        <v>400</v>
      </c>
      <c r="I41" s="18">
        <v>100</v>
      </c>
      <c r="J41" s="18" t="s">
        <v>58</v>
      </c>
      <c r="K41" s="40">
        <v>900</v>
      </c>
      <c r="L41" s="23">
        <f t="shared" si="24"/>
        <v>2.5</v>
      </c>
      <c r="M41" s="18" t="s">
        <v>20</v>
      </c>
      <c r="N41" s="18">
        <v>6</v>
      </c>
      <c r="O41" s="19">
        <f t="shared" si="4"/>
        <v>162</v>
      </c>
      <c r="P41" s="18">
        <v>200000</v>
      </c>
      <c r="Q41" s="18">
        <v>542</v>
      </c>
      <c r="R41" s="18">
        <f>100*2*3.1416*N41^2/4/O41/E41</f>
        <v>0.19392592592592589</v>
      </c>
      <c r="S41" s="18" t="s">
        <v>38</v>
      </c>
      <c r="T41" s="18" t="s">
        <v>41</v>
      </c>
      <c r="U41" s="19" t="s">
        <v>76</v>
      </c>
      <c r="V41" s="18">
        <v>218400</v>
      </c>
      <c r="W41" s="18">
        <v>0.17599999999999999</v>
      </c>
      <c r="X41" s="18">
        <v>2863</v>
      </c>
      <c r="Y41" s="18">
        <v>60</v>
      </c>
      <c r="Z41" s="18">
        <v>114</v>
      </c>
      <c r="AA41" s="18">
        <f t="shared" si="19"/>
        <v>224</v>
      </c>
      <c r="AB41" s="18">
        <v>90</v>
      </c>
      <c r="AC41" s="19">
        <v>45</v>
      </c>
      <c r="AD41" s="18">
        <v>162.55000000000001</v>
      </c>
      <c r="AE41" s="18">
        <v>12.8</v>
      </c>
      <c r="AO41" s="2">
        <f t="shared" si="20"/>
        <v>56.548667764616276</v>
      </c>
      <c r="AP41" s="2">
        <f t="shared" si="21"/>
        <v>21.017215436854674</v>
      </c>
      <c r="AQ41" s="2" t="str">
        <f t="shared" si="22"/>
        <v>OK</v>
      </c>
    </row>
    <row r="42" spans="1:43" x14ac:dyDescent="0.25">
      <c r="A42" s="19">
        <v>40</v>
      </c>
      <c r="B42" s="9"/>
      <c r="C42" s="19" t="s">
        <v>104</v>
      </c>
      <c r="D42" s="19">
        <v>39.700000000000003</v>
      </c>
      <c r="E42" s="19">
        <v>180</v>
      </c>
      <c r="F42" s="19">
        <v>400</v>
      </c>
      <c r="G42" s="19">
        <v>360</v>
      </c>
      <c r="H42" s="19">
        <v>400</v>
      </c>
      <c r="I42" s="19">
        <v>100</v>
      </c>
      <c r="J42" s="19" t="s">
        <v>58</v>
      </c>
      <c r="K42" s="41">
        <v>900</v>
      </c>
      <c r="L42" s="20">
        <f t="shared" si="24"/>
        <v>2.5</v>
      </c>
      <c r="M42" s="19" t="s">
        <v>20</v>
      </c>
      <c r="N42" s="19">
        <v>6</v>
      </c>
      <c r="O42" s="19">
        <f t="shared" si="4"/>
        <v>162</v>
      </c>
      <c r="P42" s="19">
        <v>200000</v>
      </c>
      <c r="Q42" s="19">
        <v>542</v>
      </c>
      <c r="R42" s="19">
        <f>100*2*3.1416*N42^2/4/O42/E42</f>
        <v>0.19392592592592589</v>
      </c>
      <c r="S42" s="19" t="s">
        <v>38</v>
      </c>
      <c r="T42" s="19" t="s">
        <v>41</v>
      </c>
      <c r="U42" s="19" t="s">
        <v>76</v>
      </c>
      <c r="V42" s="29">
        <v>218400</v>
      </c>
      <c r="W42" s="29">
        <f>0.176*2</f>
        <v>0.35199999999999998</v>
      </c>
      <c r="X42" s="29">
        <v>2863</v>
      </c>
      <c r="Y42" s="29">
        <v>60</v>
      </c>
      <c r="Z42" s="29">
        <v>114</v>
      </c>
      <c r="AA42" s="9">
        <f t="shared" si="19"/>
        <v>224</v>
      </c>
      <c r="AB42" s="19">
        <v>90</v>
      </c>
      <c r="AC42" s="19">
        <v>45</v>
      </c>
      <c r="AD42" s="19">
        <v>185.05</v>
      </c>
      <c r="AE42" s="19">
        <v>39.799999999999997</v>
      </c>
      <c r="AO42" s="2">
        <f t="shared" si="20"/>
        <v>56.548667764616276</v>
      </c>
      <c r="AP42" s="2">
        <f t="shared" si="21"/>
        <v>21.017215436854674</v>
      </c>
      <c r="AQ42" s="2" t="str">
        <f t="shared" si="22"/>
        <v>OK</v>
      </c>
    </row>
    <row r="43" spans="1:43" x14ac:dyDescent="0.25">
      <c r="A43" s="19">
        <v>41</v>
      </c>
      <c r="B43" s="29"/>
      <c r="C43" s="19" t="s">
        <v>105</v>
      </c>
      <c r="D43" s="19">
        <f>0.8*40.8</f>
        <v>32.64</v>
      </c>
      <c r="E43" s="19">
        <v>150</v>
      </c>
      <c r="F43" s="19">
        <v>360</v>
      </c>
      <c r="G43" s="19">
        <v>314</v>
      </c>
      <c r="H43" s="19">
        <v>360</v>
      </c>
      <c r="I43" s="19">
        <v>0</v>
      </c>
      <c r="J43" s="19" t="s">
        <v>36</v>
      </c>
      <c r="K43" s="41">
        <v>930</v>
      </c>
      <c r="L43" s="20">
        <f t="shared" si="24"/>
        <v>2.9617834394904459</v>
      </c>
      <c r="M43" s="19" t="s">
        <v>4</v>
      </c>
      <c r="N43" s="19">
        <v>6</v>
      </c>
      <c r="O43" s="19">
        <f t="shared" si="4"/>
        <v>141.30000000000001</v>
      </c>
      <c r="P43" s="19">
        <v>205000</v>
      </c>
      <c r="Q43" s="19">
        <v>395</v>
      </c>
      <c r="R43" s="19">
        <f t="shared" ref="R43:R45" si="25">100*2*3.1416*N43^2/4/O43/E43</f>
        <v>0.26680254777070056</v>
      </c>
      <c r="S43" s="19" t="s">
        <v>38</v>
      </c>
      <c r="T43" s="19" t="s">
        <v>39</v>
      </c>
      <c r="U43" s="19" t="s">
        <v>76</v>
      </c>
      <c r="V43" s="19">
        <v>235000</v>
      </c>
      <c r="W43" s="19">
        <v>0.22</v>
      </c>
      <c r="X43" s="19">
        <v>4200</v>
      </c>
      <c r="Y43" s="19">
        <v>1</v>
      </c>
      <c r="Z43" s="19">
        <v>1</v>
      </c>
      <c r="AA43" s="9">
        <f t="shared" si="19"/>
        <v>282.60000000000002</v>
      </c>
      <c r="AB43" s="19">
        <v>90</v>
      </c>
      <c r="AC43" s="19">
        <v>45</v>
      </c>
      <c r="AD43" s="19">
        <v>240</v>
      </c>
      <c r="AE43" s="19">
        <v>63.5</v>
      </c>
      <c r="AO43" s="2">
        <f t="shared" si="20"/>
        <v>56.548667764616276</v>
      </c>
      <c r="AP43" s="2">
        <f t="shared" si="21"/>
        <v>19.006541131471138</v>
      </c>
      <c r="AQ43" s="2" t="str">
        <f t="shared" si="22"/>
        <v>OK</v>
      </c>
    </row>
    <row r="44" spans="1:43" x14ac:dyDescent="0.25">
      <c r="A44" s="19">
        <v>42</v>
      </c>
      <c r="B44" s="29" t="s">
        <v>106</v>
      </c>
      <c r="C44" s="19" t="s">
        <v>107</v>
      </c>
      <c r="D44" s="19">
        <f t="shared" ref="D44:D45" si="26">0.8*40.8</f>
        <v>32.64</v>
      </c>
      <c r="E44" s="19">
        <v>150</v>
      </c>
      <c r="F44" s="19">
        <v>360</v>
      </c>
      <c r="G44" s="19">
        <v>314</v>
      </c>
      <c r="H44" s="19">
        <v>360</v>
      </c>
      <c r="I44" s="19">
        <v>0</v>
      </c>
      <c r="J44" s="19" t="s">
        <v>36</v>
      </c>
      <c r="K44" s="41">
        <v>930</v>
      </c>
      <c r="L44" s="20">
        <f t="shared" si="24"/>
        <v>2.9617834394904459</v>
      </c>
      <c r="M44" s="19" t="s">
        <v>4</v>
      </c>
      <c r="N44" s="19">
        <v>6</v>
      </c>
      <c r="O44" s="19">
        <f t="shared" si="4"/>
        <v>141.30000000000001</v>
      </c>
      <c r="P44" s="19">
        <v>205000</v>
      </c>
      <c r="Q44" s="19">
        <v>395</v>
      </c>
      <c r="R44" s="19">
        <f t="shared" si="25"/>
        <v>0.26680254777070056</v>
      </c>
      <c r="S44" s="19" t="s">
        <v>38</v>
      </c>
      <c r="T44" s="19" t="s">
        <v>41</v>
      </c>
      <c r="U44" s="19" t="s">
        <v>76</v>
      </c>
      <c r="V44" s="19">
        <v>235000</v>
      </c>
      <c r="W44" s="19">
        <v>0.22</v>
      </c>
      <c r="X44" s="19">
        <v>4200</v>
      </c>
      <c r="Y44" s="19">
        <v>40</v>
      </c>
      <c r="Z44" s="19">
        <v>120</v>
      </c>
      <c r="AA44" s="9">
        <f t="shared" si="19"/>
        <v>282.60000000000002</v>
      </c>
      <c r="AB44" s="19">
        <v>90</v>
      </c>
      <c r="AC44" s="19">
        <v>45</v>
      </c>
      <c r="AD44" s="19">
        <v>246</v>
      </c>
      <c r="AE44" s="19">
        <v>69.5</v>
      </c>
      <c r="AO44" s="2">
        <f t="shared" si="20"/>
        <v>56.548667764616276</v>
      </c>
      <c r="AP44" s="2">
        <f t="shared" si="21"/>
        <v>19.006541131471138</v>
      </c>
      <c r="AQ44" s="2" t="str">
        <f t="shared" si="22"/>
        <v>OK</v>
      </c>
    </row>
    <row r="45" spans="1:43" x14ac:dyDescent="0.25">
      <c r="A45" s="19">
        <v>43</v>
      </c>
      <c r="B45" s="29"/>
      <c r="C45" s="19" t="s">
        <v>108</v>
      </c>
      <c r="D45" s="19">
        <f t="shared" si="26"/>
        <v>32.64</v>
      </c>
      <c r="E45" s="19">
        <v>150</v>
      </c>
      <c r="F45" s="19">
        <v>360</v>
      </c>
      <c r="G45" s="19">
        <v>314</v>
      </c>
      <c r="H45" s="19">
        <v>360</v>
      </c>
      <c r="I45" s="19">
        <v>0</v>
      </c>
      <c r="J45" s="19" t="s">
        <v>36</v>
      </c>
      <c r="K45" s="41">
        <v>930</v>
      </c>
      <c r="L45" s="20">
        <f t="shared" si="24"/>
        <v>2.9617834394904459</v>
      </c>
      <c r="M45" s="19" t="s">
        <v>4</v>
      </c>
      <c r="N45" s="19">
        <v>6</v>
      </c>
      <c r="O45" s="19">
        <f t="shared" si="4"/>
        <v>141.30000000000001</v>
      </c>
      <c r="P45" s="19">
        <v>205000</v>
      </c>
      <c r="Q45" s="19">
        <v>395</v>
      </c>
      <c r="R45" s="19">
        <f t="shared" si="25"/>
        <v>0.26680254777070056</v>
      </c>
      <c r="S45" s="19" t="s">
        <v>38</v>
      </c>
      <c r="T45" s="19" t="s">
        <v>41</v>
      </c>
      <c r="U45" s="19" t="s">
        <v>76</v>
      </c>
      <c r="V45" s="19">
        <v>235000</v>
      </c>
      <c r="W45" s="19">
        <v>0.44</v>
      </c>
      <c r="X45" s="19">
        <v>4200</v>
      </c>
      <c r="Y45" s="19">
        <v>40</v>
      </c>
      <c r="Z45" s="19">
        <v>120</v>
      </c>
      <c r="AA45" s="9">
        <f t="shared" si="19"/>
        <v>282.60000000000002</v>
      </c>
      <c r="AB45" s="19">
        <v>90</v>
      </c>
      <c r="AC45" s="19">
        <v>45</v>
      </c>
      <c r="AD45" s="19">
        <v>240</v>
      </c>
      <c r="AE45" s="19">
        <v>63.5</v>
      </c>
      <c r="AO45" s="2">
        <f t="shared" si="20"/>
        <v>56.548667764616276</v>
      </c>
      <c r="AP45" s="2">
        <f t="shared" si="21"/>
        <v>19.006541131471138</v>
      </c>
      <c r="AQ45" s="2" t="str">
        <f t="shared" si="22"/>
        <v>OK</v>
      </c>
    </row>
    <row r="46" spans="1:43" x14ac:dyDescent="0.25">
      <c r="A46" s="19">
        <v>44</v>
      </c>
      <c r="B46" s="29" t="s">
        <v>109</v>
      </c>
      <c r="C46" s="19" t="s">
        <v>110</v>
      </c>
      <c r="D46" s="19">
        <v>44.1</v>
      </c>
      <c r="E46" s="19">
        <v>140</v>
      </c>
      <c r="F46" s="19">
        <v>600</v>
      </c>
      <c r="G46" s="18">
        <v>520</v>
      </c>
      <c r="H46" s="19">
        <v>600</v>
      </c>
      <c r="I46" s="19">
        <v>150</v>
      </c>
      <c r="J46" s="19" t="s">
        <v>58</v>
      </c>
      <c r="K46" s="41">
        <v>1550</v>
      </c>
      <c r="L46" s="20">
        <f t="shared" si="24"/>
        <v>2.9807692307692308</v>
      </c>
      <c r="M46" s="19" t="s">
        <v>4</v>
      </c>
      <c r="N46" s="19">
        <v>6</v>
      </c>
      <c r="O46" s="19">
        <f t="shared" si="4"/>
        <v>234</v>
      </c>
      <c r="P46" s="19">
        <v>200000</v>
      </c>
      <c r="Q46" s="19">
        <v>520</v>
      </c>
      <c r="R46" s="19">
        <f>100*2*3.1416*N46^2/4/O46/E46</f>
        <v>0.17261538461538459</v>
      </c>
      <c r="S46" s="19" t="s">
        <v>38</v>
      </c>
      <c r="T46" s="19" t="s">
        <v>41</v>
      </c>
      <c r="U46" s="19" t="s">
        <v>76</v>
      </c>
      <c r="V46" s="19">
        <v>230000</v>
      </c>
      <c r="W46" s="19">
        <v>0.11</v>
      </c>
      <c r="X46" s="19">
        <v>3400</v>
      </c>
      <c r="Y46" s="19">
        <v>50</v>
      </c>
      <c r="Z46" s="19">
        <v>100</v>
      </c>
      <c r="AA46" s="9">
        <f t="shared" si="19"/>
        <v>318</v>
      </c>
      <c r="AB46" s="19">
        <v>90</v>
      </c>
      <c r="AC46" s="19">
        <v>45</v>
      </c>
      <c r="AD46" s="19">
        <v>272.8</v>
      </c>
      <c r="AE46" s="19">
        <v>85.25</v>
      </c>
      <c r="AO46" s="2">
        <f t="shared" si="20"/>
        <v>56.548667764616276</v>
      </c>
      <c r="AP46" s="2">
        <f t="shared" si="21"/>
        <v>25.938898735297148</v>
      </c>
      <c r="AQ46" s="2" t="str">
        <f t="shared" si="22"/>
        <v>OK</v>
      </c>
    </row>
    <row r="47" spans="1:43" x14ac:dyDescent="0.25">
      <c r="A47" s="19">
        <v>45</v>
      </c>
      <c r="B47" s="29"/>
      <c r="C47" s="19" t="s">
        <v>111</v>
      </c>
      <c r="D47" s="19">
        <v>44.1</v>
      </c>
      <c r="E47" s="19">
        <v>140</v>
      </c>
      <c r="F47" s="19">
        <v>600</v>
      </c>
      <c r="G47" s="18">
        <v>520</v>
      </c>
      <c r="H47" s="19">
        <v>600</v>
      </c>
      <c r="I47" s="19">
        <v>150</v>
      </c>
      <c r="J47" s="19" t="s">
        <v>58</v>
      </c>
      <c r="K47" s="41">
        <v>1550</v>
      </c>
      <c r="L47" s="20">
        <f t="shared" si="24"/>
        <v>2.9807692307692308</v>
      </c>
      <c r="M47" s="19" t="s">
        <v>4</v>
      </c>
      <c r="N47" s="19">
        <v>6</v>
      </c>
      <c r="O47" s="19">
        <f t="shared" si="4"/>
        <v>234</v>
      </c>
      <c r="P47" s="19">
        <v>200000</v>
      </c>
      <c r="Q47" s="19">
        <v>520</v>
      </c>
      <c r="R47" s="19">
        <f>100*2*3.1416*N47^2/4/O47/E47</f>
        <v>0.17261538461538459</v>
      </c>
      <c r="S47" s="19" t="s">
        <v>63</v>
      </c>
      <c r="T47" s="19" t="s">
        <v>39</v>
      </c>
      <c r="U47" s="19" t="s">
        <v>76</v>
      </c>
      <c r="V47" s="19">
        <v>17700</v>
      </c>
      <c r="W47" s="19">
        <v>1.8</v>
      </c>
      <c r="X47" s="19">
        <v>106</v>
      </c>
      <c r="Y47" s="19">
        <v>1</v>
      </c>
      <c r="Z47" s="19">
        <v>1</v>
      </c>
      <c r="AA47" s="9">
        <f t="shared" si="19"/>
        <v>318</v>
      </c>
      <c r="AB47" s="19">
        <v>90</v>
      </c>
      <c r="AC47" s="19">
        <v>45</v>
      </c>
      <c r="AD47" s="19">
        <v>297.45</v>
      </c>
      <c r="AE47" s="19">
        <v>109.9</v>
      </c>
      <c r="AO47" s="2">
        <f t="shared" si="20"/>
        <v>56.548667764616276</v>
      </c>
      <c r="AP47" s="2">
        <f t="shared" si="21"/>
        <v>25.938898735297148</v>
      </c>
      <c r="AQ47" s="2" t="str">
        <f t="shared" si="22"/>
        <v>OK</v>
      </c>
    </row>
    <row r="48" spans="1:43" x14ac:dyDescent="0.25">
      <c r="A48" s="19">
        <v>46</v>
      </c>
      <c r="B48" s="31"/>
      <c r="C48" s="31" t="s">
        <v>112</v>
      </c>
      <c r="D48" s="2">
        <v>40</v>
      </c>
      <c r="E48" s="2">
        <v>130</v>
      </c>
      <c r="F48" s="2">
        <v>450</v>
      </c>
      <c r="G48" s="2">
        <v>425</v>
      </c>
      <c r="H48" s="2">
        <v>450</v>
      </c>
      <c r="I48" s="2">
        <v>0</v>
      </c>
      <c r="J48" s="2" t="s">
        <v>36</v>
      </c>
      <c r="K48" s="2">
        <v>900</v>
      </c>
      <c r="L48" s="35">
        <f>K48/G48</f>
        <v>2.1176470588235294</v>
      </c>
      <c r="M48" s="2" t="s">
        <v>4</v>
      </c>
      <c r="N48" s="2">
        <v>6</v>
      </c>
      <c r="O48" s="19">
        <f t="shared" si="4"/>
        <v>191.25</v>
      </c>
      <c r="P48" s="2">
        <v>210000</v>
      </c>
      <c r="Q48" s="2">
        <v>240</v>
      </c>
      <c r="R48" s="2">
        <f>100*2*3.1416*N48^2/4/O48/E48</f>
        <v>0.2274461538461538</v>
      </c>
      <c r="S48" s="2" t="s">
        <v>38</v>
      </c>
      <c r="T48" s="2" t="s">
        <v>41</v>
      </c>
      <c r="U48" s="2" t="s">
        <v>113</v>
      </c>
      <c r="V48" s="2">
        <v>105000</v>
      </c>
      <c r="W48" s="2">
        <v>0.43</v>
      </c>
      <c r="X48" s="2">
        <v>1400</v>
      </c>
      <c r="Y48" s="2">
        <v>40</v>
      </c>
      <c r="Z48" s="2">
        <v>200</v>
      </c>
      <c r="AA48" s="2">
        <f>0.9*G48-(F48-H48)-I48</f>
        <v>382.5</v>
      </c>
      <c r="AB48" s="2">
        <v>90</v>
      </c>
      <c r="AC48" s="2">
        <v>45</v>
      </c>
      <c r="AD48" s="2">
        <v>177.5</v>
      </c>
      <c r="AE48" s="2">
        <v>67.5</v>
      </c>
      <c r="AO48" s="2">
        <f t="shared" si="20"/>
        <v>56.548667764616276</v>
      </c>
      <c r="AP48" s="2">
        <f t="shared" si="21"/>
        <v>40.621432968400441</v>
      </c>
      <c r="AQ48" s="2" t="str">
        <f t="shared" si="22"/>
        <v>OK</v>
      </c>
    </row>
    <row r="49" spans="1:43" x14ac:dyDescent="0.25">
      <c r="A49" s="19">
        <v>47</v>
      </c>
      <c r="B49" s="31" t="s">
        <v>79</v>
      </c>
      <c r="C49" s="31" t="s">
        <v>114</v>
      </c>
      <c r="D49" s="2">
        <v>40</v>
      </c>
      <c r="E49" s="2">
        <v>130</v>
      </c>
      <c r="F49" s="2">
        <v>450</v>
      </c>
      <c r="G49" s="2">
        <v>425</v>
      </c>
      <c r="H49" s="2">
        <v>450</v>
      </c>
      <c r="I49" s="2">
        <v>0</v>
      </c>
      <c r="J49" s="2" t="s">
        <v>36</v>
      </c>
      <c r="K49" s="2">
        <v>900</v>
      </c>
      <c r="L49" s="35">
        <f t="shared" ref="L49:L51" si="27">K49/G49</f>
        <v>2.1176470588235294</v>
      </c>
      <c r="M49" s="2" t="s">
        <v>4</v>
      </c>
      <c r="N49" s="2">
        <v>6</v>
      </c>
      <c r="O49" s="19">
        <f t="shared" si="4"/>
        <v>191.25</v>
      </c>
      <c r="P49" s="2">
        <v>210000</v>
      </c>
      <c r="Q49" s="2">
        <v>240</v>
      </c>
      <c r="R49" s="2">
        <f t="shared" ref="R49:R51" si="28">100*2*3.1416*N49^2/4/O49/E49</f>
        <v>0.2274461538461538</v>
      </c>
      <c r="S49" s="2" t="s">
        <v>38</v>
      </c>
      <c r="T49" s="2" t="s">
        <v>41</v>
      </c>
      <c r="U49" s="2" t="s">
        <v>113</v>
      </c>
      <c r="V49" s="2">
        <v>105000</v>
      </c>
      <c r="W49" s="2">
        <v>0.43</v>
      </c>
      <c r="X49" s="2">
        <v>1400</v>
      </c>
      <c r="Y49" s="2">
        <v>40</v>
      </c>
      <c r="Z49" s="2">
        <v>250</v>
      </c>
      <c r="AA49" s="2">
        <f t="shared" ref="AA49:AA51" si="29">0.9*G49-(F49-H49)-I49</f>
        <v>382.5</v>
      </c>
      <c r="AB49" s="2">
        <v>90</v>
      </c>
      <c r="AC49" s="2">
        <v>45</v>
      </c>
      <c r="AD49" s="2">
        <v>155</v>
      </c>
      <c r="AE49" s="2">
        <v>45</v>
      </c>
      <c r="AO49" s="2">
        <f t="shared" si="20"/>
        <v>56.548667764616276</v>
      </c>
      <c r="AP49" s="2">
        <f t="shared" si="21"/>
        <v>40.621432968400441</v>
      </c>
      <c r="AQ49" s="2" t="str">
        <f t="shared" si="22"/>
        <v>OK</v>
      </c>
    </row>
    <row r="50" spans="1:43" x14ac:dyDescent="0.25">
      <c r="A50" s="19">
        <v>48</v>
      </c>
      <c r="B50" s="31"/>
      <c r="C50" s="31" t="s">
        <v>115</v>
      </c>
      <c r="D50" s="2">
        <v>40</v>
      </c>
      <c r="E50" s="2">
        <v>130</v>
      </c>
      <c r="F50" s="2">
        <v>450</v>
      </c>
      <c r="G50" s="2">
        <v>425</v>
      </c>
      <c r="H50" s="2">
        <v>450</v>
      </c>
      <c r="I50" s="2">
        <v>0</v>
      </c>
      <c r="J50" s="2" t="s">
        <v>36</v>
      </c>
      <c r="K50" s="2">
        <v>900</v>
      </c>
      <c r="L50" s="35">
        <f t="shared" si="27"/>
        <v>2.1176470588235294</v>
      </c>
      <c r="M50" s="2" t="s">
        <v>4</v>
      </c>
      <c r="N50" s="2">
        <v>6</v>
      </c>
      <c r="O50" s="19">
        <f t="shared" si="4"/>
        <v>191.25</v>
      </c>
      <c r="P50" s="2">
        <v>210000</v>
      </c>
      <c r="Q50" s="2">
        <v>240</v>
      </c>
      <c r="R50" s="2">
        <f t="shared" si="28"/>
        <v>0.2274461538461538</v>
      </c>
      <c r="S50" s="2" t="s">
        <v>38</v>
      </c>
      <c r="T50" s="2" t="s">
        <v>41</v>
      </c>
      <c r="U50" s="2" t="s">
        <v>113</v>
      </c>
      <c r="V50" s="2">
        <v>105000</v>
      </c>
      <c r="W50" s="2">
        <v>0.43</v>
      </c>
      <c r="X50" s="2">
        <v>1400</v>
      </c>
      <c r="Y50" s="2">
        <v>40</v>
      </c>
      <c r="Z50" s="2">
        <v>300</v>
      </c>
      <c r="AA50" s="2">
        <f t="shared" si="29"/>
        <v>382.5</v>
      </c>
      <c r="AB50" s="2">
        <v>45</v>
      </c>
      <c r="AC50" s="2">
        <v>45</v>
      </c>
      <c r="AD50" s="2">
        <v>145.5</v>
      </c>
      <c r="AE50" s="2">
        <v>35.5</v>
      </c>
      <c r="AO50" s="2">
        <f t="shared" si="20"/>
        <v>56.548667764616276</v>
      </c>
      <c r="AP50" s="2">
        <f t="shared" si="21"/>
        <v>40.621432968400441</v>
      </c>
      <c r="AQ50" s="2" t="str">
        <f t="shared" si="22"/>
        <v>OK</v>
      </c>
    </row>
    <row r="51" spans="1:43" x14ac:dyDescent="0.25">
      <c r="A51" s="19">
        <v>49</v>
      </c>
      <c r="B51" s="31"/>
      <c r="C51" s="31" t="s">
        <v>116</v>
      </c>
      <c r="D51" s="2">
        <v>40</v>
      </c>
      <c r="E51" s="2">
        <v>130</v>
      </c>
      <c r="F51" s="2">
        <v>450</v>
      </c>
      <c r="G51" s="2">
        <v>425</v>
      </c>
      <c r="H51" s="2">
        <v>450</v>
      </c>
      <c r="I51" s="2">
        <v>0</v>
      </c>
      <c r="J51" s="2" t="s">
        <v>36</v>
      </c>
      <c r="K51" s="2">
        <v>900</v>
      </c>
      <c r="L51" s="35">
        <f t="shared" si="27"/>
        <v>2.1176470588235294</v>
      </c>
      <c r="M51" s="2" t="s">
        <v>4</v>
      </c>
      <c r="N51" s="2">
        <v>6</v>
      </c>
      <c r="O51" s="19">
        <f t="shared" si="4"/>
        <v>191.25</v>
      </c>
      <c r="P51" s="2">
        <v>210000</v>
      </c>
      <c r="Q51" s="2">
        <v>240</v>
      </c>
      <c r="R51" s="2">
        <f t="shared" si="28"/>
        <v>0.2274461538461538</v>
      </c>
      <c r="S51" s="2" t="s">
        <v>38</v>
      </c>
      <c r="T51" s="2" t="s">
        <v>41</v>
      </c>
      <c r="U51" s="2" t="s">
        <v>113</v>
      </c>
      <c r="V51" s="2">
        <v>105000</v>
      </c>
      <c r="W51" s="2">
        <v>0.43</v>
      </c>
      <c r="X51" s="2">
        <v>1400</v>
      </c>
      <c r="Y51" s="2">
        <v>40</v>
      </c>
      <c r="Z51" s="2">
        <v>350</v>
      </c>
      <c r="AA51" s="2">
        <f t="shared" si="29"/>
        <v>382.5</v>
      </c>
      <c r="AB51" s="2">
        <v>45</v>
      </c>
      <c r="AC51" s="2">
        <v>45</v>
      </c>
      <c r="AD51" s="2">
        <v>132</v>
      </c>
      <c r="AE51" s="2">
        <v>22</v>
      </c>
      <c r="AO51" s="2">
        <f t="shared" si="20"/>
        <v>56.548667764616276</v>
      </c>
      <c r="AP51" s="2">
        <f t="shared" si="21"/>
        <v>40.621432968400441</v>
      </c>
      <c r="AQ51" s="2" t="str">
        <f t="shared" si="22"/>
        <v>OK</v>
      </c>
    </row>
    <row r="52" spans="1:43" x14ac:dyDescent="0.25">
      <c r="A52" s="19">
        <v>50</v>
      </c>
      <c r="B52" s="31" t="s">
        <v>83</v>
      </c>
      <c r="C52" s="31" t="s">
        <v>118</v>
      </c>
      <c r="D52" s="2">
        <v>13.3</v>
      </c>
      <c r="E52" s="2">
        <v>250</v>
      </c>
      <c r="F52" s="2">
        <v>450</v>
      </c>
      <c r="G52" s="32">
        <v>400</v>
      </c>
      <c r="H52" s="2">
        <v>450</v>
      </c>
      <c r="I52" s="2">
        <v>0</v>
      </c>
      <c r="J52" s="2" t="s">
        <v>36</v>
      </c>
      <c r="K52" s="2">
        <v>1400</v>
      </c>
      <c r="L52" s="35">
        <f t="shared" ref="L52:L63" si="30">K52/G52</f>
        <v>3.5</v>
      </c>
      <c r="M52" s="2" t="s">
        <v>20</v>
      </c>
      <c r="N52" s="2">
        <v>8</v>
      </c>
      <c r="O52" s="19">
        <f t="shared" si="4"/>
        <v>180</v>
      </c>
      <c r="P52" s="32">
        <v>200000</v>
      </c>
      <c r="Q52" s="2">
        <v>500</v>
      </c>
      <c r="R52" s="2">
        <f t="shared" ref="R52:R64" si="31">100*2*3.1416*N52^2/4/O52/E52</f>
        <v>0.22340266666666664</v>
      </c>
      <c r="S52" s="2" t="s">
        <v>38</v>
      </c>
      <c r="T52" s="2" t="s">
        <v>41</v>
      </c>
      <c r="U52" s="2" t="s">
        <v>113</v>
      </c>
      <c r="V52" s="2">
        <v>390000</v>
      </c>
      <c r="W52" s="2">
        <v>0.22</v>
      </c>
      <c r="X52" s="2">
        <v>3000</v>
      </c>
      <c r="Y52" s="2">
        <v>50</v>
      </c>
      <c r="Z52" s="2">
        <v>100</v>
      </c>
      <c r="AA52" s="2">
        <f t="shared" ref="AA52:AA65" si="32">0.9*G52-(F52-H52)-I52</f>
        <v>360</v>
      </c>
      <c r="AB52" s="2">
        <v>90</v>
      </c>
      <c r="AC52" s="2">
        <v>45</v>
      </c>
      <c r="AD52" s="2">
        <v>158.5</v>
      </c>
      <c r="AE52" s="2" t="s">
        <v>37</v>
      </c>
      <c r="AO52" s="2">
        <f t="shared" si="20"/>
        <v>100.53096491487338</v>
      </c>
      <c r="AP52" s="2">
        <f t="shared" si="21"/>
        <v>20.349794102152487</v>
      </c>
      <c r="AQ52" s="2" t="str">
        <f t="shared" si="22"/>
        <v>OK</v>
      </c>
    </row>
    <row r="53" spans="1:43" x14ac:dyDescent="0.25">
      <c r="A53" s="19">
        <v>51</v>
      </c>
      <c r="C53" s="2" t="s">
        <v>119</v>
      </c>
      <c r="D53" s="2">
        <v>30.9</v>
      </c>
      <c r="E53" s="2">
        <v>76</v>
      </c>
      <c r="F53" s="2">
        <v>180</v>
      </c>
      <c r="G53" s="2">
        <v>155</v>
      </c>
      <c r="H53" s="2">
        <v>180</v>
      </c>
      <c r="I53" s="2">
        <v>0</v>
      </c>
      <c r="J53" s="2" t="s">
        <v>36</v>
      </c>
      <c r="K53" s="2">
        <v>450</v>
      </c>
      <c r="L53" s="35">
        <f t="shared" si="30"/>
        <v>2.903225806451613</v>
      </c>
      <c r="M53" s="2" t="s">
        <v>4</v>
      </c>
      <c r="N53" s="2">
        <v>4</v>
      </c>
      <c r="O53" s="19">
        <f t="shared" si="4"/>
        <v>69.75</v>
      </c>
      <c r="P53" s="32">
        <v>200000</v>
      </c>
      <c r="Q53" s="32">
        <v>500</v>
      </c>
      <c r="R53" s="2">
        <f t="shared" si="31"/>
        <v>0.47411431805319748</v>
      </c>
      <c r="S53" s="2" t="s">
        <v>38</v>
      </c>
      <c r="T53" s="2" t="s">
        <v>41</v>
      </c>
      <c r="U53" s="2" t="s">
        <v>113</v>
      </c>
      <c r="V53" s="2">
        <v>235000</v>
      </c>
      <c r="W53" s="2">
        <v>0.11</v>
      </c>
      <c r="X53" s="2">
        <v>4200</v>
      </c>
      <c r="Y53" s="2">
        <v>20</v>
      </c>
      <c r="Z53" s="2">
        <v>60</v>
      </c>
      <c r="AA53" s="2">
        <f t="shared" si="32"/>
        <v>139.5</v>
      </c>
      <c r="AB53" s="2">
        <v>90</v>
      </c>
      <c r="AC53" s="2">
        <v>45</v>
      </c>
      <c r="AD53" s="2">
        <f>132.2/2</f>
        <v>66.099999999999994</v>
      </c>
      <c r="AE53" s="2">
        <f>50.7/2</f>
        <v>25.35</v>
      </c>
      <c r="AO53" s="2">
        <f t="shared" si="20"/>
        <v>25.132741228718345</v>
      </c>
      <c r="AP53" s="2">
        <f t="shared" si="21"/>
        <v>3.6539174301232364</v>
      </c>
      <c r="AQ53" s="2" t="str">
        <f t="shared" si="22"/>
        <v>OK</v>
      </c>
    </row>
    <row r="54" spans="1:43" x14ac:dyDescent="0.25">
      <c r="A54" s="19">
        <v>52</v>
      </c>
      <c r="B54" s="2" t="s">
        <v>120</v>
      </c>
      <c r="C54" s="2" t="s">
        <v>121</v>
      </c>
      <c r="D54" s="2">
        <v>30.9</v>
      </c>
      <c r="E54" s="2">
        <v>150</v>
      </c>
      <c r="F54" s="2">
        <v>360</v>
      </c>
      <c r="G54" s="2">
        <v>305</v>
      </c>
      <c r="H54" s="2">
        <v>360</v>
      </c>
      <c r="I54" s="2">
        <v>0</v>
      </c>
      <c r="J54" s="2" t="s">
        <v>36</v>
      </c>
      <c r="K54" s="2">
        <v>900</v>
      </c>
      <c r="L54" s="35">
        <f t="shared" si="30"/>
        <v>2.9508196721311477</v>
      </c>
      <c r="M54" s="2" t="s">
        <v>4</v>
      </c>
      <c r="N54" s="2">
        <v>6</v>
      </c>
      <c r="O54" s="19">
        <f t="shared" si="4"/>
        <v>137.25</v>
      </c>
      <c r="P54" s="32">
        <v>200000</v>
      </c>
      <c r="Q54" s="32">
        <v>500</v>
      </c>
      <c r="R54" s="2">
        <f t="shared" si="31"/>
        <v>0.27467540983606553</v>
      </c>
      <c r="S54" s="2" t="s">
        <v>38</v>
      </c>
      <c r="T54" s="2" t="s">
        <v>41</v>
      </c>
      <c r="U54" s="2" t="s">
        <v>113</v>
      </c>
      <c r="V54" s="2">
        <v>235000</v>
      </c>
      <c r="W54" s="2">
        <v>0.22</v>
      </c>
      <c r="X54" s="2">
        <v>4200</v>
      </c>
      <c r="Y54" s="2">
        <v>40</v>
      </c>
      <c r="Z54" s="2">
        <v>120</v>
      </c>
      <c r="AA54" s="2">
        <f t="shared" si="32"/>
        <v>274.5</v>
      </c>
      <c r="AB54" s="2">
        <v>90</v>
      </c>
      <c r="AC54" s="2">
        <v>45</v>
      </c>
      <c r="AD54" s="2">
        <f>472.7/2</f>
        <v>236.35</v>
      </c>
      <c r="AE54" s="2">
        <f>173/2</f>
        <v>86.5</v>
      </c>
      <c r="AO54" s="2">
        <f t="shared" si="20"/>
        <v>56.548667764616276</v>
      </c>
      <c r="AP54" s="2">
        <f t="shared" si="21"/>
        <v>14.190723465886085</v>
      </c>
      <c r="AQ54" s="2" t="str">
        <f t="shared" si="22"/>
        <v>OK</v>
      </c>
    </row>
    <row r="55" spans="1:43" x14ac:dyDescent="0.25">
      <c r="A55" s="19">
        <v>53</v>
      </c>
      <c r="C55" s="2" t="s">
        <v>122</v>
      </c>
      <c r="D55" s="2">
        <v>30.9</v>
      </c>
      <c r="E55" s="2">
        <v>300</v>
      </c>
      <c r="F55" s="2">
        <v>720</v>
      </c>
      <c r="G55" s="2">
        <v>660</v>
      </c>
      <c r="H55" s="2">
        <v>720</v>
      </c>
      <c r="I55" s="2">
        <v>0</v>
      </c>
      <c r="J55" s="2" t="s">
        <v>36</v>
      </c>
      <c r="K55" s="2">
        <v>1800</v>
      </c>
      <c r="L55" s="35">
        <f t="shared" si="30"/>
        <v>2.7272727272727271</v>
      </c>
      <c r="M55" s="2" t="s">
        <v>4</v>
      </c>
      <c r="N55" s="2">
        <v>8</v>
      </c>
      <c r="O55" s="19">
        <f t="shared" si="4"/>
        <v>297</v>
      </c>
      <c r="P55" s="32">
        <v>200000</v>
      </c>
      <c r="Q55" s="32">
        <v>500</v>
      </c>
      <c r="R55" s="2">
        <f t="shared" si="31"/>
        <v>0.11282962962962963</v>
      </c>
      <c r="S55" s="2" t="s">
        <v>38</v>
      </c>
      <c r="T55" s="2" t="s">
        <v>41</v>
      </c>
      <c r="U55" s="2" t="s">
        <v>113</v>
      </c>
      <c r="V55" s="2">
        <v>235000</v>
      </c>
      <c r="W55" s="2">
        <v>0.44</v>
      </c>
      <c r="X55" s="2">
        <v>4200</v>
      </c>
      <c r="Y55" s="2">
        <v>80</v>
      </c>
      <c r="Z55" s="2">
        <v>240</v>
      </c>
      <c r="AA55" s="2">
        <f t="shared" si="32"/>
        <v>594</v>
      </c>
      <c r="AB55" s="2">
        <v>90</v>
      </c>
      <c r="AC55" s="2">
        <v>45</v>
      </c>
      <c r="AD55" s="2">
        <f>1743.1/2</f>
        <v>871.55</v>
      </c>
      <c r="AE55" s="2">
        <f>667.1/2</f>
        <v>333.55</v>
      </c>
      <c r="AO55" s="2">
        <f t="shared" si="20"/>
        <v>100.53096491487338</v>
      </c>
      <c r="AP55" s="2">
        <f t="shared" si="21"/>
        <v>61.415590081867649</v>
      </c>
      <c r="AQ55" s="2" t="str">
        <f t="shared" si="22"/>
        <v>OK</v>
      </c>
    </row>
    <row r="56" spans="1:43" x14ac:dyDescent="0.25">
      <c r="A56" s="19">
        <v>54</v>
      </c>
      <c r="B56" s="31"/>
      <c r="C56" s="31" t="s">
        <v>123</v>
      </c>
      <c r="D56" s="2">
        <v>41.03</v>
      </c>
      <c r="E56" s="2">
        <v>150</v>
      </c>
      <c r="F56" s="2">
        <v>350</v>
      </c>
      <c r="G56" s="32">
        <v>300</v>
      </c>
      <c r="H56" s="2">
        <v>350</v>
      </c>
      <c r="I56" s="2">
        <v>0</v>
      </c>
      <c r="J56" s="2" t="s">
        <v>36</v>
      </c>
      <c r="K56" s="2">
        <v>900</v>
      </c>
      <c r="L56" s="35">
        <f t="shared" si="30"/>
        <v>3</v>
      </c>
      <c r="M56" s="2" t="s">
        <v>4</v>
      </c>
      <c r="N56" s="2">
        <v>6</v>
      </c>
      <c r="O56" s="19">
        <f t="shared" si="4"/>
        <v>135</v>
      </c>
      <c r="P56" s="32">
        <v>200000</v>
      </c>
      <c r="Q56" s="2">
        <v>494.5</v>
      </c>
      <c r="R56" s="2">
        <f t="shared" si="31"/>
        <v>0.2792533333333333</v>
      </c>
      <c r="S56" s="2" t="s">
        <v>63</v>
      </c>
      <c r="T56" s="2" t="s">
        <v>117</v>
      </c>
      <c r="U56" s="2" t="s">
        <v>113</v>
      </c>
      <c r="V56" s="2">
        <v>75900</v>
      </c>
      <c r="W56" s="2">
        <v>0.12</v>
      </c>
      <c r="X56" s="2">
        <v>3600</v>
      </c>
      <c r="Y56" s="2">
        <v>1</v>
      </c>
      <c r="Z56" s="2">
        <v>1</v>
      </c>
      <c r="AA56" s="2">
        <f t="shared" si="32"/>
        <v>270</v>
      </c>
      <c r="AB56" s="2">
        <v>90</v>
      </c>
      <c r="AC56" s="2">
        <v>45</v>
      </c>
      <c r="AD56" s="2">
        <v>242</v>
      </c>
      <c r="AE56" s="2" t="s">
        <v>37</v>
      </c>
      <c r="AO56" s="2">
        <f t="shared" si="20"/>
        <v>56.548667764616276</v>
      </c>
      <c r="AP56" s="2">
        <f t="shared" si="21"/>
        <v>16.263019382508805</v>
      </c>
      <c r="AQ56" s="2" t="str">
        <f t="shared" si="22"/>
        <v>OK</v>
      </c>
    </row>
    <row r="57" spans="1:43" x14ac:dyDescent="0.25">
      <c r="A57" s="19">
        <v>55</v>
      </c>
      <c r="B57" s="31" t="s">
        <v>124</v>
      </c>
      <c r="C57" s="31" t="s">
        <v>125</v>
      </c>
      <c r="D57" s="2">
        <v>41.03</v>
      </c>
      <c r="E57" s="2">
        <v>150</v>
      </c>
      <c r="F57" s="2">
        <v>350</v>
      </c>
      <c r="G57" s="32">
        <v>300</v>
      </c>
      <c r="H57" s="2">
        <v>350</v>
      </c>
      <c r="I57" s="2">
        <v>0</v>
      </c>
      <c r="J57" s="2" t="s">
        <v>36</v>
      </c>
      <c r="K57" s="2">
        <v>900</v>
      </c>
      <c r="L57" s="35">
        <f t="shared" si="30"/>
        <v>3</v>
      </c>
      <c r="M57" s="2" t="s">
        <v>4</v>
      </c>
      <c r="N57" s="2">
        <v>6</v>
      </c>
      <c r="O57" s="19">
        <f t="shared" si="4"/>
        <v>135</v>
      </c>
      <c r="P57" s="32">
        <v>200000</v>
      </c>
      <c r="Q57" s="2">
        <v>494.5</v>
      </c>
      <c r="R57" s="2">
        <f t="shared" si="31"/>
        <v>0.2792533333333333</v>
      </c>
      <c r="S57" s="2" t="s">
        <v>63</v>
      </c>
      <c r="T57" s="2" t="s">
        <v>117</v>
      </c>
      <c r="U57" s="2" t="s">
        <v>113</v>
      </c>
      <c r="V57" s="2">
        <v>75900</v>
      </c>
      <c r="W57" s="2">
        <v>0.24</v>
      </c>
      <c r="X57" s="2">
        <v>3600</v>
      </c>
      <c r="Y57" s="2">
        <v>1</v>
      </c>
      <c r="Z57" s="2">
        <v>1</v>
      </c>
      <c r="AA57" s="2">
        <f t="shared" si="32"/>
        <v>270</v>
      </c>
      <c r="AB57" s="2">
        <v>90</v>
      </c>
      <c r="AC57" s="2">
        <v>45</v>
      </c>
      <c r="AD57" s="2">
        <v>270</v>
      </c>
      <c r="AE57" s="2" t="s">
        <v>37</v>
      </c>
      <c r="AO57" s="2">
        <f t="shared" si="20"/>
        <v>56.548667764616276</v>
      </c>
      <c r="AP57" s="2">
        <f t="shared" si="21"/>
        <v>16.263019382508805</v>
      </c>
      <c r="AQ57" s="2" t="str">
        <f t="shared" si="22"/>
        <v>OK</v>
      </c>
    </row>
    <row r="58" spans="1:43" x14ac:dyDescent="0.25">
      <c r="A58" s="19">
        <v>56</v>
      </c>
      <c r="B58" s="31"/>
      <c r="C58" s="31" t="s">
        <v>126</v>
      </c>
      <c r="D58" s="2">
        <v>41.03</v>
      </c>
      <c r="E58" s="2">
        <v>150</v>
      </c>
      <c r="F58" s="2">
        <v>350</v>
      </c>
      <c r="G58" s="32">
        <v>300</v>
      </c>
      <c r="H58" s="2">
        <v>350</v>
      </c>
      <c r="I58" s="2">
        <v>0</v>
      </c>
      <c r="J58" s="2" t="s">
        <v>36</v>
      </c>
      <c r="K58" s="2">
        <v>900</v>
      </c>
      <c r="L58" s="35">
        <f t="shared" si="30"/>
        <v>3</v>
      </c>
      <c r="M58" s="2" t="s">
        <v>4</v>
      </c>
      <c r="N58" s="2">
        <v>6</v>
      </c>
      <c r="O58" s="19">
        <f t="shared" si="4"/>
        <v>135</v>
      </c>
      <c r="P58" s="32">
        <v>200000</v>
      </c>
      <c r="Q58" s="2">
        <v>494.5</v>
      </c>
      <c r="R58" s="2">
        <f t="shared" si="31"/>
        <v>0.2792533333333333</v>
      </c>
      <c r="S58" s="2" t="s">
        <v>63</v>
      </c>
      <c r="T58" s="2" t="s">
        <v>117</v>
      </c>
      <c r="U58" s="2" t="s">
        <v>113</v>
      </c>
      <c r="V58" s="2">
        <v>75900</v>
      </c>
      <c r="W58" s="2">
        <v>0.36</v>
      </c>
      <c r="X58" s="2">
        <v>3600</v>
      </c>
      <c r="Y58" s="2">
        <v>1</v>
      </c>
      <c r="Z58" s="2">
        <v>1</v>
      </c>
      <c r="AA58" s="2">
        <f t="shared" si="32"/>
        <v>270</v>
      </c>
      <c r="AB58" s="2">
        <v>90</v>
      </c>
      <c r="AC58" s="2">
        <v>45</v>
      </c>
      <c r="AD58" s="2">
        <v>279</v>
      </c>
      <c r="AE58" s="2" t="s">
        <v>37</v>
      </c>
      <c r="AO58" s="2">
        <f t="shared" si="20"/>
        <v>56.548667764616276</v>
      </c>
      <c r="AP58" s="2">
        <f t="shared" si="21"/>
        <v>16.263019382508805</v>
      </c>
      <c r="AQ58" s="2" t="str">
        <f t="shared" si="22"/>
        <v>OK</v>
      </c>
    </row>
    <row r="59" spans="1:43" x14ac:dyDescent="0.25">
      <c r="A59" s="19">
        <v>57</v>
      </c>
      <c r="B59" s="2" t="s">
        <v>127</v>
      </c>
      <c r="C59" s="2" t="s">
        <v>128</v>
      </c>
      <c r="D59" s="2">
        <v>24</v>
      </c>
      <c r="E59" s="2">
        <v>250</v>
      </c>
      <c r="F59" s="2">
        <v>420</v>
      </c>
      <c r="G59" s="2">
        <f>F59-58</f>
        <v>362</v>
      </c>
      <c r="H59" s="2">
        <v>420</v>
      </c>
      <c r="I59" s="2">
        <v>0</v>
      </c>
      <c r="J59" s="2" t="s">
        <v>36</v>
      </c>
      <c r="K59" s="2">
        <v>1360</v>
      </c>
      <c r="L59" s="35">
        <f t="shared" si="30"/>
        <v>3.7569060773480665</v>
      </c>
      <c r="M59" s="2" t="s">
        <v>4</v>
      </c>
      <c r="N59" s="2">
        <v>8</v>
      </c>
      <c r="O59" s="19">
        <f t="shared" si="4"/>
        <v>162.9</v>
      </c>
      <c r="P59" s="32">
        <v>200000</v>
      </c>
      <c r="Q59" s="32">
        <v>430</v>
      </c>
      <c r="R59" s="2">
        <f t="shared" si="31"/>
        <v>0.24685377532228359</v>
      </c>
      <c r="S59" s="2" t="s">
        <v>38</v>
      </c>
      <c r="T59" s="2" t="s">
        <v>41</v>
      </c>
      <c r="U59" s="2" t="s">
        <v>113</v>
      </c>
      <c r="V59" s="2">
        <v>240000</v>
      </c>
      <c r="W59" s="2">
        <v>0.29299999999999998</v>
      </c>
      <c r="X59" s="2">
        <v>4000</v>
      </c>
      <c r="Y59" s="2">
        <v>300</v>
      </c>
      <c r="Z59" s="2">
        <v>500</v>
      </c>
      <c r="AA59" s="2">
        <f t="shared" si="32"/>
        <v>325.8</v>
      </c>
      <c r="AB59" s="2">
        <v>90</v>
      </c>
      <c r="AC59" s="2">
        <v>45</v>
      </c>
      <c r="AD59" s="2">
        <v>271</v>
      </c>
      <c r="AE59" s="2" t="s">
        <v>37</v>
      </c>
      <c r="AO59" s="2">
        <f t="shared" si="20"/>
        <v>100.53096491487338</v>
      </c>
      <c r="AP59" s="2">
        <f t="shared" si="21"/>
        <v>28.766693609490158</v>
      </c>
      <c r="AQ59" s="2" t="str">
        <f t="shared" si="22"/>
        <v>OK</v>
      </c>
    </row>
    <row r="60" spans="1:43" x14ac:dyDescent="0.25">
      <c r="A60" s="19">
        <v>58</v>
      </c>
      <c r="C60" s="2" t="s">
        <v>129</v>
      </c>
      <c r="D60" s="2">
        <v>22.6</v>
      </c>
      <c r="E60" s="2">
        <v>250</v>
      </c>
      <c r="F60" s="2">
        <v>420</v>
      </c>
      <c r="G60" s="2">
        <f>F60-58</f>
        <v>362</v>
      </c>
      <c r="H60" s="2">
        <v>420</v>
      </c>
      <c r="I60" s="2">
        <v>0</v>
      </c>
      <c r="J60" s="2" t="s">
        <v>36</v>
      </c>
      <c r="K60" s="2">
        <v>1360</v>
      </c>
      <c r="L60" s="35">
        <f t="shared" si="30"/>
        <v>3.7569060773480665</v>
      </c>
      <c r="M60" s="2" t="s">
        <v>4</v>
      </c>
      <c r="N60" s="2">
        <v>8</v>
      </c>
      <c r="O60" s="19">
        <f t="shared" si="4"/>
        <v>162.9</v>
      </c>
      <c r="P60" s="32">
        <v>200000</v>
      </c>
      <c r="Q60" s="32">
        <v>430</v>
      </c>
      <c r="R60" s="2">
        <f t="shared" si="31"/>
        <v>0.24685377532228359</v>
      </c>
      <c r="S60" s="2" t="s">
        <v>38</v>
      </c>
      <c r="T60" s="2" t="s">
        <v>41</v>
      </c>
      <c r="U60" s="2" t="s">
        <v>113</v>
      </c>
      <c r="V60" s="2">
        <v>227000</v>
      </c>
      <c r="W60" s="2">
        <v>0.16500000000000001</v>
      </c>
      <c r="X60" s="2">
        <v>3800</v>
      </c>
      <c r="Y60" s="2">
        <v>300</v>
      </c>
      <c r="Z60" s="2">
        <v>500</v>
      </c>
      <c r="AA60" s="2">
        <f t="shared" si="32"/>
        <v>325.8</v>
      </c>
      <c r="AB60" s="2">
        <v>90</v>
      </c>
      <c r="AC60" s="2">
        <v>45</v>
      </c>
      <c r="AD60" s="2">
        <v>279</v>
      </c>
      <c r="AE60" s="2" t="s">
        <v>37</v>
      </c>
      <c r="AO60" s="2">
        <f t="shared" si="20"/>
        <v>100.53096491487338</v>
      </c>
      <c r="AP60" s="2">
        <f t="shared" si="21"/>
        <v>27.915058767344842</v>
      </c>
      <c r="AQ60" s="2" t="str">
        <f t="shared" si="22"/>
        <v>OK</v>
      </c>
    </row>
    <row r="61" spans="1:43" x14ac:dyDescent="0.25">
      <c r="A61" s="19">
        <v>59</v>
      </c>
      <c r="B61" s="31"/>
      <c r="C61" s="31">
        <v>6</v>
      </c>
      <c r="D61" s="2">
        <v>45.7</v>
      </c>
      <c r="E61" s="2">
        <v>150</v>
      </c>
      <c r="F61" s="2">
        <v>400</v>
      </c>
      <c r="G61" s="2">
        <v>355</v>
      </c>
      <c r="H61" s="2">
        <v>400</v>
      </c>
      <c r="I61" s="2">
        <v>0</v>
      </c>
      <c r="J61" s="2" t="s">
        <v>58</v>
      </c>
      <c r="K61" s="2">
        <v>1070</v>
      </c>
      <c r="L61" s="35">
        <f t="shared" si="30"/>
        <v>3.0140845070422535</v>
      </c>
      <c r="M61" s="2" t="s">
        <v>4</v>
      </c>
      <c r="N61" s="2">
        <v>4.2</v>
      </c>
      <c r="O61" s="19">
        <f t="shared" si="4"/>
        <v>159.75</v>
      </c>
      <c r="P61" s="2">
        <f>771/4.34*1000</f>
        <v>177649.76958525347</v>
      </c>
      <c r="Q61" s="2">
        <v>771</v>
      </c>
      <c r="R61" s="2">
        <f t="shared" si="31"/>
        <v>0.11563447887323944</v>
      </c>
      <c r="S61" s="2" t="s">
        <v>38</v>
      </c>
      <c r="T61" s="2" t="s">
        <v>41</v>
      </c>
      <c r="U61" s="2" t="s">
        <v>113</v>
      </c>
      <c r="V61" s="32">
        <v>228000</v>
      </c>
      <c r="W61" s="32">
        <v>0.16500000000000001</v>
      </c>
      <c r="X61" s="32">
        <v>3790</v>
      </c>
      <c r="Y61" s="2">
        <v>150</v>
      </c>
      <c r="Z61" s="2">
        <v>230</v>
      </c>
      <c r="AA61" s="2">
        <f t="shared" si="32"/>
        <v>319.5</v>
      </c>
      <c r="AB61" s="2">
        <v>90</v>
      </c>
      <c r="AC61" s="2">
        <v>45</v>
      </c>
      <c r="AD61" s="2">
        <f>650/2</f>
        <v>325</v>
      </c>
      <c r="AE61" s="2">
        <f>AD61-372/2</f>
        <v>139</v>
      </c>
      <c r="AO61" s="2">
        <f t="shared" si="20"/>
        <v>27.708847204661975</v>
      </c>
      <c r="AP61" s="2">
        <f t="shared" si="21"/>
        <v>13.026493807817538</v>
      </c>
      <c r="AQ61" s="2" t="str">
        <f t="shared" si="22"/>
        <v>OK</v>
      </c>
    </row>
    <row r="62" spans="1:43" x14ac:dyDescent="0.25">
      <c r="A62" s="19">
        <v>60</v>
      </c>
      <c r="B62" s="31" t="s">
        <v>130</v>
      </c>
      <c r="C62" s="31">
        <v>7</v>
      </c>
      <c r="D62" s="2">
        <v>45.8</v>
      </c>
      <c r="E62" s="2">
        <v>150</v>
      </c>
      <c r="F62" s="2">
        <v>400</v>
      </c>
      <c r="G62" s="2">
        <v>355</v>
      </c>
      <c r="H62" s="2">
        <v>400</v>
      </c>
      <c r="I62" s="2">
        <v>0</v>
      </c>
      <c r="J62" s="2" t="s">
        <v>58</v>
      </c>
      <c r="K62" s="2">
        <v>1070</v>
      </c>
      <c r="L62" s="35">
        <f t="shared" si="30"/>
        <v>3.0140845070422535</v>
      </c>
      <c r="M62" s="2" t="s">
        <v>4</v>
      </c>
      <c r="N62" s="2">
        <v>4.2</v>
      </c>
      <c r="O62" s="19">
        <f t="shared" si="4"/>
        <v>159.75</v>
      </c>
      <c r="P62" s="2">
        <f t="shared" ref="P62:P63" si="33">771/4.34*1000</f>
        <v>177649.76958525347</v>
      </c>
      <c r="Q62" s="2">
        <v>772</v>
      </c>
      <c r="R62" s="2">
        <f t="shared" si="31"/>
        <v>0.11563447887323944</v>
      </c>
      <c r="S62" s="2" t="s">
        <v>38</v>
      </c>
      <c r="T62" s="2" t="s">
        <v>41</v>
      </c>
      <c r="U62" s="2" t="s">
        <v>113</v>
      </c>
      <c r="V62" s="32">
        <v>228000</v>
      </c>
      <c r="W62" s="32">
        <f>0.165*2</f>
        <v>0.33</v>
      </c>
      <c r="X62" s="32">
        <v>3790</v>
      </c>
      <c r="Y62" s="2">
        <v>150</v>
      </c>
      <c r="Z62" s="2">
        <v>230</v>
      </c>
      <c r="AA62" s="2">
        <f t="shared" si="32"/>
        <v>319.5</v>
      </c>
      <c r="AB62" s="2">
        <v>90</v>
      </c>
      <c r="AC62" s="2">
        <v>45</v>
      </c>
      <c r="AD62" s="2">
        <f>778/2</f>
        <v>389</v>
      </c>
      <c r="AE62" s="2">
        <f>AD62-372/2</f>
        <v>203</v>
      </c>
      <c r="AO62" s="2">
        <f t="shared" si="20"/>
        <v>27.708847204661975</v>
      </c>
      <c r="AP62" s="2">
        <f t="shared" si="21"/>
        <v>13.023846053217982</v>
      </c>
      <c r="AQ62" s="2" t="str">
        <f t="shared" si="22"/>
        <v>OK</v>
      </c>
    </row>
    <row r="63" spans="1:43" x14ac:dyDescent="0.25">
      <c r="A63" s="19">
        <v>61</v>
      </c>
      <c r="B63" s="31" t="s">
        <v>131</v>
      </c>
      <c r="C63" s="31">
        <v>8</v>
      </c>
      <c r="D63" s="2">
        <v>46.6</v>
      </c>
      <c r="E63" s="2">
        <v>150</v>
      </c>
      <c r="F63" s="2">
        <v>400</v>
      </c>
      <c r="G63" s="2">
        <v>355</v>
      </c>
      <c r="H63" s="2">
        <v>400</v>
      </c>
      <c r="I63" s="2">
        <v>0</v>
      </c>
      <c r="J63" s="2" t="s">
        <v>58</v>
      </c>
      <c r="K63" s="2">
        <v>1070</v>
      </c>
      <c r="L63" s="35">
        <f t="shared" si="30"/>
        <v>3.0140845070422535</v>
      </c>
      <c r="M63" s="2" t="s">
        <v>4</v>
      </c>
      <c r="N63" s="2">
        <v>4.2</v>
      </c>
      <c r="O63" s="19">
        <f t="shared" si="4"/>
        <v>159.75</v>
      </c>
      <c r="P63" s="2">
        <f t="shared" si="33"/>
        <v>177649.76958525347</v>
      </c>
      <c r="Q63" s="2">
        <v>773</v>
      </c>
      <c r="R63" s="2">
        <f t="shared" si="31"/>
        <v>0.11563447887323944</v>
      </c>
      <c r="S63" s="2" t="s">
        <v>38</v>
      </c>
      <c r="T63" s="2" t="s">
        <v>41</v>
      </c>
      <c r="U63" s="2" t="s">
        <v>113</v>
      </c>
      <c r="V63" s="32">
        <v>228000</v>
      </c>
      <c r="W63" s="32">
        <f>0.165*2</f>
        <v>0.33</v>
      </c>
      <c r="X63" s="32">
        <v>3790</v>
      </c>
      <c r="Y63" s="2">
        <v>150</v>
      </c>
      <c r="Z63" s="2">
        <v>230</v>
      </c>
      <c r="AA63" s="2">
        <f t="shared" si="32"/>
        <v>319.5</v>
      </c>
      <c r="AB63" s="2">
        <v>45</v>
      </c>
      <c r="AC63" s="2">
        <v>45</v>
      </c>
      <c r="AD63" s="2">
        <f>612/2</f>
        <v>306</v>
      </c>
      <c r="AE63" s="2">
        <f>AD63-372/2</f>
        <v>120</v>
      </c>
      <c r="AO63" s="2">
        <f t="shared" si="20"/>
        <v>27.708847204661975</v>
      </c>
      <c r="AP63" s="2">
        <f t="shared" si="21"/>
        <v>13.120104066669002</v>
      </c>
      <c r="AQ63" s="2" t="str">
        <f t="shared" si="22"/>
        <v>OK</v>
      </c>
    </row>
    <row r="64" spans="1:43" x14ac:dyDescent="0.25">
      <c r="A64" s="19">
        <v>62</v>
      </c>
      <c r="C64" s="2" t="s">
        <v>132</v>
      </c>
      <c r="D64" s="2">
        <v>35</v>
      </c>
      <c r="E64" s="2">
        <v>125</v>
      </c>
      <c r="F64" s="2">
        <v>200</v>
      </c>
      <c r="G64" s="2">
        <v>165</v>
      </c>
      <c r="H64" s="2">
        <v>200</v>
      </c>
      <c r="I64" s="2">
        <v>0</v>
      </c>
      <c r="J64" s="2" t="s">
        <v>36</v>
      </c>
      <c r="K64" s="2">
        <f t="shared" ref="K64:K65" si="34">L64*G64</f>
        <v>445.50000000000006</v>
      </c>
      <c r="L64" s="35">
        <v>2.7</v>
      </c>
      <c r="M64" s="2" t="s">
        <v>20</v>
      </c>
      <c r="N64" s="2">
        <v>6</v>
      </c>
      <c r="O64" s="19">
        <f t="shared" si="4"/>
        <v>74.25</v>
      </c>
      <c r="P64" s="32">
        <v>200000</v>
      </c>
      <c r="Q64" s="2">
        <v>418</v>
      </c>
      <c r="R64" s="2">
        <f t="shared" si="31"/>
        <v>0.60927999999999982</v>
      </c>
      <c r="S64" s="2" t="s">
        <v>38</v>
      </c>
      <c r="T64" s="2" t="s">
        <v>41</v>
      </c>
      <c r="U64" s="2" t="s">
        <v>113</v>
      </c>
      <c r="V64" s="2">
        <v>230000</v>
      </c>
      <c r="W64" s="2">
        <v>0.11</v>
      </c>
      <c r="X64" s="2">
        <v>3480</v>
      </c>
      <c r="Y64" s="2">
        <v>20</v>
      </c>
      <c r="Z64" s="2">
        <v>100</v>
      </c>
      <c r="AA64" s="2">
        <f t="shared" si="32"/>
        <v>148.5</v>
      </c>
      <c r="AB64" s="2">
        <v>90</v>
      </c>
      <c r="AC64" s="2">
        <v>45</v>
      </c>
      <c r="AD64" s="2">
        <f>182.2/2</f>
        <v>91.1</v>
      </c>
      <c r="AE64" s="2" t="s">
        <v>37</v>
      </c>
      <c r="AO64" s="2">
        <f t="shared" si="20"/>
        <v>56.548667764616276</v>
      </c>
      <c r="AP64" s="2">
        <f t="shared" si="21"/>
        <v>8.14434009614207</v>
      </c>
      <c r="AQ64" s="2" t="str">
        <f t="shared" si="22"/>
        <v>OK</v>
      </c>
    </row>
    <row r="65" spans="1:43" x14ac:dyDescent="0.25">
      <c r="A65" s="19">
        <v>63</v>
      </c>
      <c r="B65" s="32" t="s">
        <v>133</v>
      </c>
      <c r="C65" s="32" t="s">
        <v>134</v>
      </c>
      <c r="D65" s="2">
        <v>34.700000000000003</v>
      </c>
      <c r="E65" s="2">
        <v>200</v>
      </c>
      <c r="F65" s="2">
        <v>450</v>
      </c>
      <c r="G65" s="2">
        <v>395</v>
      </c>
      <c r="H65" s="2">
        <f t="shared" ref="H65" si="35">F65</f>
        <v>450</v>
      </c>
      <c r="I65" s="2">
        <v>0</v>
      </c>
      <c r="J65" s="2" t="s">
        <v>36</v>
      </c>
      <c r="K65" s="2">
        <f t="shared" si="34"/>
        <v>1248.2</v>
      </c>
      <c r="L65" s="35">
        <v>3.16</v>
      </c>
      <c r="M65" s="32" t="s">
        <v>4</v>
      </c>
      <c r="N65" s="2">
        <v>6</v>
      </c>
      <c r="O65" s="19">
        <f t="shared" si="4"/>
        <v>177.75</v>
      </c>
      <c r="P65" s="32">
        <v>200000</v>
      </c>
      <c r="Q65" s="2">
        <v>486.1</v>
      </c>
      <c r="R65" s="2">
        <f t="shared" ref="R65" si="36">100*2*3.1416*N65^2/4/O65/E65</f>
        <v>0.15906835443037973</v>
      </c>
      <c r="S65" s="2" t="s">
        <v>38</v>
      </c>
      <c r="T65" s="2" t="s">
        <v>41</v>
      </c>
      <c r="U65" s="2" t="s">
        <v>113</v>
      </c>
      <c r="V65" s="2">
        <v>240000</v>
      </c>
      <c r="W65" s="2">
        <v>0.11</v>
      </c>
      <c r="X65" s="2">
        <v>3400</v>
      </c>
      <c r="Y65" s="2">
        <v>50</v>
      </c>
      <c r="Z65" s="2">
        <v>200</v>
      </c>
      <c r="AA65" s="2">
        <f t="shared" si="32"/>
        <v>355.5</v>
      </c>
      <c r="AB65" s="2">
        <v>90</v>
      </c>
      <c r="AC65" s="2">
        <v>45</v>
      </c>
      <c r="AD65" s="2">
        <v>236</v>
      </c>
      <c r="AE65" s="2" t="s">
        <v>37</v>
      </c>
      <c r="AO65" s="2">
        <f t="shared" ref="AO65" si="37">2*PI()/4*N65^2</f>
        <v>56.548667764616276</v>
      </c>
      <c r="AP65" s="2">
        <f t="shared" ref="AP65" si="38">0.062*SQRT(D65)*E65*O65/Q65</f>
        <v>26.709786149844479</v>
      </c>
      <c r="AQ65" s="2" t="str">
        <f t="shared" ref="AQ65" si="39">IF(AO65&gt;AP65, "OK","No")</f>
        <v>OK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2013-04-24T13:42:34Z</dcterms:modified>
</cp:coreProperties>
</file>