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3715" windowHeight="97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A82" i="1" l="1"/>
  <c r="R82" i="1"/>
  <c r="L82" i="1"/>
  <c r="AA81" i="1"/>
  <c r="R81" i="1"/>
  <c r="L81" i="1"/>
  <c r="AA77" i="1"/>
  <c r="R77" i="1"/>
  <c r="L77" i="1"/>
  <c r="AA76" i="1"/>
  <c r="R76" i="1"/>
  <c r="L76" i="1"/>
  <c r="AA75" i="1"/>
  <c r="R75" i="1"/>
  <c r="L75" i="1"/>
  <c r="AA74" i="1"/>
  <c r="R74" i="1"/>
  <c r="L74" i="1"/>
  <c r="AA73" i="1"/>
  <c r="R73" i="1"/>
  <c r="L73" i="1"/>
  <c r="AA72" i="1"/>
  <c r="R72" i="1"/>
  <c r="L72" i="1"/>
  <c r="AA71" i="1"/>
  <c r="R71" i="1"/>
  <c r="L71" i="1"/>
  <c r="R70" i="1"/>
  <c r="L70" i="1"/>
  <c r="AA70" i="1"/>
  <c r="AA69" i="1"/>
  <c r="L69" i="1"/>
  <c r="AA68" i="1"/>
  <c r="R68" i="1"/>
  <c r="L68" i="1"/>
  <c r="R15" i="1" l="1"/>
  <c r="R16" i="1"/>
  <c r="R14" i="1"/>
  <c r="AD43" i="1"/>
  <c r="AE43" i="1" s="1"/>
  <c r="AD42" i="1"/>
  <c r="AE42" i="1" s="1"/>
  <c r="AD41" i="1"/>
  <c r="AE41" i="1" s="1"/>
  <c r="AE13" i="1"/>
  <c r="AE12" i="1"/>
  <c r="AE11" i="1"/>
  <c r="AE10" i="1"/>
  <c r="AE9" i="1"/>
  <c r="AE8" i="1"/>
  <c r="AE32" i="1"/>
  <c r="AE31" i="1"/>
  <c r="AE30" i="1"/>
  <c r="AE29" i="1"/>
  <c r="AE28" i="1"/>
  <c r="AE27" i="1"/>
  <c r="AD32" i="1"/>
  <c r="AD31" i="1"/>
  <c r="AD30" i="1"/>
  <c r="AD29" i="1"/>
  <c r="AD28" i="1"/>
  <c r="AD27" i="1"/>
  <c r="AD13" i="1"/>
  <c r="AD12" i="1"/>
  <c r="AD11" i="1"/>
  <c r="AD10" i="1"/>
  <c r="AD9" i="1"/>
  <c r="AD8" i="1"/>
  <c r="L67" i="1"/>
  <c r="H67" i="1"/>
  <c r="AA67" i="1" s="1"/>
  <c r="L66" i="1"/>
  <c r="H66" i="1"/>
  <c r="AA66" i="1" s="1"/>
  <c r="G64" i="1"/>
  <c r="G63" i="1"/>
  <c r="G62" i="1"/>
  <c r="G57" i="1"/>
  <c r="K57" i="1" s="1"/>
  <c r="G58" i="1"/>
  <c r="K58" i="1" s="1"/>
  <c r="G59" i="1"/>
  <c r="K59" i="1" s="1"/>
  <c r="G60" i="1"/>
  <c r="G61" i="1"/>
  <c r="G56" i="1"/>
  <c r="G54" i="1"/>
  <c r="K54" i="1" s="1"/>
  <c r="G55" i="1"/>
  <c r="K55" i="1" s="1"/>
  <c r="G53" i="1"/>
  <c r="K53" i="1" s="1"/>
  <c r="G51" i="1"/>
  <c r="K51" i="1" s="1"/>
  <c r="G52" i="1"/>
  <c r="K52" i="1" s="1"/>
  <c r="G50" i="1"/>
  <c r="K50" i="1" s="1"/>
  <c r="R65" i="1"/>
  <c r="K65" i="1"/>
  <c r="H65" i="1"/>
  <c r="AA65" i="1" s="1"/>
  <c r="R80" i="1"/>
  <c r="R79" i="1"/>
  <c r="R78" i="1"/>
  <c r="K80" i="1"/>
  <c r="K79" i="1"/>
  <c r="K78" i="1"/>
  <c r="H80" i="1"/>
  <c r="AA80" i="1" s="1"/>
  <c r="H79" i="1"/>
  <c r="AA79" i="1" s="1"/>
  <c r="H78" i="1"/>
  <c r="AA78" i="1" s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50" i="1"/>
  <c r="K61" i="1"/>
  <c r="AD49" i="1"/>
  <c r="AA49" i="1"/>
  <c r="K49" i="1"/>
  <c r="AD48" i="1"/>
  <c r="AA48" i="1"/>
  <c r="K48" i="1"/>
  <c r="AD47" i="1"/>
  <c r="AA47" i="1"/>
  <c r="K47" i="1"/>
  <c r="AD46" i="1"/>
  <c r="AA46" i="1"/>
  <c r="R46" i="1"/>
  <c r="K46" i="1"/>
  <c r="AD45" i="1"/>
  <c r="K45" i="1"/>
  <c r="AA45" i="1"/>
  <c r="AD44" i="1"/>
  <c r="K44" i="1"/>
  <c r="AA44" i="1"/>
  <c r="AA42" i="1"/>
  <c r="AA43" i="1"/>
  <c r="W43" i="1"/>
  <c r="W42" i="1"/>
  <c r="L42" i="1"/>
  <c r="P42" i="1"/>
  <c r="R42" i="1"/>
  <c r="L43" i="1"/>
  <c r="P43" i="1"/>
  <c r="R43" i="1"/>
  <c r="AA41" i="1"/>
  <c r="P41" i="1"/>
  <c r="R41" i="1"/>
  <c r="L41" i="1"/>
  <c r="AA59" i="1" l="1"/>
  <c r="AA52" i="1"/>
  <c r="AA63" i="1"/>
  <c r="AA51" i="1"/>
  <c r="AA60" i="1"/>
  <c r="AA54" i="1"/>
  <c r="AA61" i="1"/>
  <c r="AA50" i="1"/>
  <c r="AA56" i="1"/>
  <c r="AA53" i="1"/>
  <c r="AA64" i="1"/>
  <c r="AA62" i="1"/>
  <c r="K64" i="1"/>
  <c r="K63" i="1"/>
  <c r="K62" i="1"/>
  <c r="AA58" i="1"/>
  <c r="AA57" i="1"/>
  <c r="K60" i="1"/>
  <c r="K56" i="1"/>
  <c r="AA55" i="1"/>
  <c r="R40" i="1"/>
  <c r="G40" i="1"/>
  <c r="AA40" i="1" s="1"/>
  <c r="R39" i="1"/>
  <c r="G39" i="1"/>
  <c r="AA39" i="1" s="1"/>
  <c r="G38" i="1"/>
  <c r="L38" i="1" s="1"/>
  <c r="R38" i="1"/>
  <c r="R37" i="1"/>
  <c r="G37" i="1"/>
  <c r="L37" i="1" s="1"/>
  <c r="L34" i="1"/>
  <c r="R34" i="1"/>
  <c r="AA34" i="1"/>
  <c r="L35" i="1"/>
  <c r="R35" i="1"/>
  <c r="AA35" i="1"/>
  <c r="L36" i="1"/>
  <c r="R36" i="1"/>
  <c r="AA36" i="1"/>
  <c r="R33" i="1"/>
  <c r="L33" i="1"/>
  <c r="AA33" i="1"/>
  <c r="L32" i="1"/>
  <c r="R32" i="1"/>
  <c r="AA32" i="1"/>
  <c r="R31" i="1"/>
  <c r="L31" i="1"/>
  <c r="AA31" i="1"/>
  <c r="L30" i="1"/>
  <c r="R30" i="1"/>
  <c r="AA30" i="1"/>
  <c r="R29" i="1"/>
  <c r="L29" i="1"/>
  <c r="AA29" i="1"/>
  <c r="AA28" i="1"/>
  <c r="R28" i="1"/>
  <c r="L28" i="1"/>
  <c r="R27" i="1"/>
  <c r="L27" i="1"/>
  <c r="AA27" i="1"/>
  <c r="AA26" i="1"/>
  <c r="R26" i="1"/>
  <c r="L26" i="1"/>
  <c r="W24" i="1"/>
  <c r="W25" i="1"/>
  <c r="W23" i="1"/>
  <c r="Z25" i="1"/>
  <c r="G25" i="1"/>
  <c r="L25" i="1" s="1"/>
  <c r="Z24" i="1"/>
  <c r="Z23" i="1"/>
  <c r="G24" i="1"/>
  <c r="AA24" i="1" s="1"/>
  <c r="G23" i="1"/>
  <c r="AA23" i="1" s="1"/>
  <c r="AA19" i="1"/>
  <c r="AA20" i="1"/>
  <c r="AA21" i="1"/>
  <c r="AA22" i="1"/>
  <c r="K22" i="1"/>
  <c r="K21" i="1"/>
  <c r="K20" i="1"/>
  <c r="K19" i="1"/>
  <c r="AA17" i="1"/>
  <c r="AA18" i="1"/>
  <c r="K17" i="1"/>
  <c r="K18" i="1"/>
  <c r="AA15" i="1"/>
  <c r="AA16" i="1"/>
  <c r="K15" i="1"/>
  <c r="K16" i="1"/>
  <c r="K14" i="1"/>
  <c r="AA14" i="1"/>
  <c r="AA13" i="1"/>
  <c r="AA10" i="1"/>
  <c r="L13" i="1"/>
  <c r="L10" i="1"/>
  <c r="AA9" i="1"/>
  <c r="AA11" i="1"/>
  <c r="AA12" i="1"/>
  <c r="L9" i="1"/>
  <c r="L11" i="1"/>
  <c r="L12" i="1"/>
  <c r="AA8" i="1"/>
  <c r="L8" i="1"/>
  <c r="AA5" i="1"/>
  <c r="AA6" i="1"/>
  <c r="AA7" i="1"/>
  <c r="AA4" i="1"/>
  <c r="R5" i="1"/>
  <c r="R6" i="1"/>
  <c r="R7" i="1"/>
  <c r="R4" i="1"/>
  <c r="L5" i="1"/>
  <c r="L6" i="1"/>
  <c r="L7" i="1"/>
  <c r="L4" i="1"/>
  <c r="L24" i="1" l="1"/>
  <c r="L39" i="1"/>
  <c r="AA38" i="1"/>
  <c r="L23" i="1"/>
  <c r="AA25" i="1"/>
  <c r="AA37" i="1"/>
  <c r="L40" i="1"/>
</calcChain>
</file>

<file path=xl/sharedStrings.xml><?xml version="1.0" encoding="utf-8"?>
<sst xmlns="http://schemas.openxmlformats.org/spreadsheetml/2006/main" count="563" uniqueCount="141">
  <si>
    <t>Nx,y</t>
  </si>
  <si>
    <t>Concrete strength</t>
  </si>
  <si>
    <t>Beam Dimension (all in mm)</t>
  </si>
  <si>
    <t>Steel stirrups</t>
  </si>
  <si>
    <t>FRP shear reinforcement</t>
  </si>
  <si>
    <t>Test results</t>
  </si>
  <si>
    <t>Reference</t>
  </si>
  <si>
    <t>Specimens</t>
  </si>
  <si>
    <r>
      <t>f</t>
    </r>
    <r>
      <rPr>
        <b/>
        <i/>
        <vertAlign val="superscript"/>
        <sz val="12"/>
        <rFont val="Times New Roman"/>
        <family val="1"/>
      </rPr>
      <t>'</t>
    </r>
    <r>
      <rPr>
        <b/>
        <i/>
        <vertAlign val="subscript"/>
        <sz val="12"/>
        <rFont val="Times New Roman"/>
        <family val="1"/>
      </rPr>
      <t>c</t>
    </r>
  </si>
  <si>
    <r>
      <t>b</t>
    </r>
    <r>
      <rPr>
        <b/>
        <i/>
        <vertAlign val="subscript"/>
        <sz val="12"/>
        <rFont val="Times New Roman"/>
        <family val="1"/>
      </rPr>
      <t>w</t>
    </r>
  </si>
  <si>
    <t>h</t>
  </si>
  <si>
    <t>d</t>
  </si>
  <si>
    <r>
      <t>d</t>
    </r>
    <r>
      <rPr>
        <b/>
        <i/>
        <vertAlign val="subscript"/>
        <sz val="12"/>
        <rFont val="Times New Roman"/>
        <family val="1"/>
      </rPr>
      <t>frp</t>
    </r>
  </si>
  <si>
    <r>
      <t>d</t>
    </r>
    <r>
      <rPr>
        <b/>
        <i/>
        <vertAlign val="subscript"/>
        <sz val="12"/>
        <rFont val="Times New Roman"/>
        <family val="1"/>
      </rPr>
      <t>frp,t</t>
    </r>
  </si>
  <si>
    <t>Section</t>
  </si>
  <si>
    <t>s</t>
  </si>
  <si>
    <t>s/d</t>
  </si>
  <si>
    <r>
      <t>Bar type</t>
    </r>
    <r>
      <rPr>
        <b/>
        <vertAlign val="superscript"/>
        <sz val="12"/>
        <rFont val="Times New Roman"/>
        <family val="1"/>
      </rPr>
      <t>a</t>
    </r>
  </si>
  <si>
    <t>D</t>
  </si>
  <si>
    <t>Ss</t>
  </si>
  <si>
    <r>
      <t>E</t>
    </r>
    <r>
      <rPr>
        <b/>
        <i/>
        <vertAlign val="subscript"/>
        <sz val="12"/>
        <rFont val="Times New Roman"/>
        <family val="1"/>
      </rPr>
      <t>s</t>
    </r>
  </si>
  <si>
    <r>
      <t>f</t>
    </r>
    <r>
      <rPr>
        <b/>
        <i/>
        <vertAlign val="subscript"/>
        <sz val="12"/>
        <rFont val="Times New Roman"/>
        <family val="1"/>
      </rPr>
      <t>y</t>
    </r>
  </si>
  <si>
    <r>
      <t>r</t>
    </r>
    <r>
      <rPr>
        <b/>
        <i/>
        <sz val="12"/>
        <rFont val="Times New Roman"/>
        <family val="1"/>
      </rPr>
      <t>s%</t>
    </r>
  </si>
  <si>
    <t>FRP type</t>
  </si>
  <si>
    <t>Configuration</t>
  </si>
  <si>
    <t>Form</t>
  </si>
  <si>
    <r>
      <t>E</t>
    </r>
    <r>
      <rPr>
        <b/>
        <i/>
        <vertAlign val="subscript"/>
        <sz val="12"/>
        <rFont val="Times New Roman"/>
        <family val="1"/>
      </rPr>
      <t>f</t>
    </r>
  </si>
  <si>
    <r>
      <t>t</t>
    </r>
    <r>
      <rPr>
        <b/>
        <i/>
        <vertAlign val="subscript"/>
        <sz val="12"/>
        <rFont val="Times New Roman"/>
        <family val="1"/>
      </rPr>
      <t>f</t>
    </r>
  </si>
  <si>
    <r>
      <t>f</t>
    </r>
    <r>
      <rPr>
        <b/>
        <i/>
        <vertAlign val="subscript"/>
        <sz val="12"/>
        <rFont val="Times New Roman"/>
        <family val="1"/>
      </rPr>
      <t>f</t>
    </r>
  </si>
  <si>
    <r>
      <t>W</t>
    </r>
    <r>
      <rPr>
        <b/>
        <i/>
        <vertAlign val="subscript"/>
        <sz val="12"/>
        <rFont val="Times New Roman"/>
        <family val="1"/>
      </rPr>
      <t>f</t>
    </r>
  </si>
  <si>
    <r>
      <t>S</t>
    </r>
    <r>
      <rPr>
        <b/>
        <i/>
        <vertAlign val="subscript"/>
        <sz val="12"/>
        <rFont val="Times New Roman"/>
        <family val="1"/>
      </rPr>
      <t>f</t>
    </r>
  </si>
  <si>
    <r>
      <t>h</t>
    </r>
    <r>
      <rPr>
        <b/>
        <i/>
        <vertAlign val="subscript"/>
        <sz val="12"/>
        <rFont val="Times New Roman"/>
        <family val="1"/>
      </rPr>
      <t>f,e</t>
    </r>
  </si>
  <si>
    <t>b</t>
  </si>
  <si>
    <t>q</t>
  </si>
  <si>
    <r>
      <t>V</t>
    </r>
    <r>
      <rPr>
        <vertAlign val="subscript"/>
        <sz val="10"/>
        <rFont val="Arial"/>
        <family val="2"/>
      </rPr>
      <t>total,test</t>
    </r>
  </si>
  <si>
    <r>
      <t>V</t>
    </r>
    <r>
      <rPr>
        <b/>
        <vertAlign val="subscript"/>
        <sz val="10"/>
        <rFont val="Arial"/>
        <family val="2"/>
      </rPr>
      <t>f,test</t>
    </r>
  </si>
  <si>
    <t>Rec.</t>
  </si>
  <si>
    <t>Diagana et al. 2003</t>
  </si>
  <si>
    <t>PC1</t>
  </si>
  <si>
    <t>PC2</t>
  </si>
  <si>
    <t>PC3</t>
  </si>
  <si>
    <t>PC4</t>
  </si>
  <si>
    <t>R</t>
  </si>
  <si>
    <t>CFRP</t>
  </si>
  <si>
    <t>W</t>
  </si>
  <si>
    <t>Strip</t>
  </si>
  <si>
    <t>NA</t>
  </si>
  <si>
    <t>Adhikary et al. 2004</t>
  </si>
  <si>
    <t>C-2</t>
  </si>
  <si>
    <t>C-3</t>
  </si>
  <si>
    <t>A-2</t>
  </si>
  <si>
    <t>A-3</t>
  </si>
  <si>
    <t>AFRP</t>
  </si>
  <si>
    <t>Sheet</t>
  </si>
  <si>
    <t>C-4</t>
  </si>
  <si>
    <t>A-4</t>
  </si>
  <si>
    <t>A2</t>
  </si>
  <si>
    <t>A3</t>
  </si>
  <si>
    <t>A5</t>
  </si>
  <si>
    <t>Bb</t>
  </si>
  <si>
    <t>Bc</t>
  </si>
  <si>
    <t>GFRP</t>
  </si>
  <si>
    <t>Cao et al. 2005</t>
  </si>
  <si>
    <t>L2</t>
  </si>
  <si>
    <t>L3</t>
  </si>
  <si>
    <t>L6</t>
  </si>
  <si>
    <t>L7</t>
  </si>
  <si>
    <t>245W</t>
  </si>
  <si>
    <t>Flexural strenghening exists</t>
  </si>
  <si>
    <t>290W</t>
  </si>
  <si>
    <t>290WR</t>
  </si>
  <si>
    <t>Corolin and Taljsten 2005</t>
  </si>
  <si>
    <t>Monti and Liotta 2007</t>
  </si>
  <si>
    <t>W45+</t>
  </si>
  <si>
    <t>SB-F1</t>
  </si>
  <si>
    <t>SB-F2</t>
  </si>
  <si>
    <t>MB-F1</t>
  </si>
  <si>
    <t>MB-F2</t>
  </si>
  <si>
    <t>LB-F1</t>
  </si>
  <si>
    <t>LB-F2</t>
  </si>
  <si>
    <t>Leung et al. 2007</t>
  </si>
  <si>
    <t>ST1b</t>
  </si>
  <si>
    <t>ST2b</t>
  </si>
  <si>
    <t>ST3a</t>
  </si>
  <si>
    <t>ST3b</t>
  </si>
  <si>
    <t>Ianniruberto et al. 2004</t>
  </si>
  <si>
    <t>V4L</t>
  </si>
  <si>
    <t>V4C</t>
  </si>
  <si>
    <t>V6L</t>
  </si>
  <si>
    <t>V6C</t>
  </si>
  <si>
    <t>Alzate et al. 2009</t>
  </si>
  <si>
    <t>Melo et al. 2006</t>
  </si>
  <si>
    <t>(FRPRCS-6)</t>
  </si>
  <si>
    <t>T</t>
  </si>
  <si>
    <t>AN-1/5Z-3</t>
  </si>
  <si>
    <t>AN-1/2Z-3</t>
  </si>
  <si>
    <t>AS150-1/5Z-2.7S</t>
  </si>
  <si>
    <t>AN-1/5Z-2.4</t>
  </si>
  <si>
    <t>AN-1/5Z-1.8</t>
  </si>
  <si>
    <t>CN-1/2Z-2</t>
  </si>
  <si>
    <t>Miyauchi et al. 1997</t>
  </si>
  <si>
    <t>AS1</t>
  </si>
  <si>
    <t>AS2</t>
  </si>
  <si>
    <t>AS3</t>
  </si>
  <si>
    <t>CS1</t>
  </si>
  <si>
    <t>CS2</t>
  </si>
  <si>
    <t>CS3</t>
  </si>
  <si>
    <t>AB1</t>
  </si>
  <si>
    <t>AB2</t>
  </si>
  <si>
    <t>AB3</t>
  </si>
  <si>
    <t>AB4</t>
  </si>
  <si>
    <t>AB5</t>
  </si>
  <si>
    <t>AB8</t>
  </si>
  <si>
    <t>AB9</t>
  </si>
  <si>
    <t>AB10</t>
  </si>
  <si>
    <t>AB11</t>
  </si>
  <si>
    <t>Umezu et al. 1997</t>
  </si>
  <si>
    <t>Funakawa et al. 1997</t>
  </si>
  <si>
    <t>S2</t>
  </si>
  <si>
    <t>S3</t>
  </si>
  <si>
    <t>S4</t>
  </si>
  <si>
    <t>BS7</t>
  </si>
  <si>
    <t>Taerwe et al. 1997</t>
  </si>
  <si>
    <t>BEAM-2</t>
  </si>
  <si>
    <t>BEAM-5</t>
  </si>
  <si>
    <t>Anil 2008</t>
  </si>
  <si>
    <t>Gamino et al 2010</t>
  </si>
  <si>
    <t>VTC4</t>
  </si>
  <si>
    <t>Uji 1992</t>
  </si>
  <si>
    <t>CF045</t>
  </si>
  <si>
    <t>Araki et al. 1997</t>
  </si>
  <si>
    <t>CF046</t>
  </si>
  <si>
    <t>CF097</t>
  </si>
  <si>
    <t>CF131</t>
  </si>
  <si>
    <t>CF243</t>
  </si>
  <si>
    <t>AF060</t>
  </si>
  <si>
    <t>AF090</t>
  </si>
  <si>
    <t>AF120</t>
  </si>
  <si>
    <t>Ono et al. 1997</t>
  </si>
  <si>
    <t>SB3</t>
  </si>
  <si>
    <t>SB4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</si>
</sst>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b/>
      <sz val="12"/>
      <name val="Arial"/>
      <family val="2"/>
    </font>
    <font>
      <b/>
      <i/>
      <sz val="12"/>
      <name val="Times New Roman"/>
      <family val="1"/>
    </font>
    <font>
      <b/>
      <i/>
      <vertAlign val="superscript"/>
      <sz val="12"/>
      <name val="Times New Roman"/>
      <family val="1"/>
    </font>
    <font>
      <b/>
      <i/>
      <vertAlign val="subscript"/>
      <sz val="12"/>
      <name val="Times New Roman"/>
      <family val="1"/>
    </font>
    <font>
      <b/>
      <sz val="12"/>
      <name val="Times New Roman"/>
      <family val="1"/>
    </font>
    <font>
      <b/>
      <vertAlign val="superscript"/>
      <sz val="12"/>
      <name val="Times New Roman"/>
      <family val="1"/>
    </font>
    <font>
      <b/>
      <sz val="12"/>
      <name val="Symbol"/>
      <family val="1"/>
      <charset val="2"/>
    </font>
    <font>
      <b/>
      <i/>
      <sz val="10"/>
      <name val="Symbol"/>
      <family val="1"/>
      <charset val="2"/>
    </font>
    <font>
      <b/>
      <sz val="10"/>
      <name val="Symbol"/>
      <family val="1"/>
      <charset val="2"/>
    </font>
    <font>
      <b/>
      <vertAlign val="subscript"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1" fillId="3" borderId="0" xfId="0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7" borderId="0" xfId="0" applyFill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2"/>
  <sheetViews>
    <sheetView tabSelected="1" workbookViewId="0">
      <pane ySplit="3" topLeftCell="A40" activePane="bottomLeft" state="frozen"/>
      <selection pane="bottomLeft" activeCell="A53" sqref="A53:XFD53"/>
    </sheetView>
  </sheetViews>
  <sheetFormatPr defaultRowHeight="15" x14ac:dyDescent="0.25"/>
  <cols>
    <col min="1" max="1" width="9.140625" style="3"/>
    <col min="2" max="2" width="23.42578125" style="3" bestFit="1" customWidth="1"/>
    <col min="3" max="3" width="13.5703125" style="3" bestFit="1" customWidth="1"/>
    <col min="4" max="4" width="17" style="3" bestFit="1" customWidth="1"/>
    <col min="5" max="11" width="9.140625" style="3"/>
    <col min="12" max="12" width="9.140625" style="19"/>
    <col min="13" max="18" width="9.140625" style="3"/>
    <col min="19" max="19" width="10" style="3" bestFit="1" customWidth="1"/>
    <col min="20" max="20" width="14.140625" style="3" bestFit="1" customWidth="1"/>
    <col min="21" max="31" width="9.140625" style="3"/>
  </cols>
  <sheetData>
    <row r="1" spans="1:31" x14ac:dyDescent="0.25">
      <c r="A1" s="2" t="s">
        <v>0</v>
      </c>
      <c r="B1" s="1"/>
      <c r="C1" s="3">
        <v>1</v>
      </c>
      <c r="D1" s="3">
        <v>2</v>
      </c>
      <c r="E1" s="3">
        <v>3</v>
      </c>
      <c r="F1" s="3">
        <v>4</v>
      </c>
      <c r="G1" s="3">
        <v>5</v>
      </c>
      <c r="K1" s="3">
        <v>6</v>
      </c>
      <c r="L1" s="3">
        <v>7</v>
      </c>
      <c r="M1" s="3">
        <v>8</v>
      </c>
      <c r="N1" s="3">
        <v>9</v>
      </c>
      <c r="O1" s="3">
        <v>10</v>
      </c>
      <c r="P1" s="3">
        <v>11</v>
      </c>
      <c r="Q1" s="3">
        <v>12</v>
      </c>
      <c r="R1" s="3">
        <v>13</v>
      </c>
      <c r="S1" s="3">
        <v>14</v>
      </c>
      <c r="T1" s="3">
        <v>15</v>
      </c>
      <c r="V1" s="3">
        <v>16</v>
      </c>
      <c r="W1" s="3">
        <v>17</v>
      </c>
      <c r="X1" s="3">
        <v>18</v>
      </c>
      <c r="Y1" s="3">
        <v>19</v>
      </c>
      <c r="Z1" s="3">
        <v>20</v>
      </c>
      <c r="AA1" s="3">
        <v>21</v>
      </c>
      <c r="AB1" s="3">
        <v>22</v>
      </c>
      <c r="AC1" s="3">
        <v>23</v>
      </c>
      <c r="AD1" s="3">
        <v>24</v>
      </c>
      <c r="AE1" s="3">
        <v>25</v>
      </c>
    </row>
    <row r="2" spans="1:31" x14ac:dyDescent="0.25">
      <c r="A2" s="1"/>
      <c r="B2" s="1"/>
      <c r="C2" s="1"/>
      <c r="D2" s="4" t="s">
        <v>1</v>
      </c>
      <c r="E2" s="5"/>
      <c r="F2" s="5" t="s">
        <v>2</v>
      </c>
      <c r="G2" s="5"/>
      <c r="H2" s="5"/>
      <c r="I2" s="5"/>
      <c r="J2" s="5"/>
      <c r="K2" s="5"/>
      <c r="L2" s="5"/>
      <c r="M2" s="6"/>
      <c r="N2" s="6" t="s">
        <v>3</v>
      </c>
      <c r="O2" s="6"/>
      <c r="P2" s="6"/>
      <c r="Q2" s="6"/>
      <c r="R2" s="6"/>
      <c r="S2" s="7"/>
      <c r="T2" s="8" t="s">
        <v>4</v>
      </c>
      <c r="U2" s="8"/>
      <c r="V2" s="7"/>
      <c r="W2" s="7"/>
      <c r="X2" s="7"/>
      <c r="Y2" s="7"/>
      <c r="Z2" s="7"/>
      <c r="AA2" s="7"/>
      <c r="AB2" s="7"/>
      <c r="AC2" s="5" t="s">
        <v>5</v>
      </c>
      <c r="AD2" s="9"/>
      <c r="AE2" s="9"/>
    </row>
    <row r="3" spans="1:31" ht="20.25" x14ac:dyDescent="0.35">
      <c r="A3" s="1"/>
      <c r="B3" s="10" t="s">
        <v>6</v>
      </c>
      <c r="C3" s="10" t="s">
        <v>7</v>
      </c>
      <c r="D3" s="11" t="s">
        <v>8</v>
      </c>
      <c r="E3" s="11" t="s">
        <v>9</v>
      </c>
      <c r="F3" s="11" t="s">
        <v>10</v>
      </c>
      <c r="G3" s="11" t="s">
        <v>11</v>
      </c>
      <c r="H3" s="11" t="s">
        <v>12</v>
      </c>
      <c r="I3" s="11" t="s">
        <v>13</v>
      </c>
      <c r="J3" s="12" t="s">
        <v>14</v>
      </c>
      <c r="K3" s="11" t="s">
        <v>15</v>
      </c>
      <c r="L3" s="11" t="s">
        <v>16</v>
      </c>
      <c r="M3" s="12" t="s">
        <v>17</v>
      </c>
      <c r="N3" s="11" t="s">
        <v>18</v>
      </c>
      <c r="O3" s="11" t="s">
        <v>19</v>
      </c>
      <c r="P3" s="11" t="s">
        <v>20</v>
      </c>
      <c r="Q3" s="11" t="s">
        <v>21</v>
      </c>
      <c r="R3" s="13" t="s">
        <v>22</v>
      </c>
      <c r="S3" s="12" t="s">
        <v>23</v>
      </c>
      <c r="T3" s="12" t="s">
        <v>24</v>
      </c>
      <c r="U3" s="12" t="s">
        <v>25</v>
      </c>
      <c r="V3" s="11" t="s">
        <v>26</v>
      </c>
      <c r="W3" s="11" t="s">
        <v>27</v>
      </c>
      <c r="X3" s="11" t="s">
        <v>28</v>
      </c>
      <c r="Y3" s="11" t="s">
        <v>29</v>
      </c>
      <c r="Z3" s="11" t="s">
        <v>30</v>
      </c>
      <c r="AA3" s="14" t="s">
        <v>31</v>
      </c>
      <c r="AB3" s="15" t="s">
        <v>32</v>
      </c>
      <c r="AC3" s="16" t="s">
        <v>33</v>
      </c>
      <c r="AD3" s="9" t="s">
        <v>34</v>
      </c>
      <c r="AE3" s="9" t="s">
        <v>35</v>
      </c>
    </row>
    <row r="4" spans="1:31" x14ac:dyDescent="0.25">
      <c r="A4" s="17">
        <v>1</v>
      </c>
      <c r="B4" s="17"/>
      <c r="C4" s="17" t="s">
        <v>38</v>
      </c>
      <c r="D4" s="3">
        <v>40</v>
      </c>
      <c r="E4" s="3">
        <v>130</v>
      </c>
      <c r="F4" s="3">
        <v>450</v>
      </c>
      <c r="G4" s="3">
        <v>425</v>
      </c>
      <c r="H4" s="3">
        <v>450</v>
      </c>
      <c r="I4" s="3">
        <v>0</v>
      </c>
      <c r="J4" s="3" t="s">
        <v>36</v>
      </c>
      <c r="K4" s="3">
        <v>900</v>
      </c>
      <c r="L4" s="19">
        <f>K4/G4</f>
        <v>2.1176470588235294</v>
      </c>
      <c r="M4" s="3" t="s">
        <v>42</v>
      </c>
      <c r="N4" s="3">
        <v>6</v>
      </c>
      <c r="O4" s="3">
        <v>300</v>
      </c>
      <c r="P4" s="3">
        <v>210000</v>
      </c>
      <c r="Q4" s="3">
        <v>240</v>
      </c>
      <c r="R4" s="3">
        <f>100*2*3.1416*N4^2/4/O4/E4</f>
        <v>0.14499692307692308</v>
      </c>
      <c r="S4" s="3" t="s">
        <v>43</v>
      </c>
      <c r="T4" s="3" t="s">
        <v>45</v>
      </c>
      <c r="U4" s="3" t="s">
        <v>44</v>
      </c>
      <c r="V4" s="3">
        <v>105000</v>
      </c>
      <c r="W4" s="3">
        <v>0.43</v>
      </c>
      <c r="X4" s="3">
        <v>1400</v>
      </c>
      <c r="Y4" s="3">
        <v>40</v>
      </c>
      <c r="Z4" s="3">
        <v>200</v>
      </c>
      <c r="AA4" s="3">
        <f>0.9*G4-(F4-H4)-I4</f>
        <v>382.5</v>
      </c>
      <c r="AB4" s="3">
        <v>90</v>
      </c>
      <c r="AC4" s="3">
        <v>45</v>
      </c>
      <c r="AD4" s="3">
        <v>177.5</v>
      </c>
      <c r="AE4" s="3">
        <v>67.5</v>
      </c>
    </row>
    <row r="5" spans="1:31" x14ac:dyDescent="0.25">
      <c r="A5" s="17">
        <v>2</v>
      </c>
      <c r="B5" s="17" t="s">
        <v>37</v>
      </c>
      <c r="C5" s="17" t="s">
        <v>39</v>
      </c>
      <c r="D5" s="3">
        <v>40</v>
      </c>
      <c r="E5" s="3">
        <v>130</v>
      </c>
      <c r="F5" s="3">
        <v>450</v>
      </c>
      <c r="G5" s="3">
        <v>425</v>
      </c>
      <c r="H5" s="3">
        <v>450</v>
      </c>
      <c r="I5" s="3">
        <v>0</v>
      </c>
      <c r="J5" s="3" t="s">
        <v>36</v>
      </c>
      <c r="K5" s="3">
        <v>900</v>
      </c>
      <c r="L5" s="19">
        <f t="shared" ref="L5:L8" si="0">K5/G5</f>
        <v>2.1176470588235294</v>
      </c>
      <c r="M5" s="3" t="s">
        <v>42</v>
      </c>
      <c r="N5" s="3">
        <v>6</v>
      </c>
      <c r="O5" s="3">
        <v>300</v>
      </c>
      <c r="P5" s="3">
        <v>210000</v>
      </c>
      <c r="Q5" s="3">
        <v>240</v>
      </c>
      <c r="R5" s="3">
        <f t="shared" ref="R5:R7" si="1">100*2*3.1416*N5^2/4/O5/E5</f>
        <v>0.14499692307692308</v>
      </c>
      <c r="S5" s="3" t="s">
        <v>43</v>
      </c>
      <c r="T5" s="3" t="s">
        <v>45</v>
      </c>
      <c r="U5" s="3" t="s">
        <v>44</v>
      </c>
      <c r="V5" s="3">
        <v>105000</v>
      </c>
      <c r="W5" s="3">
        <v>0.43</v>
      </c>
      <c r="X5" s="3">
        <v>1400</v>
      </c>
      <c r="Y5" s="3">
        <v>40</v>
      </c>
      <c r="Z5" s="3">
        <v>250</v>
      </c>
      <c r="AA5" s="3">
        <f t="shared" ref="AA5:AA9" si="2">0.9*G5-(F5-H5)-I5</f>
        <v>382.5</v>
      </c>
      <c r="AB5" s="3">
        <v>90</v>
      </c>
      <c r="AC5" s="3">
        <v>45</v>
      </c>
      <c r="AD5" s="3">
        <v>155</v>
      </c>
      <c r="AE5" s="3">
        <v>45</v>
      </c>
    </row>
    <row r="6" spans="1:31" x14ac:dyDescent="0.25">
      <c r="A6" s="17">
        <v>3</v>
      </c>
      <c r="B6" s="17"/>
      <c r="C6" s="17" t="s">
        <v>40</v>
      </c>
      <c r="D6" s="3">
        <v>40</v>
      </c>
      <c r="E6" s="3">
        <v>130</v>
      </c>
      <c r="F6" s="3">
        <v>450</v>
      </c>
      <c r="G6" s="3">
        <v>425</v>
      </c>
      <c r="H6" s="3">
        <v>450</v>
      </c>
      <c r="I6" s="3">
        <v>0</v>
      </c>
      <c r="J6" s="3" t="s">
        <v>36</v>
      </c>
      <c r="K6" s="3">
        <v>900</v>
      </c>
      <c r="L6" s="19">
        <f t="shared" si="0"/>
        <v>2.1176470588235294</v>
      </c>
      <c r="M6" s="3" t="s">
        <v>42</v>
      </c>
      <c r="N6" s="3">
        <v>6</v>
      </c>
      <c r="O6" s="3">
        <v>300</v>
      </c>
      <c r="P6" s="3">
        <v>210000</v>
      </c>
      <c r="Q6" s="3">
        <v>240</v>
      </c>
      <c r="R6" s="3">
        <f t="shared" si="1"/>
        <v>0.14499692307692308</v>
      </c>
      <c r="S6" s="3" t="s">
        <v>43</v>
      </c>
      <c r="T6" s="3" t="s">
        <v>45</v>
      </c>
      <c r="U6" s="3" t="s">
        <v>44</v>
      </c>
      <c r="V6" s="3">
        <v>105000</v>
      </c>
      <c r="W6" s="3">
        <v>0.43</v>
      </c>
      <c r="X6" s="3">
        <v>1400</v>
      </c>
      <c r="Y6" s="3">
        <v>40</v>
      </c>
      <c r="Z6" s="3">
        <v>300</v>
      </c>
      <c r="AA6" s="3">
        <f t="shared" si="2"/>
        <v>382.5</v>
      </c>
      <c r="AB6" s="3">
        <v>45</v>
      </c>
      <c r="AC6" s="3">
        <v>45</v>
      </c>
      <c r="AD6" s="3">
        <v>145.5</v>
      </c>
      <c r="AE6" s="3">
        <v>35.5</v>
      </c>
    </row>
    <row r="7" spans="1:31" x14ac:dyDescent="0.25">
      <c r="A7" s="17">
        <v>4</v>
      </c>
      <c r="B7" s="17"/>
      <c r="C7" s="17" t="s">
        <v>41</v>
      </c>
      <c r="D7" s="3">
        <v>40</v>
      </c>
      <c r="E7" s="3">
        <v>130</v>
      </c>
      <c r="F7" s="3">
        <v>450</v>
      </c>
      <c r="G7" s="3">
        <v>425</v>
      </c>
      <c r="H7" s="3">
        <v>450</v>
      </c>
      <c r="I7" s="3">
        <v>0</v>
      </c>
      <c r="J7" s="3" t="s">
        <v>36</v>
      </c>
      <c r="K7" s="3">
        <v>900</v>
      </c>
      <c r="L7" s="19">
        <f t="shared" si="0"/>
        <v>2.1176470588235294</v>
      </c>
      <c r="M7" s="3" t="s">
        <v>42</v>
      </c>
      <c r="N7" s="3">
        <v>6</v>
      </c>
      <c r="O7" s="3">
        <v>300</v>
      </c>
      <c r="P7" s="3">
        <v>210000</v>
      </c>
      <c r="Q7" s="3">
        <v>240</v>
      </c>
      <c r="R7" s="3">
        <f t="shared" si="1"/>
        <v>0.14499692307692308</v>
      </c>
      <c r="S7" s="3" t="s">
        <v>43</v>
      </c>
      <c r="T7" s="3" t="s">
        <v>45</v>
      </c>
      <c r="U7" s="3" t="s">
        <v>44</v>
      </c>
      <c r="V7" s="3">
        <v>105000</v>
      </c>
      <c r="W7" s="3">
        <v>0.43</v>
      </c>
      <c r="X7" s="3">
        <v>1400</v>
      </c>
      <c r="Y7" s="3">
        <v>40</v>
      </c>
      <c r="Z7" s="3">
        <v>350</v>
      </c>
      <c r="AA7" s="3">
        <f t="shared" si="2"/>
        <v>382.5</v>
      </c>
      <c r="AB7" s="3">
        <v>45</v>
      </c>
      <c r="AC7" s="3">
        <v>45</v>
      </c>
      <c r="AD7" s="3">
        <v>132</v>
      </c>
      <c r="AE7" s="3">
        <v>22</v>
      </c>
    </row>
    <row r="8" spans="1:31" x14ac:dyDescent="0.25">
      <c r="A8" s="3">
        <v>5</v>
      </c>
      <c r="C8" s="3" t="s">
        <v>48</v>
      </c>
      <c r="D8" s="3">
        <v>41</v>
      </c>
      <c r="E8" s="3">
        <v>300</v>
      </c>
      <c r="F8" s="3">
        <v>300</v>
      </c>
      <c r="G8" s="3">
        <v>245</v>
      </c>
      <c r="H8" s="3">
        <v>300</v>
      </c>
      <c r="I8" s="3">
        <v>0</v>
      </c>
      <c r="J8" s="3" t="s">
        <v>36</v>
      </c>
      <c r="K8" s="3">
        <v>1000</v>
      </c>
      <c r="L8" s="19">
        <f t="shared" si="0"/>
        <v>4.0816326530612246</v>
      </c>
      <c r="M8" s="3" t="s">
        <v>46</v>
      </c>
      <c r="N8" s="3">
        <v>0</v>
      </c>
      <c r="S8" s="3" t="s">
        <v>43</v>
      </c>
      <c r="T8" s="3" t="s">
        <v>53</v>
      </c>
      <c r="U8" s="3" t="s">
        <v>44</v>
      </c>
      <c r="V8" s="3">
        <v>230000</v>
      </c>
      <c r="W8" s="3">
        <v>0.16700000000000001</v>
      </c>
      <c r="X8" s="3">
        <v>3400</v>
      </c>
      <c r="Y8" s="3">
        <v>1</v>
      </c>
      <c r="Z8" s="3">
        <v>1</v>
      </c>
      <c r="AA8" s="3">
        <f t="shared" si="2"/>
        <v>220.5</v>
      </c>
      <c r="AB8" s="3">
        <v>90</v>
      </c>
      <c r="AC8" s="3">
        <v>45</v>
      </c>
      <c r="AD8" s="3">
        <f>457/2</f>
        <v>228.5</v>
      </c>
      <c r="AE8" s="3">
        <f>116.5/2</f>
        <v>58.25</v>
      </c>
    </row>
    <row r="9" spans="1:31" x14ac:dyDescent="0.25">
      <c r="A9" s="3">
        <v>6</v>
      </c>
      <c r="C9" s="3" t="s">
        <v>49</v>
      </c>
      <c r="D9" s="3">
        <v>41.1</v>
      </c>
      <c r="E9" s="3">
        <v>300</v>
      </c>
      <c r="F9" s="3">
        <v>300</v>
      </c>
      <c r="G9" s="3">
        <v>245</v>
      </c>
      <c r="H9" s="3">
        <v>300</v>
      </c>
      <c r="I9" s="3">
        <v>0</v>
      </c>
      <c r="J9" s="3" t="s">
        <v>36</v>
      </c>
      <c r="K9" s="3">
        <v>1000</v>
      </c>
      <c r="L9" s="19">
        <f t="shared" ref="L9" si="3">K9/G9</f>
        <v>4.0816326530612246</v>
      </c>
      <c r="M9" s="3" t="s">
        <v>46</v>
      </c>
      <c r="N9" s="3">
        <v>0</v>
      </c>
      <c r="S9" s="3" t="s">
        <v>43</v>
      </c>
      <c r="T9" s="3" t="s">
        <v>53</v>
      </c>
      <c r="U9" s="3" t="s">
        <v>44</v>
      </c>
      <c r="V9" s="3">
        <v>230000</v>
      </c>
      <c r="W9" s="3">
        <v>0.16700000000000001</v>
      </c>
      <c r="X9" s="3">
        <v>3400</v>
      </c>
      <c r="Y9" s="3">
        <v>1</v>
      </c>
      <c r="Z9" s="3">
        <v>1</v>
      </c>
      <c r="AA9" s="3">
        <f t="shared" si="2"/>
        <v>220.5</v>
      </c>
      <c r="AB9" s="3">
        <v>90</v>
      </c>
      <c r="AC9" s="3">
        <v>45</v>
      </c>
      <c r="AD9" s="3">
        <f>475/2</f>
        <v>237.5</v>
      </c>
      <c r="AE9" s="3">
        <f>125.5/2</f>
        <v>62.75</v>
      </c>
    </row>
    <row r="10" spans="1:31" x14ac:dyDescent="0.25">
      <c r="A10" s="3">
        <v>7</v>
      </c>
      <c r="B10" s="3" t="s">
        <v>47</v>
      </c>
      <c r="C10" s="3" t="s">
        <v>54</v>
      </c>
      <c r="D10" s="3">
        <v>42.4</v>
      </c>
      <c r="E10" s="3">
        <v>300</v>
      </c>
      <c r="F10" s="3">
        <v>300</v>
      </c>
      <c r="G10" s="3">
        <v>245</v>
      </c>
      <c r="H10" s="3">
        <v>300</v>
      </c>
      <c r="I10" s="3">
        <v>0</v>
      </c>
      <c r="J10" s="3" t="s">
        <v>36</v>
      </c>
      <c r="K10" s="3">
        <v>1000</v>
      </c>
      <c r="L10" s="19">
        <f t="shared" ref="L10" si="4">K10/G10</f>
        <v>4.0816326530612246</v>
      </c>
      <c r="M10" s="3" t="s">
        <v>46</v>
      </c>
      <c r="N10" s="3">
        <v>0</v>
      </c>
      <c r="S10" s="3" t="s">
        <v>43</v>
      </c>
      <c r="T10" s="3" t="s">
        <v>53</v>
      </c>
      <c r="U10" s="3" t="s">
        <v>44</v>
      </c>
      <c r="V10" s="3">
        <v>230000</v>
      </c>
      <c r="W10" s="3">
        <v>0.16700000000000001</v>
      </c>
      <c r="X10" s="3">
        <v>3400</v>
      </c>
      <c r="Y10" s="3">
        <v>1</v>
      </c>
      <c r="Z10" s="3">
        <v>1</v>
      </c>
      <c r="AA10" s="3">
        <f t="shared" ref="AA10" si="5">0.9*G10-(F10-H10)-I10</f>
        <v>220.5</v>
      </c>
      <c r="AB10" s="3">
        <v>90</v>
      </c>
      <c r="AC10" s="3">
        <v>45</v>
      </c>
      <c r="AD10" s="3">
        <f>500/2</f>
        <v>250</v>
      </c>
      <c r="AE10" s="3">
        <f>138/2</f>
        <v>69</v>
      </c>
    </row>
    <row r="11" spans="1:31" x14ac:dyDescent="0.25">
      <c r="A11" s="3">
        <v>8</v>
      </c>
      <c r="C11" s="3" t="s">
        <v>50</v>
      </c>
      <c r="D11" s="3">
        <v>41.8</v>
      </c>
      <c r="E11" s="3">
        <v>300</v>
      </c>
      <c r="F11" s="3">
        <v>300</v>
      </c>
      <c r="G11" s="3">
        <v>245</v>
      </c>
      <c r="H11" s="3">
        <v>300</v>
      </c>
      <c r="I11" s="3">
        <v>0</v>
      </c>
      <c r="J11" s="3" t="s">
        <v>36</v>
      </c>
      <c r="K11" s="3">
        <v>1000</v>
      </c>
      <c r="L11" s="19">
        <f>K11/G11</f>
        <v>4.0816326530612246</v>
      </c>
      <c r="M11" s="3" t="s">
        <v>46</v>
      </c>
      <c r="N11" s="3">
        <v>0</v>
      </c>
      <c r="S11" s="3" t="s">
        <v>52</v>
      </c>
      <c r="T11" s="3" t="s">
        <v>53</v>
      </c>
      <c r="U11" s="3" t="s">
        <v>44</v>
      </c>
      <c r="V11" s="3">
        <v>120000</v>
      </c>
      <c r="W11" s="3">
        <v>0.28599999999999998</v>
      </c>
      <c r="X11" s="3">
        <v>2000</v>
      </c>
      <c r="Y11" s="3">
        <v>1</v>
      </c>
      <c r="Z11" s="3">
        <v>1</v>
      </c>
      <c r="AA11" s="3">
        <f>0.9*G11-(F11-H11)-I11</f>
        <v>220.5</v>
      </c>
      <c r="AB11" s="3">
        <v>90</v>
      </c>
      <c r="AC11" s="3">
        <v>45</v>
      </c>
      <c r="AD11" s="3">
        <f>400/2</f>
        <v>200</v>
      </c>
      <c r="AE11" s="3">
        <f>88/2</f>
        <v>44</v>
      </c>
    </row>
    <row r="12" spans="1:31" x14ac:dyDescent="0.25">
      <c r="A12" s="3">
        <v>9</v>
      </c>
      <c r="C12" s="3" t="s">
        <v>51</v>
      </c>
      <c r="D12" s="3">
        <v>43.9</v>
      </c>
      <c r="E12" s="3">
        <v>300</v>
      </c>
      <c r="F12" s="3">
        <v>300</v>
      </c>
      <c r="G12" s="3">
        <v>245</v>
      </c>
      <c r="H12" s="3">
        <v>300</v>
      </c>
      <c r="I12" s="3">
        <v>0</v>
      </c>
      <c r="J12" s="3" t="s">
        <v>36</v>
      </c>
      <c r="K12" s="3">
        <v>1000</v>
      </c>
      <c r="L12" s="19">
        <f>K12/G12</f>
        <v>4.0816326530612246</v>
      </c>
      <c r="M12" s="3" t="s">
        <v>46</v>
      </c>
      <c r="N12" s="3">
        <v>0</v>
      </c>
      <c r="S12" s="3" t="s">
        <v>52</v>
      </c>
      <c r="T12" s="3" t="s">
        <v>53</v>
      </c>
      <c r="U12" s="3" t="s">
        <v>44</v>
      </c>
      <c r="V12" s="3">
        <v>120000</v>
      </c>
      <c r="W12" s="3">
        <v>0.28599999999999998</v>
      </c>
      <c r="X12" s="3">
        <v>2000</v>
      </c>
      <c r="Y12" s="3">
        <v>1</v>
      </c>
      <c r="Z12" s="3">
        <v>1</v>
      </c>
      <c r="AA12" s="3">
        <f>0.9*G12-(F12-H12)-I12</f>
        <v>220.5</v>
      </c>
      <c r="AB12" s="3">
        <v>90</v>
      </c>
      <c r="AC12" s="3">
        <v>45</v>
      </c>
      <c r="AD12" s="3">
        <f>490/2</f>
        <v>245</v>
      </c>
      <c r="AE12" s="3">
        <f>133/2</f>
        <v>66.5</v>
      </c>
    </row>
    <row r="13" spans="1:31" x14ac:dyDescent="0.25">
      <c r="A13" s="3">
        <v>10</v>
      </c>
      <c r="C13" s="3" t="s">
        <v>55</v>
      </c>
      <c r="D13" s="3">
        <v>43.5</v>
      </c>
      <c r="E13" s="3">
        <v>300</v>
      </c>
      <c r="F13" s="3">
        <v>300</v>
      </c>
      <c r="G13" s="3">
        <v>245</v>
      </c>
      <c r="H13" s="3">
        <v>300</v>
      </c>
      <c r="I13" s="3">
        <v>0</v>
      </c>
      <c r="J13" s="3" t="s">
        <v>36</v>
      </c>
      <c r="K13" s="3">
        <v>1000</v>
      </c>
      <c r="L13" s="19">
        <f>K13/G13</f>
        <v>4.0816326530612246</v>
      </c>
      <c r="M13" s="3" t="s">
        <v>46</v>
      </c>
      <c r="N13" s="3">
        <v>0</v>
      </c>
      <c r="S13" s="3" t="s">
        <v>52</v>
      </c>
      <c r="T13" s="3" t="s">
        <v>53</v>
      </c>
      <c r="U13" s="3" t="s">
        <v>44</v>
      </c>
      <c r="V13" s="3">
        <v>120000</v>
      </c>
      <c r="W13" s="3">
        <v>0.28599999999999998</v>
      </c>
      <c r="X13" s="3">
        <v>2000</v>
      </c>
      <c r="Y13" s="3">
        <v>1</v>
      </c>
      <c r="Z13" s="3">
        <v>1</v>
      </c>
      <c r="AA13" s="3">
        <f>0.9*G13-(F13-H13)-I13</f>
        <v>220.5</v>
      </c>
      <c r="AB13" s="3">
        <v>90</v>
      </c>
      <c r="AC13" s="3">
        <v>45</v>
      </c>
      <c r="AD13" s="3">
        <f>488/2</f>
        <v>244</v>
      </c>
      <c r="AE13" s="3">
        <f>132/2</f>
        <v>66</v>
      </c>
    </row>
    <row r="14" spans="1:31" x14ac:dyDescent="0.25">
      <c r="A14" s="17">
        <v>11</v>
      </c>
      <c r="B14" s="17"/>
      <c r="C14" s="17" t="s">
        <v>56</v>
      </c>
      <c r="D14" s="3">
        <v>30.5</v>
      </c>
      <c r="E14" s="3">
        <v>150</v>
      </c>
      <c r="F14" s="3">
        <v>250</v>
      </c>
      <c r="G14" s="3">
        <v>222.5</v>
      </c>
      <c r="H14" s="3">
        <v>250</v>
      </c>
      <c r="I14" s="3">
        <v>0</v>
      </c>
      <c r="J14" s="3" t="s">
        <v>36</v>
      </c>
      <c r="K14" s="3">
        <f>L14*G14</f>
        <v>600.75</v>
      </c>
      <c r="L14" s="19">
        <v>2.7</v>
      </c>
      <c r="M14" s="3" t="s">
        <v>42</v>
      </c>
      <c r="N14" s="3">
        <v>6</v>
      </c>
      <c r="O14" s="3">
        <v>200</v>
      </c>
      <c r="P14" s="18">
        <v>200000</v>
      </c>
      <c r="Q14" s="3">
        <v>228</v>
      </c>
      <c r="R14" s="3">
        <f t="shared" ref="R14:R16" si="6">100*2*3.1416*N14^2/4/O14/E14</f>
        <v>0.18849599999999997</v>
      </c>
      <c r="S14" s="3" t="s">
        <v>43</v>
      </c>
      <c r="T14" s="3" t="s">
        <v>45</v>
      </c>
      <c r="U14" s="3" t="s">
        <v>44</v>
      </c>
      <c r="V14" s="3">
        <v>249000</v>
      </c>
      <c r="W14" s="3">
        <v>0.16700000000000001</v>
      </c>
      <c r="X14" s="3">
        <v>3635</v>
      </c>
      <c r="Y14" s="3">
        <v>30</v>
      </c>
      <c r="Z14" s="3">
        <v>100</v>
      </c>
      <c r="AA14" s="3">
        <f>0.9*G14-(F14-H14)-I14</f>
        <v>200.25</v>
      </c>
      <c r="AB14" s="3">
        <v>90</v>
      </c>
      <c r="AC14" s="3">
        <v>39.6</v>
      </c>
      <c r="AD14" s="18">
        <v>185</v>
      </c>
      <c r="AE14" s="18">
        <v>29</v>
      </c>
    </row>
    <row r="15" spans="1:31" x14ac:dyDescent="0.25">
      <c r="A15" s="17">
        <v>12</v>
      </c>
      <c r="B15" s="17"/>
      <c r="C15" s="17" t="s">
        <v>57</v>
      </c>
      <c r="D15" s="3">
        <v>30.5</v>
      </c>
      <c r="E15" s="3">
        <v>150</v>
      </c>
      <c r="F15" s="3">
        <v>250</v>
      </c>
      <c r="G15" s="3">
        <v>222.5</v>
      </c>
      <c r="H15" s="3">
        <v>250</v>
      </c>
      <c r="I15" s="3">
        <v>0</v>
      </c>
      <c r="J15" s="3" t="s">
        <v>36</v>
      </c>
      <c r="K15" s="3">
        <f t="shared" ref="K15:K22" si="7">L15*G15</f>
        <v>600.75</v>
      </c>
      <c r="L15" s="19">
        <v>2.7</v>
      </c>
      <c r="M15" s="3" t="s">
        <v>42</v>
      </c>
      <c r="N15" s="3">
        <v>6</v>
      </c>
      <c r="O15" s="3">
        <v>200</v>
      </c>
      <c r="P15" s="18">
        <v>200000</v>
      </c>
      <c r="Q15" s="3">
        <v>228</v>
      </c>
      <c r="R15" s="3">
        <f t="shared" si="6"/>
        <v>0.18849599999999997</v>
      </c>
      <c r="S15" s="3" t="s">
        <v>43</v>
      </c>
      <c r="T15" s="3" t="s">
        <v>45</v>
      </c>
      <c r="U15" s="3" t="s">
        <v>44</v>
      </c>
      <c r="V15" s="3">
        <v>249000</v>
      </c>
      <c r="W15" s="3">
        <v>0.16700000000000001</v>
      </c>
      <c r="X15" s="3">
        <v>3635</v>
      </c>
      <c r="Y15" s="3">
        <v>30</v>
      </c>
      <c r="Z15" s="3">
        <v>150</v>
      </c>
      <c r="AA15" s="3">
        <f t="shared" ref="AA15:AA24" si="8">0.9*G15-(F15-H15)-I15</f>
        <v>200.25</v>
      </c>
      <c r="AB15" s="3">
        <v>90</v>
      </c>
      <c r="AC15" s="3">
        <v>38</v>
      </c>
      <c r="AD15" s="18">
        <v>187</v>
      </c>
      <c r="AE15" s="18">
        <v>21</v>
      </c>
    </row>
    <row r="16" spans="1:31" x14ac:dyDescent="0.25">
      <c r="A16" s="17">
        <v>13</v>
      </c>
      <c r="B16" s="17"/>
      <c r="C16" s="17" t="s">
        <v>58</v>
      </c>
      <c r="D16" s="3">
        <v>30.5</v>
      </c>
      <c r="E16" s="3">
        <v>150</v>
      </c>
      <c r="F16" s="3">
        <v>250</v>
      </c>
      <c r="G16" s="3">
        <v>222.5</v>
      </c>
      <c r="H16" s="3">
        <v>250</v>
      </c>
      <c r="I16" s="3">
        <v>0</v>
      </c>
      <c r="J16" s="3" t="s">
        <v>36</v>
      </c>
      <c r="K16" s="3">
        <f t="shared" si="7"/>
        <v>400.5</v>
      </c>
      <c r="L16" s="19">
        <v>1.8</v>
      </c>
      <c r="M16" s="3" t="s">
        <v>42</v>
      </c>
      <c r="N16" s="3">
        <v>6</v>
      </c>
      <c r="O16" s="3">
        <v>200</v>
      </c>
      <c r="P16" s="18">
        <v>200000</v>
      </c>
      <c r="Q16" s="3">
        <v>228</v>
      </c>
      <c r="R16" s="3">
        <f t="shared" si="6"/>
        <v>0.18849599999999997</v>
      </c>
      <c r="S16" s="3" t="s">
        <v>43</v>
      </c>
      <c r="T16" s="3" t="s">
        <v>45</v>
      </c>
      <c r="U16" s="3" t="s">
        <v>44</v>
      </c>
      <c r="V16" s="3">
        <v>249000</v>
      </c>
      <c r="W16" s="3">
        <v>0.16700000000000001</v>
      </c>
      <c r="X16" s="3">
        <v>3635</v>
      </c>
      <c r="Y16" s="3">
        <v>30</v>
      </c>
      <c r="Z16" s="3">
        <v>100</v>
      </c>
      <c r="AA16" s="3">
        <f t="shared" si="8"/>
        <v>200.25</v>
      </c>
      <c r="AB16" s="3">
        <v>90</v>
      </c>
      <c r="AC16" s="3">
        <v>40.6</v>
      </c>
      <c r="AD16" s="18">
        <v>227</v>
      </c>
      <c r="AE16" s="18">
        <v>25</v>
      </c>
    </row>
    <row r="17" spans="1:32" x14ac:dyDescent="0.25">
      <c r="A17" s="17">
        <v>14</v>
      </c>
      <c r="B17" s="17"/>
      <c r="C17" s="17" t="s">
        <v>59</v>
      </c>
      <c r="D17" s="3">
        <v>30</v>
      </c>
      <c r="E17" s="3">
        <v>150</v>
      </c>
      <c r="F17" s="3">
        <v>250</v>
      </c>
      <c r="G17" s="3">
        <v>222.5</v>
      </c>
      <c r="H17" s="3">
        <v>250</v>
      </c>
      <c r="I17" s="3">
        <v>0</v>
      </c>
      <c r="J17" s="3" t="s">
        <v>36</v>
      </c>
      <c r="K17" s="3">
        <f t="shared" si="7"/>
        <v>549.57500000000005</v>
      </c>
      <c r="L17" s="19">
        <v>2.4700000000000002</v>
      </c>
      <c r="M17" s="3" t="s">
        <v>46</v>
      </c>
      <c r="N17" s="3">
        <v>0</v>
      </c>
      <c r="S17" s="3" t="s">
        <v>61</v>
      </c>
      <c r="T17" s="3" t="s">
        <v>45</v>
      </c>
      <c r="U17" s="3" t="s">
        <v>44</v>
      </c>
      <c r="V17" s="3">
        <v>20500</v>
      </c>
      <c r="W17" s="3">
        <v>1.27</v>
      </c>
      <c r="X17" s="3">
        <v>260</v>
      </c>
      <c r="Y17" s="3">
        <v>20</v>
      </c>
      <c r="Z17" s="3">
        <v>40</v>
      </c>
      <c r="AA17" s="3">
        <f t="shared" si="8"/>
        <v>200.25</v>
      </c>
      <c r="AB17" s="3">
        <v>90</v>
      </c>
      <c r="AC17" s="3">
        <v>29.1</v>
      </c>
      <c r="AD17" s="18">
        <v>136</v>
      </c>
      <c r="AE17" s="18">
        <v>54</v>
      </c>
    </row>
    <row r="18" spans="1:32" x14ac:dyDescent="0.25">
      <c r="A18" s="17">
        <v>15</v>
      </c>
      <c r="B18" s="17" t="s">
        <v>62</v>
      </c>
      <c r="C18" s="17" t="s">
        <v>60</v>
      </c>
      <c r="D18" s="3">
        <v>30</v>
      </c>
      <c r="E18" s="3">
        <v>150</v>
      </c>
      <c r="F18" s="3">
        <v>250</v>
      </c>
      <c r="G18" s="3">
        <v>222.5</v>
      </c>
      <c r="H18" s="3">
        <v>250</v>
      </c>
      <c r="I18" s="3">
        <v>0</v>
      </c>
      <c r="J18" s="3" t="s">
        <v>36</v>
      </c>
      <c r="K18" s="3">
        <f t="shared" si="7"/>
        <v>549.57500000000005</v>
      </c>
      <c r="L18" s="19">
        <v>2.4700000000000002</v>
      </c>
      <c r="M18" s="3" t="s">
        <v>46</v>
      </c>
      <c r="N18" s="3">
        <v>0</v>
      </c>
      <c r="S18" s="3" t="s">
        <v>61</v>
      </c>
      <c r="T18" s="3" t="s">
        <v>45</v>
      </c>
      <c r="U18" s="3" t="s">
        <v>44</v>
      </c>
      <c r="V18" s="3">
        <v>20500</v>
      </c>
      <c r="W18" s="3">
        <v>1.27</v>
      </c>
      <c r="X18" s="3">
        <v>260</v>
      </c>
      <c r="Y18" s="3">
        <v>20</v>
      </c>
      <c r="Z18" s="3">
        <v>80</v>
      </c>
      <c r="AA18" s="3">
        <f t="shared" si="8"/>
        <v>200.25</v>
      </c>
      <c r="AB18" s="3">
        <v>90</v>
      </c>
      <c r="AC18" s="3">
        <v>33.700000000000003</v>
      </c>
      <c r="AD18" s="18">
        <v>121</v>
      </c>
      <c r="AE18" s="18">
        <v>38</v>
      </c>
    </row>
    <row r="19" spans="1:32" x14ac:dyDescent="0.25">
      <c r="A19" s="17">
        <v>16</v>
      </c>
      <c r="B19" s="17"/>
      <c r="C19" s="17" t="s">
        <v>63</v>
      </c>
      <c r="D19" s="3">
        <v>17.8</v>
      </c>
      <c r="E19" s="3">
        <v>150</v>
      </c>
      <c r="F19" s="3">
        <v>250</v>
      </c>
      <c r="G19" s="3">
        <v>222.5</v>
      </c>
      <c r="H19" s="3">
        <v>250</v>
      </c>
      <c r="I19" s="3">
        <v>0</v>
      </c>
      <c r="J19" s="3" t="s">
        <v>36</v>
      </c>
      <c r="K19" s="3">
        <f t="shared" si="7"/>
        <v>649.69999999999993</v>
      </c>
      <c r="L19" s="19">
        <v>2.92</v>
      </c>
      <c r="M19" s="3" t="s">
        <v>46</v>
      </c>
      <c r="N19" s="3">
        <v>0</v>
      </c>
      <c r="S19" s="3" t="s">
        <v>61</v>
      </c>
      <c r="T19" s="3" t="s">
        <v>45</v>
      </c>
      <c r="U19" s="3" t="s">
        <v>44</v>
      </c>
      <c r="V19" s="3">
        <v>5300</v>
      </c>
      <c r="W19" s="3">
        <v>1.2</v>
      </c>
      <c r="X19" s="3">
        <v>112</v>
      </c>
      <c r="Y19" s="3">
        <v>25</v>
      </c>
      <c r="Z19" s="3">
        <v>50</v>
      </c>
      <c r="AA19" s="3">
        <f t="shared" si="8"/>
        <v>200.25</v>
      </c>
      <c r="AB19" s="3">
        <v>90</v>
      </c>
      <c r="AC19" s="3">
        <v>26.1</v>
      </c>
      <c r="AD19" s="18">
        <v>104</v>
      </c>
      <c r="AE19" s="18">
        <v>26</v>
      </c>
    </row>
    <row r="20" spans="1:32" x14ac:dyDescent="0.25">
      <c r="A20" s="17">
        <v>17</v>
      </c>
      <c r="B20" s="17"/>
      <c r="C20" s="17" t="s">
        <v>64</v>
      </c>
      <c r="D20" s="3">
        <v>17.8</v>
      </c>
      <c r="E20" s="3">
        <v>150</v>
      </c>
      <c r="F20" s="3">
        <v>250</v>
      </c>
      <c r="G20" s="3">
        <v>222.5</v>
      </c>
      <c r="H20" s="3">
        <v>250</v>
      </c>
      <c r="I20" s="3">
        <v>0</v>
      </c>
      <c r="J20" s="3" t="s">
        <v>36</v>
      </c>
      <c r="K20" s="3">
        <f t="shared" si="7"/>
        <v>649.69999999999993</v>
      </c>
      <c r="L20" s="19">
        <v>2.92</v>
      </c>
      <c r="M20" s="3" t="s">
        <v>46</v>
      </c>
      <c r="N20" s="3">
        <v>0</v>
      </c>
      <c r="S20" s="3" t="s">
        <v>61</v>
      </c>
      <c r="T20" s="3" t="s">
        <v>45</v>
      </c>
      <c r="U20" s="3" t="s">
        <v>44</v>
      </c>
      <c r="V20" s="3">
        <v>5300</v>
      </c>
      <c r="W20" s="3">
        <v>1.2</v>
      </c>
      <c r="X20" s="3">
        <v>112</v>
      </c>
      <c r="Y20" s="3">
        <v>25</v>
      </c>
      <c r="Z20" s="3">
        <v>100</v>
      </c>
      <c r="AA20" s="3">
        <f t="shared" si="8"/>
        <v>200.25</v>
      </c>
      <c r="AB20" s="3">
        <v>90</v>
      </c>
      <c r="AC20" s="3">
        <v>23.3</v>
      </c>
      <c r="AD20" s="18">
        <v>99</v>
      </c>
      <c r="AE20" s="18">
        <v>9</v>
      </c>
    </row>
    <row r="21" spans="1:32" x14ac:dyDescent="0.25">
      <c r="A21" s="17">
        <v>18</v>
      </c>
      <c r="B21" s="17"/>
      <c r="C21" s="17" t="s">
        <v>65</v>
      </c>
      <c r="D21" s="3">
        <v>17.8</v>
      </c>
      <c r="E21" s="3">
        <v>150</v>
      </c>
      <c r="F21" s="3">
        <v>250</v>
      </c>
      <c r="G21" s="3">
        <v>222.5</v>
      </c>
      <c r="H21" s="3">
        <v>250</v>
      </c>
      <c r="I21" s="3">
        <v>0</v>
      </c>
      <c r="J21" s="3" t="s">
        <v>36</v>
      </c>
      <c r="K21" s="3">
        <f t="shared" si="7"/>
        <v>400.5</v>
      </c>
      <c r="L21" s="19">
        <v>1.8</v>
      </c>
      <c r="M21" s="3" t="s">
        <v>46</v>
      </c>
      <c r="N21" s="3">
        <v>0</v>
      </c>
      <c r="S21" s="3" t="s">
        <v>61</v>
      </c>
      <c r="T21" s="3" t="s">
        <v>45</v>
      </c>
      <c r="U21" s="3" t="s">
        <v>44</v>
      </c>
      <c r="V21" s="3">
        <v>5300</v>
      </c>
      <c r="W21" s="3">
        <v>1.2</v>
      </c>
      <c r="X21" s="3">
        <v>112</v>
      </c>
      <c r="Y21" s="3">
        <v>25</v>
      </c>
      <c r="Z21" s="3">
        <v>50</v>
      </c>
      <c r="AA21" s="3">
        <f t="shared" si="8"/>
        <v>200.25</v>
      </c>
      <c r="AB21" s="3">
        <v>90</v>
      </c>
      <c r="AC21" s="3">
        <v>43.3</v>
      </c>
      <c r="AD21" s="18">
        <v>162</v>
      </c>
      <c r="AE21" s="18">
        <v>15</v>
      </c>
    </row>
    <row r="22" spans="1:32" x14ac:dyDescent="0.25">
      <c r="A22" s="17">
        <v>19</v>
      </c>
      <c r="B22" s="17"/>
      <c r="C22" s="17" t="s">
        <v>66</v>
      </c>
      <c r="D22" s="3">
        <v>17.8</v>
      </c>
      <c r="E22" s="3">
        <v>150</v>
      </c>
      <c r="F22" s="3">
        <v>250</v>
      </c>
      <c r="G22" s="3">
        <v>222.5</v>
      </c>
      <c r="H22" s="3">
        <v>250</v>
      </c>
      <c r="I22" s="3">
        <v>0</v>
      </c>
      <c r="J22" s="3" t="s">
        <v>36</v>
      </c>
      <c r="K22" s="3">
        <f t="shared" si="7"/>
        <v>400.5</v>
      </c>
      <c r="L22" s="19">
        <v>1.8</v>
      </c>
      <c r="M22" s="3" t="s">
        <v>46</v>
      </c>
      <c r="N22" s="3">
        <v>0</v>
      </c>
      <c r="S22" s="3" t="s">
        <v>61</v>
      </c>
      <c r="T22" s="3" t="s">
        <v>45</v>
      </c>
      <c r="U22" s="3" t="s">
        <v>44</v>
      </c>
      <c r="V22" s="3">
        <v>5300</v>
      </c>
      <c r="W22" s="3">
        <v>1.2</v>
      </c>
      <c r="X22" s="3">
        <v>112</v>
      </c>
      <c r="Y22" s="3">
        <v>25</v>
      </c>
      <c r="Z22" s="3">
        <v>100</v>
      </c>
      <c r="AA22" s="3">
        <f t="shared" si="8"/>
        <v>200.25</v>
      </c>
      <c r="AB22" s="3">
        <v>90</v>
      </c>
      <c r="AC22" s="3">
        <v>36.700000000000003</v>
      </c>
      <c r="AD22" s="18">
        <v>150</v>
      </c>
      <c r="AE22" s="18">
        <v>20</v>
      </c>
    </row>
    <row r="23" spans="1:32" x14ac:dyDescent="0.25">
      <c r="A23" s="3">
        <v>20</v>
      </c>
      <c r="C23" s="18" t="s">
        <v>67</v>
      </c>
      <c r="D23" s="3">
        <v>46</v>
      </c>
      <c r="E23" s="3">
        <v>180</v>
      </c>
      <c r="F23" s="3">
        <v>500</v>
      </c>
      <c r="G23" s="3">
        <f>F23-84</f>
        <v>416</v>
      </c>
      <c r="H23" s="3">
        <v>500</v>
      </c>
      <c r="I23" s="3">
        <v>0</v>
      </c>
      <c r="J23" s="3" t="s">
        <v>36</v>
      </c>
      <c r="K23" s="3">
        <v>1250</v>
      </c>
      <c r="L23" s="19">
        <f t="shared" ref="L23" si="9">K23/G23</f>
        <v>3.0048076923076925</v>
      </c>
      <c r="M23" s="3" t="s">
        <v>46</v>
      </c>
      <c r="N23" s="3">
        <v>0</v>
      </c>
      <c r="S23" s="3" t="s">
        <v>43</v>
      </c>
      <c r="T23" s="3" t="s">
        <v>53</v>
      </c>
      <c r="U23" s="3" t="s">
        <v>44</v>
      </c>
      <c r="V23" s="3">
        <v>234000</v>
      </c>
      <c r="W23" s="18">
        <f>200/1100</f>
        <v>0.18181818181818182</v>
      </c>
      <c r="X23" s="3">
        <v>4500</v>
      </c>
      <c r="Y23" s="3">
        <v>1</v>
      </c>
      <c r="Z23" s="3">
        <f>Y23/SIN(AB23/180*PI())</f>
        <v>1.4142135623730951</v>
      </c>
      <c r="AA23" s="3">
        <f t="shared" si="8"/>
        <v>374.40000000000003</v>
      </c>
      <c r="AB23" s="3">
        <v>45</v>
      </c>
      <c r="AC23" s="3">
        <v>30</v>
      </c>
      <c r="AD23" s="3">
        <v>338</v>
      </c>
      <c r="AE23" s="3" t="s">
        <v>46</v>
      </c>
      <c r="AF23" s="20" t="s">
        <v>68</v>
      </c>
    </row>
    <row r="24" spans="1:32" x14ac:dyDescent="0.25">
      <c r="A24" s="3">
        <v>21</v>
      </c>
      <c r="B24" s="3" t="s">
        <v>71</v>
      </c>
      <c r="C24" s="3" t="s">
        <v>69</v>
      </c>
      <c r="D24" s="3">
        <v>52</v>
      </c>
      <c r="E24" s="3">
        <v>180</v>
      </c>
      <c r="F24" s="3">
        <v>500</v>
      </c>
      <c r="G24" s="3">
        <f>F24-84</f>
        <v>416</v>
      </c>
      <c r="H24" s="3">
        <v>500</v>
      </c>
      <c r="I24" s="3">
        <v>0</v>
      </c>
      <c r="J24" s="3" t="s">
        <v>36</v>
      </c>
      <c r="K24" s="3">
        <v>1250</v>
      </c>
      <c r="L24" s="19">
        <f t="shared" ref="L24" si="10">K24/G24</f>
        <v>3.0048076923076925</v>
      </c>
      <c r="M24" s="3" t="s">
        <v>46</v>
      </c>
      <c r="N24" s="3">
        <v>0</v>
      </c>
      <c r="S24" s="3" t="s">
        <v>43</v>
      </c>
      <c r="T24" s="3" t="s">
        <v>53</v>
      </c>
      <c r="U24" s="3" t="s">
        <v>44</v>
      </c>
      <c r="V24" s="3">
        <v>234000</v>
      </c>
      <c r="W24" s="18">
        <f t="shared" ref="W24:W25" si="11">200/1100</f>
        <v>0.18181818181818182</v>
      </c>
      <c r="X24" s="3">
        <v>4500</v>
      </c>
      <c r="Y24" s="3">
        <v>1</v>
      </c>
      <c r="Z24" s="3">
        <f>Y24/SIN(AB24/180*PI())</f>
        <v>1</v>
      </c>
      <c r="AA24" s="3">
        <f t="shared" si="8"/>
        <v>374.40000000000003</v>
      </c>
      <c r="AB24" s="3">
        <v>90</v>
      </c>
      <c r="AC24" s="3">
        <v>30</v>
      </c>
      <c r="AD24" s="3">
        <v>367</v>
      </c>
      <c r="AE24" s="3" t="s">
        <v>46</v>
      </c>
    </row>
    <row r="25" spans="1:32" x14ac:dyDescent="0.25">
      <c r="A25" s="3">
        <v>22</v>
      </c>
      <c r="C25" s="18" t="s">
        <v>70</v>
      </c>
      <c r="D25" s="3">
        <v>46</v>
      </c>
      <c r="E25" s="3">
        <v>180</v>
      </c>
      <c r="F25" s="3">
        <v>500</v>
      </c>
      <c r="G25" s="3">
        <f>F25-84</f>
        <v>416</v>
      </c>
      <c r="H25" s="3">
        <v>500</v>
      </c>
      <c r="I25" s="3">
        <v>0</v>
      </c>
      <c r="J25" s="3" t="s">
        <v>36</v>
      </c>
      <c r="K25" s="3">
        <v>1250</v>
      </c>
      <c r="L25" s="19">
        <f t="shared" ref="L25:L27" si="12">K25/G25</f>
        <v>3.0048076923076925</v>
      </c>
      <c r="M25" s="3" t="s">
        <v>46</v>
      </c>
      <c r="N25" s="3">
        <v>0</v>
      </c>
      <c r="S25" s="3" t="s">
        <v>43</v>
      </c>
      <c r="T25" s="3" t="s">
        <v>53</v>
      </c>
      <c r="U25" s="3" t="s">
        <v>44</v>
      </c>
      <c r="V25" s="3">
        <v>23400</v>
      </c>
      <c r="W25" s="18">
        <f t="shared" si="11"/>
        <v>0.18181818181818182</v>
      </c>
      <c r="X25" s="3">
        <v>4500</v>
      </c>
      <c r="Y25" s="3">
        <v>1</v>
      </c>
      <c r="Z25" s="3">
        <f>Y25/SIN(AB25/180*PI())</f>
        <v>1</v>
      </c>
      <c r="AA25" s="3">
        <f t="shared" ref="AA25:AA27" si="13">0.9*G25-(F25-H25)-I25</f>
        <v>374.40000000000003</v>
      </c>
      <c r="AB25" s="3">
        <v>90</v>
      </c>
      <c r="AC25" s="3">
        <v>30</v>
      </c>
      <c r="AD25" s="3">
        <v>388</v>
      </c>
      <c r="AE25" s="3" t="s">
        <v>46</v>
      </c>
      <c r="AF25" s="20" t="s">
        <v>68</v>
      </c>
    </row>
    <row r="26" spans="1:32" x14ac:dyDescent="0.25">
      <c r="A26" s="17">
        <v>23</v>
      </c>
      <c r="B26" s="17" t="s">
        <v>72</v>
      </c>
      <c r="C26" s="17" t="s">
        <v>73</v>
      </c>
      <c r="D26" s="3">
        <v>13.3</v>
      </c>
      <c r="E26" s="3">
        <v>250</v>
      </c>
      <c r="F26" s="3">
        <v>450</v>
      </c>
      <c r="G26" s="18">
        <v>400</v>
      </c>
      <c r="H26" s="3">
        <v>450</v>
      </c>
      <c r="I26" s="3">
        <v>0</v>
      </c>
      <c r="J26" s="3" t="s">
        <v>36</v>
      </c>
      <c r="K26" s="3">
        <v>1400</v>
      </c>
      <c r="L26" s="19">
        <f t="shared" si="12"/>
        <v>3.5</v>
      </c>
      <c r="M26" s="3" t="s">
        <v>18</v>
      </c>
      <c r="N26" s="3">
        <v>8</v>
      </c>
      <c r="O26" s="3">
        <v>400</v>
      </c>
      <c r="P26" s="18">
        <v>200000</v>
      </c>
      <c r="Q26" s="3">
        <v>500</v>
      </c>
      <c r="R26" s="3">
        <f t="shared" ref="R26:R27" si="14">100*2*3.1416*N26^2/4/O26/E26</f>
        <v>0.10053119999999999</v>
      </c>
      <c r="S26" s="3" t="s">
        <v>43</v>
      </c>
      <c r="T26" s="3" t="s">
        <v>45</v>
      </c>
      <c r="U26" s="3" t="s">
        <v>44</v>
      </c>
      <c r="V26" s="3">
        <v>390000</v>
      </c>
      <c r="W26" s="3">
        <v>0.22</v>
      </c>
      <c r="X26" s="3">
        <v>3000</v>
      </c>
      <c r="Y26" s="3">
        <v>50</v>
      </c>
      <c r="Z26" s="3">
        <v>100</v>
      </c>
      <c r="AA26" s="3">
        <f t="shared" si="13"/>
        <v>360</v>
      </c>
      <c r="AB26" s="3">
        <v>90</v>
      </c>
      <c r="AC26" s="3">
        <v>45</v>
      </c>
      <c r="AD26" s="3">
        <v>158.5</v>
      </c>
      <c r="AE26" s="3" t="s">
        <v>46</v>
      </c>
    </row>
    <row r="27" spans="1:32" x14ac:dyDescent="0.25">
      <c r="A27" s="3">
        <v>24</v>
      </c>
      <c r="C27" s="3" t="s">
        <v>74</v>
      </c>
      <c r="D27" s="3">
        <v>30.9</v>
      </c>
      <c r="E27" s="3">
        <v>76</v>
      </c>
      <c r="F27" s="3">
        <v>180</v>
      </c>
      <c r="G27" s="3">
        <v>155</v>
      </c>
      <c r="H27" s="3">
        <v>180</v>
      </c>
      <c r="I27" s="3">
        <v>0</v>
      </c>
      <c r="J27" s="3" t="s">
        <v>36</v>
      </c>
      <c r="K27" s="3">
        <v>450</v>
      </c>
      <c r="L27" s="19">
        <f t="shared" si="12"/>
        <v>2.903225806451613</v>
      </c>
      <c r="M27" s="3" t="s">
        <v>42</v>
      </c>
      <c r="N27" s="3">
        <v>4</v>
      </c>
      <c r="O27" s="3">
        <v>120</v>
      </c>
      <c r="P27" s="18">
        <v>200000</v>
      </c>
      <c r="Q27" s="18">
        <v>500</v>
      </c>
      <c r="R27" s="3">
        <f t="shared" si="14"/>
        <v>0.27557894736842103</v>
      </c>
      <c r="S27" s="3" t="s">
        <v>43</v>
      </c>
      <c r="T27" s="3" t="s">
        <v>45</v>
      </c>
      <c r="U27" s="3" t="s">
        <v>44</v>
      </c>
      <c r="V27" s="3">
        <v>235000</v>
      </c>
      <c r="W27" s="3">
        <v>0.11</v>
      </c>
      <c r="X27" s="3">
        <v>4200</v>
      </c>
      <c r="Y27" s="3">
        <v>20</v>
      </c>
      <c r="Z27" s="3">
        <v>60</v>
      </c>
      <c r="AA27" s="3">
        <f t="shared" si="13"/>
        <v>139.5</v>
      </c>
      <c r="AB27" s="3">
        <v>90</v>
      </c>
      <c r="AC27" s="3">
        <v>45</v>
      </c>
      <c r="AD27" s="3">
        <f>132.2/2</f>
        <v>66.099999999999994</v>
      </c>
      <c r="AE27" s="3">
        <f>50.7/2</f>
        <v>25.35</v>
      </c>
    </row>
    <row r="28" spans="1:32" x14ac:dyDescent="0.25">
      <c r="A28" s="3">
        <v>25</v>
      </c>
      <c r="C28" s="3" t="s">
        <v>75</v>
      </c>
      <c r="D28" s="3">
        <v>30.9</v>
      </c>
      <c r="E28" s="3">
        <v>76</v>
      </c>
      <c r="F28" s="3">
        <v>180</v>
      </c>
      <c r="G28" s="3">
        <v>155</v>
      </c>
      <c r="H28" s="3">
        <v>180</v>
      </c>
      <c r="I28" s="3">
        <v>0</v>
      </c>
      <c r="J28" s="3" t="s">
        <v>36</v>
      </c>
      <c r="K28" s="3">
        <v>450</v>
      </c>
      <c r="L28" s="19">
        <f t="shared" ref="L28:L29" si="15">K28/G28</f>
        <v>2.903225806451613</v>
      </c>
      <c r="M28" s="3" t="s">
        <v>42</v>
      </c>
      <c r="N28" s="3">
        <v>4</v>
      </c>
      <c r="O28" s="3">
        <v>120</v>
      </c>
      <c r="P28" s="18">
        <v>200000</v>
      </c>
      <c r="Q28" s="18">
        <v>500</v>
      </c>
      <c r="R28" s="3">
        <f t="shared" ref="R28:R29" si="16">100*2*3.1416*N28^2/4/O28/E28</f>
        <v>0.27557894736842103</v>
      </c>
      <c r="S28" s="3" t="s">
        <v>43</v>
      </c>
      <c r="T28" s="3" t="s">
        <v>45</v>
      </c>
      <c r="U28" s="3" t="s">
        <v>44</v>
      </c>
      <c r="V28" s="3">
        <v>235000</v>
      </c>
      <c r="W28" s="3">
        <v>0.11</v>
      </c>
      <c r="X28" s="3">
        <v>4200</v>
      </c>
      <c r="Y28" s="3">
        <v>20</v>
      </c>
      <c r="Z28" s="3">
        <v>60</v>
      </c>
      <c r="AA28" s="3">
        <f t="shared" ref="AA28:AA29" si="17">0.9*G28-(F28-H28)-I28</f>
        <v>139.5</v>
      </c>
      <c r="AB28" s="3">
        <v>90</v>
      </c>
      <c r="AC28" s="3">
        <v>45</v>
      </c>
      <c r="AD28" s="3">
        <f>133.3/2</f>
        <v>66.650000000000006</v>
      </c>
      <c r="AE28" s="3">
        <f>51.8/2</f>
        <v>25.9</v>
      </c>
    </row>
    <row r="29" spans="1:32" x14ac:dyDescent="0.25">
      <c r="A29" s="3">
        <v>26</v>
      </c>
      <c r="B29" s="3" t="s">
        <v>80</v>
      </c>
      <c r="C29" s="3" t="s">
        <v>76</v>
      </c>
      <c r="D29" s="3">
        <v>30.9</v>
      </c>
      <c r="E29" s="3">
        <v>150</v>
      </c>
      <c r="F29" s="3">
        <v>360</v>
      </c>
      <c r="G29" s="3">
        <v>305</v>
      </c>
      <c r="H29" s="3">
        <v>360</v>
      </c>
      <c r="I29" s="3">
        <v>0</v>
      </c>
      <c r="J29" s="3" t="s">
        <v>36</v>
      </c>
      <c r="K29" s="3">
        <v>900</v>
      </c>
      <c r="L29" s="19">
        <f t="shared" si="15"/>
        <v>2.9508196721311477</v>
      </c>
      <c r="M29" s="3" t="s">
        <v>42</v>
      </c>
      <c r="N29" s="3">
        <v>6</v>
      </c>
      <c r="O29" s="3">
        <v>135</v>
      </c>
      <c r="P29" s="18">
        <v>200000</v>
      </c>
      <c r="Q29" s="18">
        <v>500</v>
      </c>
      <c r="R29" s="3">
        <f t="shared" si="16"/>
        <v>0.2792533333333333</v>
      </c>
      <c r="S29" s="3" t="s">
        <v>43</v>
      </c>
      <c r="T29" s="3" t="s">
        <v>45</v>
      </c>
      <c r="U29" s="3" t="s">
        <v>44</v>
      </c>
      <c r="V29" s="3">
        <v>235000</v>
      </c>
      <c r="W29" s="3">
        <v>0.22</v>
      </c>
      <c r="X29" s="3">
        <v>4200</v>
      </c>
      <c r="Y29" s="3">
        <v>40</v>
      </c>
      <c r="Z29" s="3">
        <v>120</v>
      </c>
      <c r="AA29" s="3">
        <f t="shared" si="17"/>
        <v>274.5</v>
      </c>
      <c r="AB29" s="3">
        <v>90</v>
      </c>
      <c r="AC29" s="3">
        <v>45</v>
      </c>
      <c r="AD29" s="3">
        <f>472.7/2</f>
        <v>236.35</v>
      </c>
      <c r="AE29" s="3">
        <f>173/2</f>
        <v>86.5</v>
      </c>
    </row>
    <row r="30" spans="1:32" x14ac:dyDescent="0.25">
      <c r="A30" s="3">
        <v>27</v>
      </c>
      <c r="C30" s="3" t="s">
        <v>77</v>
      </c>
      <c r="D30" s="3">
        <v>30.9</v>
      </c>
      <c r="E30" s="3">
        <v>150</v>
      </c>
      <c r="F30" s="3">
        <v>360</v>
      </c>
      <c r="G30" s="3">
        <v>305</v>
      </c>
      <c r="H30" s="3">
        <v>360</v>
      </c>
      <c r="I30" s="3">
        <v>0</v>
      </c>
      <c r="J30" s="3" t="s">
        <v>36</v>
      </c>
      <c r="K30" s="3">
        <v>900</v>
      </c>
      <c r="L30" s="19">
        <f t="shared" ref="L30:L31" si="18">K30/G30</f>
        <v>2.9508196721311477</v>
      </c>
      <c r="M30" s="3" t="s">
        <v>42</v>
      </c>
      <c r="N30" s="3">
        <v>6</v>
      </c>
      <c r="O30" s="3">
        <v>135</v>
      </c>
      <c r="P30" s="18">
        <v>200000</v>
      </c>
      <c r="Q30" s="18">
        <v>500</v>
      </c>
      <c r="R30" s="3">
        <f t="shared" ref="R30:R31" si="19">100*2*3.1416*N30^2/4/O30/E30</f>
        <v>0.2792533333333333</v>
      </c>
      <c r="S30" s="3" t="s">
        <v>43</v>
      </c>
      <c r="T30" s="3" t="s">
        <v>45</v>
      </c>
      <c r="U30" s="3" t="s">
        <v>44</v>
      </c>
      <c r="V30" s="3">
        <v>235000</v>
      </c>
      <c r="W30" s="3">
        <v>0.22</v>
      </c>
      <c r="X30" s="3">
        <v>4200</v>
      </c>
      <c r="Y30" s="3">
        <v>40</v>
      </c>
      <c r="Z30" s="3">
        <v>120</v>
      </c>
      <c r="AA30" s="3">
        <f t="shared" ref="AA30:AA31" si="20">0.9*G30-(F30-H30)-I30</f>
        <v>274.5</v>
      </c>
      <c r="AB30" s="3">
        <v>90</v>
      </c>
      <c r="AC30" s="3">
        <v>45</v>
      </c>
      <c r="AD30" s="3">
        <f>500.6/2</f>
        <v>250.3</v>
      </c>
      <c r="AE30" s="3">
        <f>200.9/2</f>
        <v>100.45</v>
      </c>
    </row>
    <row r="31" spans="1:32" x14ac:dyDescent="0.25">
      <c r="A31" s="3">
        <v>28</v>
      </c>
      <c r="C31" s="3" t="s">
        <v>78</v>
      </c>
      <c r="D31" s="3">
        <v>30.9</v>
      </c>
      <c r="E31" s="3">
        <v>300</v>
      </c>
      <c r="F31" s="3">
        <v>720</v>
      </c>
      <c r="G31" s="3">
        <v>660</v>
      </c>
      <c r="H31" s="3">
        <v>720</v>
      </c>
      <c r="I31" s="3">
        <v>0</v>
      </c>
      <c r="J31" s="3" t="s">
        <v>36</v>
      </c>
      <c r="K31" s="3">
        <v>1800</v>
      </c>
      <c r="L31" s="19">
        <f t="shared" si="18"/>
        <v>2.7272727272727271</v>
      </c>
      <c r="M31" s="3" t="s">
        <v>42</v>
      </c>
      <c r="N31" s="3">
        <v>8</v>
      </c>
      <c r="O31" s="3">
        <v>240</v>
      </c>
      <c r="P31" s="18">
        <v>200000</v>
      </c>
      <c r="Q31" s="18">
        <v>500</v>
      </c>
      <c r="R31" s="3">
        <f t="shared" si="19"/>
        <v>0.13962666666666665</v>
      </c>
      <c r="S31" s="3" t="s">
        <v>43</v>
      </c>
      <c r="T31" s="3" t="s">
        <v>45</v>
      </c>
      <c r="U31" s="3" t="s">
        <v>44</v>
      </c>
      <c r="V31" s="3">
        <v>235000</v>
      </c>
      <c r="W31" s="3">
        <v>0.44</v>
      </c>
      <c r="X31" s="3">
        <v>4200</v>
      </c>
      <c r="Y31" s="3">
        <v>80</v>
      </c>
      <c r="Z31" s="3">
        <v>240</v>
      </c>
      <c r="AA31" s="3">
        <f t="shared" si="20"/>
        <v>594</v>
      </c>
      <c r="AB31" s="3">
        <v>90</v>
      </c>
      <c r="AC31" s="3">
        <v>45</v>
      </c>
      <c r="AD31" s="3">
        <f>1743.1/2</f>
        <v>871.55</v>
      </c>
      <c r="AE31" s="3">
        <f>667.1/2</f>
        <v>333.55</v>
      </c>
    </row>
    <row r="32" spans="1:32" x14ac:dyDescent="0.25">
      <c r="A32" s="3">
        <v>29</v>
      </c>
      <c r="C32" s="3" t="s">
        <v>79</v>
      </c>
      <c r="D32" s="3">
        <v>30.9</v>
      </c>
      <c r="E32" s="3">
        <v>300</v>
      </c>
      <c r="F32" s="3">
        <v>720</v>
      </c>
      <c r="G32" s="3">
        <v>660</v>
      </c>
      <c r="H32" s="3">
        <v>720</v>
      </c>
      <c r="I32" s="3">
        <v>0</v>
      </c>
      <c r="J32" s="3" t="s">
        <v>36</v>
      </c>
      <c r="K32" s="3">
        <v>1800</v>
      </c>
      <c r="L32" s="19">
        <f t="shared" ref="L32:L33" si="21">K32/G32</f>
        <v>2.7272727272727271</v>
      </c>
      <c r="M32" s="3" t="s">
        <v>42</v>
      </c>
      <c r="N32" s="3">
        <v>8</v>
      </c>
      <c r="O32" s="3">
        <v>240</v>
      </c>
      <c r="P32" s="18">
        <v>200000</v>
      </c>
      <c r="Q32" s="18">
        <v>500</v>
      </c>
      <c r="R32" s="3">
        <f t="shared" ref="R32:R33" si="22">100*2*3.1416*N32^2/4/O32/E32</f>
        <v>0.13962666666666665</v>
      </c>
      <c r="S32" s="3" t="s">
        <v>43</v>
      </c>
      <c r="T32" s="3" t="s">
        <v>45</v>
      </c>
      <c r="U32" s="3" t="s">
        <v>44</v>
      </c>
      <c r="V32" s="3">
        <v>235000</v>
      </c>
      <c r="W32" s="3">
        <v>0.44</v>
      </c>
      <c r="X32" s="3">
        <v>4200</v>
      </c>
      <c r="Y32" s="3">
        <v>80</v>
      </c>
      <c r="Z32" s="3">
        <v>240</v>
      </c>
      <c r="AA32" s="3">
        <f t="shared" ref="AA32:AA33" si="23">0.9*G32-(F32-H32)-I32</f>
        <v>594</v>
      </c>
      <c r="AB32" s="3">
        <v>90</v>
      </c>
      <c r="AC32" s="3">
        <v>45</v>
      </c>
      <c r="AD32" s="3">
        <f>1762.3/2</f>
        <v>881.15</v>
      </c>
      <c r="AE32" s="3">
        <f>686.3/2</f>
        <v>343.15</v>
      </c>
    </row>
    <row r="33" spans="1:31" x14ac:dyDescent="0.25">
      <c r="A33" s="17">
        <v>30</v>
      </c>
      <c r="B33" s="17"/>
      <c r="C33" s="17" t="s">
        <v>81</v>
      </c>
      <c r="D33" s="3">
        <v>41.03</v>
      </c>
      <c r="E33" s="3">
        <v>150</v>
      </c>
      <c r="F33" s="3">
        <v>350</v>
      </c>
      <c r="G33" s="18">
        <v>300</v>
      </c>
      <c r="H33" s="3">
        <v>350</v>
      </c>
      <c r="I33" s="3">
        <v>0</v>
      </c>
      <c r="J33" s="3" t="s">
        <v>36</v>
      </c>
      <c r="K33" s="3">
        <v>900</v>
      </c>
      <c r="L33" s="19">
        <f t="shared" si="21"/>
        <v>3</v>
      </c>
      <c r="M33" s="3" t="s">
        <v>42</v>
      </c>
      <c r="N33" s="3">
        <v>6</v>
      </c>
      <c r="O33" s="18">
        <v>160</v>
      </c>
      <c r="P33" s="18">
        <v>200000</v>
      </c>
      <c r="Q33" s="3">
        <v>494.5</v>
      </c>
      <c r="R33" s="3">
        <f t="shared" si="22"/>
        <v>0.23561999999999997</v>
      </c>
      <c r="S33" s="3" t="s">
        <v>61</v>
      </c>
      <c r="T33" s="3" t="s">
        <v>53</v>
      </c>
      <c r="U33" s="3" t="s">
        <v>44</v>
      </c>
      <c r="V33" s="3">
        <v>75900</v>
      </c>
      <c r="W33" s="3">
        <v>0.12</v>
      </c>
      <c r="X33" s="3">
        <v>3600</v>
      </c>
      <c r="Y33" s="3">
        <v>1</v>
      </c>
      <c r="Z33" s="3">
        <v>1</v>
      </c>
      <c r="AA33" s="3">
        <f t="shared" si="23"/>
        <v>270</v>
      </c>
      <c r="AB33" s="3">
        <v>90</v>
      </c>
      <c r="AC33" s="3">
        <v>45</v>
      </c>
      <c r="AD33" s="3">
        <v>242</v>
      </c>
      <c r="AE33" s="3" t="s">
        <v>46</v>
      </c>
    </row>
    <row r="34" spans="1:31" x14ac:dyDescent="0.25">
      <c r="A34" s="17">
        <v>31</v>
      </c>
      <c r="B34" s="17" t="s">
        <v>85</v>
      </c>
      <c r="C34" s="17" t="s">
        <v>82</v>
      </c>
      <c r="D34" s="3">
        <v>41.03</v>
      </c>
      <c r="E34" s="3">
        <v>150</v>
      </c>
      <c r="F34" s="3">
        <v>350</v>
      </c>
      <c r="G34" s="18">
        <v>300</v>
      </c>
      <c r="H34" s="3">
        <v>350</v>
      </c>
      <c r="I34" s="3">
        <v>0</v>
      </c>
      <c r="J34" s="3" t="s">
        <v>36</v>
      </c>
      <c r="K34" s="3">
        <v>900</v>
      </c>
      <c r="L34" s="19">
        <f t="shared" ref="L34:L37" si="24">K34/G34</f>
        <v>3</v>
      </c>
      <c r="M34" s="3" t="s">
        <v>42</v>
      </c>
      <c r="N34" s="3">
        <v>6</v>
      </c>
      <c r="O34" s="18">
        <v>160</v>
      </c>
      <c r="P34" s="18">
        <v>200000</v>
      </c>
      <c r="Q34" s="3">
        <v>494.5</v>
      </c>
      <c r="R34" s="3">
        <f t="shared" ref="R34:R37" si="25">100*2*3.1416*N34^2/4/O34/E34</f>
        <v>0.23561999999999997</v>
      </c>
      <c r="S34" s="3" t="s">
        <v>61</v>
      </c>
      <c r="T34" s="3" t="s">
        <v>53</v>
      </c>
      <c r="U34" s="3" t="s">
        <v>44</v>
      </c>
      <c r="V34" s="3">
        <v>75900</v>
      </c>
      <c r="W34" s="3">
        <v>0.24</v>
      </c>
      <c r="X34" s="3">
        <v>3600</v>
      </c>
      <c r="Y34" s="3">
        <v>1</v>
      </c>
      <c r="Z34" s="3">
        <v>1</v>
      </c>
      <c r="AA34" s="3">
        <f t="shared" ref="AA34:AA37" si="26">0.9*G34-(F34-H34)-I34</f>
        <v>270</v>
      </c>
      <c r="AB34" s="3">
        <v>90</v>
      </c>
      <c r="AC34" s="3">
        <v>45</v>
      </c>
      <c r="AD34" s="3">
        <v>270</v>
      </c>
      <c r="AE34" s="3" t="s">
        <v>46</v>
      </c>
    </row>
    <row r="35" spans="1:31" x14ac:dyDescent="0.25">
      <c r="A35" s="17">
        <v>32</v>
      </c>
      <c r="B35" s="17"/>
      <c r="C35" s="17" t="s">
        <v>83</v>
      </c>
      <c r="D35" s="3">
        <v>41.03</v>
      </c>
      <c r="E35" s="3">
        <v>150</v>
      </c>
      <c r="F35" s="3">
        <v>350</v>
      </c>
      <c r="G35" s="18">
        <v>300</v>
      </c>
      <c r="H35" s="3">
        <v>350</v>
      </c>
      <c r="I35" s="3">
        <v>0</v>
      </c>
      <c r="J35" s="3" t="s">
        <v>36</v>
      </c>
      <c r="K35" s="3">
        <v>900</v>
      </c>
      <c r="L35" s="19">
        <f t="shared" si="24"/>
        <v>3</v>
      </c>
      <c r="M35" s="3" t="s">
        <v>42</v>
      </c>
      <c r="N35" s="3">
        <v>6</v>
      </c>
      <c r="O35" s="18">
        <v>160</v>
      </c>
      <c r="P35" s="18">
        <v>200000</v>
      </c>
      <c r="Q35" s="3">
        <v>494.5</v>
      </c>
      <c r="R35" s="3">
        <f t="shared" si="25"/>
        <v>0.23561999999999997</v>
      </c>
      <c r="S35" s="3" t="s">
        <v>61</v>
      </c>
      <c r="T35" s="3" t="s">
        <v>53</v>
      </c>
      <c r="U35" s="3" t="s">
        <v>44</v>
      </c>
      <c r="V35" s="3">
        <v>75900</v>
      </c>
      <c r="W35" s="3">
        <v>0.36</v>
      </c>
      <c r="X35" s="3">
        <v>3600</v>
      </c>
      <c r="Y35" s="3">
        <v>1</v>
      </c>
      <c r="Z35" s="3">
        <v>1</v>
      </c>
      <c r="AA35" s="3">
        <f t="shared" si="26"/>
        <v>270</v>
      </c>
      <c r="AB35" s="3">
        <v>90</v>
      </c>
      <c r="AC35" s="3">
        <v>45</v>
      </c>
      <c r="AD35" s="3">
        <v>318</v>
      </c>
      <c r="AE35" s="3" t="s">
        <v>46</v>
      </c>
    </row>
    <row r="36" spans="1:31" x14ac:dyDescent="0.25">
      <c r="A36" s="17">
        <v>33</v>
      </c>
      <c r="B36" s="17"/>
      <c r="C36" s="17" t="s">
        <v>84</v>
      </c>
      <c r="D36" s="3">
        <v>41.03</v>
      </c>
      <c r="E36" s="3">
        <v>150</v>
      </c>
      <c r="F36" s="3">
        <v>350</v>
      </c>
      <c r="G36" s="18">
        <v>300</v>
      </c>
      <c r="H36" s="3">
        <v>350</v>
      </c>
      <c r="I36" s="3">
        <v>0</v>
      </c>
      <c r="J36" s="3" t="s">
        <v>36</v>
      </c>
      <c r="K36" s="3">
        <v>900</v>
      </c>
      <c r="L36" s="19">
        <f t="shared" si="24"/>
        <v>3</v>
      </c>
      <c r="M36" s="3" t="s">
        <v>42</v>
      </c>
      <c r="N36" s="3">
        <v>6</v>
      </c>
      <c r="O36" s="18">
        <v>160</v>
      </c>
      <c r="P36" s="18">
        <v>200000</v>
      </c>
      <c r="Q36" s="3">
        <v>494.5</v>
      </c>
      <c r="R36" s="3">
        <f t="shared" si="25"/>
        <v>0.23561999999999997</v>
      </c>
      <c r="S36" s="3" t="s">
        <v>61</v>
      </c>
      <c r="T36" s="3" t="s">
        <v>53</v>
      </c>
      <c r="U36" s="3" t="s">
        <v>44</v>
      </c>
      <c r="V36" s="3">
        <v>75900</v>
      </c>
      <c r="W36" s="3">
        <v>0.36</v>
      </c>
      <c r="X36" s="3">
        <v>3600</v>
      </c>
      <c r="Y36" s="3">
        <v>1</v>
      </c>
      <c r="Z36" s="3">
        <v>1</v>
      </c>
      <c r="AA36" s="3">
        <f t="shared" si="26"/>
        <v>270</v>
      </c>
      <c r="AB36" s="3">
        <v>90</v>
      </c>
      <c r="AC36" s="3">
        <v>45</v>
      </c>
      <c r="AD36" s="3">
        <v>279</v>
      </c>
      <c r="AE36" s="3" t="s">
        <v>46</v>
      </c>
    </row>
    <row r="37" spans="1:31" x14ac:dyDescent="0.25">
      <c r="A37" s="3">
        <v>34</v>
      </c>
      <c r="C37" s="3" t="s">
        <v>86</v>
      </c>
      <c r="D37" s="3">
        <v>24</v>
      </c>
      <c r="E37" s="3">
        <v>250</v>
      </c>
      <c r="F37" s="3">
        <v>420</v>
      </c>
      <c r="G37" s="3">
        <f>F37-58</f>
        <v>362</v>
      </c>
      <c r="H37" s="3">
        <v>420</v>
      </c>
      <c r="I37" s="3">
        <v>0</v>
      </c>
      <c r="J37" s="3" t="s">
        <v>36</v>
      </c>
      <c r="K37" s="3">
        <v>1360</v>
      </c>
      <c r="L37" s="19">
        <f t="shared" si="24"/>
        <v>3.7569060773480665</v>
      </c>
      <c r="M37" s="3" t="s">
        <v>42</v>
      </c>
      <c r="N37" s="3">
        <v>8</v>
      </c>
      <c r="O37" s="3">
        <v>380</v>
      </c>
      <c r="P37" s="18">
        <v>200000</v>
      </c>
      <c r="Q37" s="18">
        <v>430</v>
      </c>
      <c r="R37" s="3">
        <f t="shared" si="25"/>
        <v>0.10582231578947368</v>
      </c>
      <c r="S37" s="3" t="s">
        <v>43</v>
      </c>
      <c r="T37" s="3" t="s">
        <v>45</v>
      </c>
      <c r="U37" s="3" t="s">
        <v>44</v>
      </c>
      <c r="V37" s="3">
        <v>240000</v>
      </c>
      <c r="W37" s="3">
        <v>0.29299999999999998</v>
      </c>
      <c r="X37" s="3">
        <v>4000</v>
      </c>
      <c r="Y37" s="3">
        <v>300</v>
      </c>
      <c r="Z37" s="3">
        <v>500</v>
      </c>
      <c r="AA37" s="3">
        <f t="shared" si="26"/>
        <v>325.8</v>
      </c>
      <c r="AB37" s="3">
        <v>90</v>
      </c>
      <c r="AC37" s="3">
        <v>45</v>
      </c>
      <c r="AD37" s="3">
        <v>271</v>
      </c>
      <c r="AE37" s="3" t="s">
        <v>46</v>
      </c>
    </row>
    <row r="38" spans="1:31" x14ac:dyDescent="0.25">
      <c r="A38" s="3">
        <v>35</v>
      </c>
      <c r="B38" s="3" t="s">
        <v>90</v>
      </c>
      <c r="C38" s="3" t="s">
        <v>87</v>
      </c>
      <c r="D38" s="3">
        <v>24</v>
      </c>
      <c r="E38" s="3">
        <v>250</v>
      </c>
      <c r="F38" s="3">
        <v>420</v>
      </c>
      <c r="G38" s="3">
        <f>F38-58</f>
        <v>362</v>
      </c>
      <c r="H38" s="3">
        <v>420</v>
      </c>
      <c r="I38" s="3">
        <v>0</v>
      </c>
      <c r="J38" s="3" t="s">
        <v>36</v>
      </c>
      <c r="K38" s="3">
        <v>1150</v>
      </c>
      <c r="L38" s="19">
        <f t="shared" ref="L38" si="27">K38/G38</f>
        <v>3.1767955801104972</v>
      </c>
      <c r="M38" s="3" t="s">
        <v>42</v>
      </c>
      <c r="N38" s="3">
        <v>8</v>
      </c>
      <c r="O38" s="3">
        <v>380</v>
      </c>
      <c r="P38" s="18">
        <v>200000</v>
      </c>
      <c r="Q38" s="18">
        <v>430</v>
      </c>
      <c r="R38" s="3">
        <f t="shared" ref="R38" si="28">100*2*3.1416*N38^2/4/O38/E38</f>
        <v>0.10582231578947368</v>
      </c>
      <c r="S38" s="3" t="s">
        <v>43</v>
      </c>
      <c r="T38" s="3" t="s">
        <v>45</v>
      </c>
      <c r="U38" s="3" t="s">
        <v>44</v>
      </c>
      <c r="V38" s="3">
        <v>240000</v>
      </c>
      <c r="W38" s="3">
        <v>0.29299999999999998</v>
      </c>
      <c r="X38" s="3">
        <v>4000</v>
      </c>
      <c r="Y38" s="3">
        <v>300</v>
      </c>
      <c r="Z38" s="3">
        <v>500</v>
      </c>
      <c r="AA38" s="3">
        <f t="shared" ref="AA38" si="29">0.9*G38-(F38-H38)-I38</f>
        <v>325.8</v>
      </c>
      <c r="AB38" s="3">
        <v>90</v>
      </c>
      <c r="AC38" s="3">
        <v>45</v>
      </c>
      <c r="AD38" s="3">
        <v>271</v>
      </c>
      <c r="AE38" s="3" t="s">
        <v>46</v>
      </c>
    </row>
    <row r="39" spans="1:31" x14ac:dyDescent="0.25">
      <c r="A39" s="3">
        <v>36</v>
      </c>
      <c r="C39" s="3" t="s">
        <v>88</v>
      </c>
      <c r="D39" s="3">
        <v>22.6</v>
      </c>
      <c r="E39" s="3">
        <v>250</v>
      </c>
      <c r="F39" s="3">
        <v>420</v>
      </c>
      <c r="G39" s="3">
        <f>F39-58</f>
        <v>362</v>
      </c>
      <c r="H39" s="3">
        <v>420</v>
      </c>
      <c r="I39" s="3">
        <v>0</v>
      </c>
      <c r="J39" s="3" t="s">
        <v>36</v>
      </c>
      <c r="K39" s="3">
        <v>1360</v>
      </c>
      <c r="L39" s="19">
        <f t="shared" ref="L39" si="30">K39/G39</f>
        <v>3.7569060773480665</v>
      </c>
      <c r="M39" s="3" t="s">
        <v>42</v>
      </c>
      <c r="N39" s="3">
        <v>8</v>
      </c>
      <c r="O39" s="3">
        <v>380</v>
      </c>
      <c r="P39" s="18">
        <v>200000</v>
      </c>
      <c r="Q39" s="18">
        <v>430</v>
      </c>
      <c r="R39" s="3">
        <f t="shared" ref="R39" si="31">100*2*3.1416*N39^2/4/O39/E39</f>
        <v>0.10582231578947368</v>
      </c>
      <c r="S39" s="3" t="s">
        <v>43</v>
      </c>
      <c r="T39" s="3" t="s">
        <v>45</v>
      </c>
      <c r="U39" s="3" t="s">
        <v>44</v>
      </c>
      <c r="V39" s="3">
        <v>227000</v>
      </c>
      <c r="W39" s="3">
        <v>0.16500000000000001</v>
      </c>
      <c r="X39" s="3">
        <v>3800</v>
      </c>
      <c r="Y39" s="3">
        <v>300</v>
      </c>
      <c r="Z39" s="3">
        <v>500</v>
      </c>
      <c r="AA39" s="3">
        <f t="shared" ref="AA39" si="32">0.9*G39-(F39-H39)-I39</f>
        <v>325.8</v>
      </c>
      <c r="AB39" s="3">
        <v>90</v>
      </c>
      <c r="AC39" s="3">
        <v>45</v>
      </c>
      <c r="AD39" s="3">
        <v>279</v>
      </c>
      <c r="AE39" s="3" t="s">
        <v>46</v>
      </c>
    </row>
    <row r="40" spans="1:31" x14ac:dyDescent="0.25">
      <c r="A40" s="3">
        <v>37</v>
      </c>
      <c r="C40" s="3" t="s">
        <v>89</v>
      </c>
      <c r="D40" s="3">
        <v>22.6</v>
      </c>
      <c r="E40" s="3">
        <v>250</v>
      </c>
      <c r="F40" s="3">
        <v>420</v>
      </c>
      <c r="G40" s="3">
        <f>F40-58</f>
        <v>362</v>
      </c>
      <c r="H40" s="3">
        <v>420</v>
      </c>
      <c r="I40" s="3">
        <v>0</v>
      </c>
      <c r="J40" s="3" t="s">
        <v>36</v>
      </c>
      <c r="K40" s="3">
        <v>1150</v>
      </c>
      <c r="L40" s="19">
        <f t="shared" ref="L40:L41" si="33">K40/G40</f>
        <v>3.1767955801104972</v>
      </c>
      <c r="M40" s="3" t="s">
        <v>42</v>
      </c>
      <c r="N40" s="3">
        <v>8</v>
      </c>
      <c r="O40" s="3">
        <v>380</v>
      </c>
      <c r="P40" s="18">
        <v>200000</v>
      </c>
      <c r="Q40" s="18">
        <v>430</v>
      </c>
      <c r="R40" s="3">
        <f t="shared" ref="R40:R41" si="34">100*2*3.1416*N40^2/4/O40/E40</f>
        <v>0.10582231578947368</v>
      </c>
      <c r="S40" s="3" t="s">
        <v>43</v>
      </c>
      <c r="T40" s="3" t="s">
        <v>45</v>
      </c>
      <c r="U40" s="3" t="s">
        <v>44</v>
      </c>
      <c r="V40" s="3">
        <v>227000</v>
      </c>
      <c r="W40" s="3">
        <v>0.16500000000000001</v>
      </c>
      <c r="X40" s="3">
        <v>3800</v>
      </c>
      <c r="Y40" s="3">
        <v>300</v>
      </c>
      <c r="Z40" s="3">
        <v>500</v>
      </c>
      <c r="AA40" s="3">
        <f t="shared" ref="AA40:AA44" si="35">0.9*G40-(F40-H40)-I40</f>
        <v>325.8</v>
      </c>
      <c r="AB40" s="3">
        <v>90</v>
      </c>
      <c r="AC40" s="3">
        <v>45</v>
      </c>
      <c r="AD40" s="3">
        <v>318</v>
      </c>
      <c r="AE40" s="3" t="s">
        <v>46</v>
      </c>
    </row>
    <row r="41" spans="1:31" x14ac:dyDescent="0.25">
      <c r="A41" s="17">
        <v>38</v>
      </c>
      <c r="B41" s="17"/>
      <c r="C41" s="17">
        <v>6</v>
      </c>
      <c r="D41" s="3">
        <v>45.7</v>
      </c>
      <c r="E41" s="3">
        <v>150</v>
      </c>
      <c r="F41" s="3">
        <v>400</v>
      </c>
      <c r="G41" s="3">
        <v>355</v>
      </c>
      <c r="H41" s="3">
        <v>400</v>
      </c>
      <c r="I41" s="3">
        <v>0</v>
      </c>
      <c r="J41" s="3" t="s">
        <v>93</v>
      </c>
      <c r="K41" s="3">
        <v>1070</v>
      </c>
      <c r="L41" s="19">
        <f t="shared" si="33"/>
        <v>3.0140845070422535</v>
      </c>
      <c r="M41" s="3" t="s">
        <v>42</v>
      </c>
      <c r="N41" s="3">
        <v>4.2</v>
      </c>
      <c r="O41" s="3">
        <v>170</v>
      </c>
      <c r="P41" s="3">
        <f>771/4.34*1000</f>
        <v>177649.76958525347</v>
      </c>
      <c r="Q41" s="3">
        <v>771</v>
      </c>
      <c r="R41" s="3">
        <f t="shared" si="34"/>
        <v>0.10866240000000001</v>
      </c>
      <c r="S41" s="3" t="s">
        <v>43</v>
      </c>
      <c r="T41" s="3" t="s">
        <v>45</v>
      </c>
      <c r="U41" s="3" t="s">
        <v>44</v>
      </c>
      <c r="V41" s="18">
        <v>228000</v>
      </c>
      <c r="W41" s="18">
        <v>0.16500000000000001</v>
      </c>
      <c r="X41" s="18">
        <v>3790</v>
      </c>
      <c r="Y41" s="3">
        <v>150</v>
      </c>
      <c r="Z41" s="3">
        <v>230</v>
      </c>
      <c r="AA41" s="3">
        <f t="shared" si="35"/>
        <v>319.5</v>
      </c>
      <c r="AB41" s="3">
        <v>90</v>
      </c>
      <c r="AC41" s="3">
        <v>45</v>
      </c>
      <c r="AD41" s="3">
        <f>650/2</f>
        <v>325</v>
      </c>
      <c r="AE41" s="3">
        <f>AD41-372/2</f>
        <v>139</v>
      </c>
    </row>
    <row r="42" spans="1:31" x14ac:dyDescent="0.25">
      <c r="A42" s="17">
        <v>39</v>
      </c>
      <c r="B42" s="17" t="s">
        <v>91</v>
      </c>
      <c r="C42" s="17">
        <v>7</v>
      </c>
      <c r="D42" s="3">
        <v>45.8</v>
      </c>
      <c r="E42" s="3">
        <v>150</v>
      </c>
      <c r="F42" s="3">
        <v>400</v>
      </c>
      <c r="G42" s="3">
        <v>355</v>
      </c>
      <c r="H42" s="3">
        <v>400</v>
      </c>
      <c r="I42" s="3">
        <v>0</v>
      </c>
      <c r="J42" s="3" t="s">
        <v>93</v>
      </c>
      <c r="K42" s="3">
        <v>1070</v>
      </c>
      <c r="L42" s="19">
        <f t="shared" ref="L42:L43" si="36">K42/G42</f>
        <v>3.0140845070422535</v>
      </c>
      <c r="M42" s="3" t="s">
        <v>42</v>
      </c>
      <c r="N42" s="3">
        <v>4.2</v>
      </c>
      <c r="O42" s="3">
        <v>170</v>
      </c>
      <c r="P42" s="3">
        <f t="shared" ref="P42:P43" si="37">771/4.34*1000</f>
        <v>177649.76958525347</v>
      </c>
      <c r="Q42" s="3">
        <v>772</v>
      </c>
      <c r="R42" s="3">
        <f t="shared" ref="R42:R46" si="38">100*2*3.1416*N42^2/4/O42/E42</f>
        <v>0.10866240000000001</v>
      </c>
      <c r="S42" s="3" t="s">
        <v>43</v>
      </c>
      <c r="T42" s="3" t="s">
        <v>45</v>
      </c>
      <c r="U42" s="3" t="s">
        <v>44</v>
      </c>
      <c r="V42" s="18">
        <v>228000</v>
      </c>
      <c r="W42" s="18">
        <f>0.165*2</f>
        <v>0.33</v>
      </c>
      <c r="X42" s="18">
        <v>3790</v>
      </c>
      <c r="Y42" s="3">
        <v>150</v>
      </c>
      <c r="Z42" s="3">
        <v>230</v>
      </c>
      <c r="AA42" s="3">
        <f t="shared" si="35"/>
        <v>319.5</v>
      </c>
      <c r="AB42" s="3">
        <v>90</v>
      </c>
      <c r="AC42" s="3">
        <v>45</v>
      </c>
      <c r="AD42" s="3">
        <f>778/2</f>
        <v>389</v>
      </c>
      <c r="AE42" s="3">
        <f>AD42-372/2</f>
        <v>203</v>
      </c>
    </row>
    <row r="43" spans="1:31" x14ac:dyDescent="0.25">
      <c r="A43" s="17">
        <v>40</v>
      </c>
      <c r="B43" s="17" t="s">
        <v>92</v>
      </c>
      <c r="C43" s="17">
        <v>8</v>
      </c>
      <c r="D43" s="3">
        <v>46.6</v>
      </c>
      <c r="E43" s="3">
        <v>150</v>
      </c>
      <c r="F43" s="3">
        <v>400</v>
      </c>
      <c r="G43" s="3">
        <v>355</v>
      </c>
      <c r="H43" s="3">
        <v>400</v>
      </c>
      <c r="I43" s="3">
        <v>0</v>
      </c>
      <c r="J43" s="3" t="s">
        <v>93</v>
      </c>
      <c r="K43" s="3">
        <v>1070</v>
      </c>
      <c r="L43" s="19">
        <f t="shared" si="36"/>
        <v>3.0140845070422535</v>
      </c>
      <c r="M43" s="3" t="s">
        <v>42</v>
      </c>
      <c r="N43" s="3">
        <v>4.2</v>
      </c>
      <c r="O43" s="3">
        <v>170</v>
      </c>
      <c r="P43" s="3">
        <f t="shared" si="37"/>
        <v>177649.76958525347</v>
      </c>
      <c r="Q43" s="3">
        <v>773</v>
      </c>
      <c r="R43" s="3">
        <f t="shared" si="38"/>
        <v>0.10866240000000001</v>
      </c>
      <c r="S43" s="3" t="s">
        <v>43</v>
      </c>
      <c r="T43" s="3" t="s">
        <v>45</v>
      </c>
      <c r="U43" s="3" t="s">
        <v>44</v>
      </c>
      <c r="V43" s="18">
        <v>228000</v>
      </c>
      <c r="W43" s="18">
        <f>0.165*2</f>
        <v>0.33</v>
      </c>
      <c r="X43" s="18">
        <v>3790</v>
      </c>
      <c r="Y43" s="3">
        <v>150</v>
      </c>
      <c r="Z43" s="3">
        <v>230</v>
      </c>
      <c r="AA43" s="3">
        <f t="shared" si="35"/>
        <v>319.5</v>
      </c>
      <c r="AB43" s="3">
        <v>45</v>
      </c>
      <c r="AC43" s="3">
        <v>45</v>
      </c>
      <c r="AD43" s="3">
        <f>612/2</f>
        <v>306</v>
      </c>
      <c r="AE43" s="3">
        <f>AD43-372/2</f>
        <v>120</v>
      </c>
    </row>
    <row r="44" spans="1:31" x14ac:dyDescent="0.25">
      <c r="A44" s="3">
        <v>41</v>
      </c>
      <c r="C44" s="3" t="s">
        <v>94</v>
      </c>
      <c r="D44" s="3">
        <v>35.1</v>
      </c>
      <c r="E44" s="3">
        <v>125</v>
      </c>
      <c r="F44" s="3">
        <v>200</v>
      </c>
      <c r="G44" s="3">
        <v>165</v>
      </c>
      <c r="H44" s="3">
        <v>200</v>
      </c>
      <c r="I44" s="3">
        <v>0</v>
      </c>
      <c r="J44" s="3" t="s">
        <v>36</v>
      </c>
      <c r="K44" s="3">
        <f t="shared" ref="K44:K65" si="39">L44*G44</f>
        <v>495</v>
      </c>
      <c r="L44" s="19">
        <v>3</v>
      </c>
      <c r="M44" s="3" t="s">
        <v>46</v>
      </c>
      <c r="N44" s="3">
        <v>0</v>
      </c>
      <c r="S44" s="3" t="s">
        <v>43</v>
      </c>
      <c r="T44" s="3" t="s">
        <v>45</v>
      </c>
      <c r="U44" s="3" t="s">
        <v>44</v>
      </c>
      <c r="V44" s="3">
        <v>230000</v>
      </c>
      <c r="W44" s="3">
        <v>0.11</v>
      </c>
      <c r="X44" s="3">
        <v>3480</v>
      </c>
      <c r="Y44" s="3">
        <v>20</v>
      </c>
      <c r="Z44" s="25">
        <v>100</v>
      </c>
      <c r="AA44" s="3">
        <f t="shared" si="35"/>
        <v>148.5</v>
      </c>
      <c r="AB44" s="3">
        <v>90</v>
      </c>
      <c r="AC44" s="3">
        <v>45</v>
      </c>
      <c r="AD44" s="25">
        <f>128.1/2</f>
        <v>64.05</v>
      </c>
      <c r="AE44" s="3" t="s">
        <v>46</v>
      </c>
    </row>
    <row r="45" spans="1:31" x14ac:dyDescent="0.25">
      <c r="A45" s="3">
        <v>42</v>
      </c>
      <c r="C45" s="3" t="s">
        <v>95</v>
      </c>
      <c r="D45" s="3">
        <v>32.4</v>
      </c>
      <c r="E45" s="3">
        <v>125</v>
      </c>
      <c r="F45" s="3">
        <v>200</v>
      </c>
      <c r="G45" s="3">
        <v>165</v>
      </c>
      <c r="H45" s="3">
        <v>200</v>
      </c>
      <c r="I45" s="3">
        <v>0</v>
      </c>
      <c r="J45" s="3" t="s">
        <v>36</v>
      </c>
      <c r="K45" s="3">
        <f t="shared" si="39"/>
        <v>495</v>
      </c>
      <c r="L45" s="19">
        <v>3</v>
      </c>
      <c r="M45" s="3" t="s">
        <v>46</v>
      </c>
      <c r="N45" s="3">
        <v>0</v>
      </c>
      <c r="S45" s="3" t="s">
        <v>43</v>
      </c>
      <c r="T45" s="3" t="s">
        <v>45</v>
      </c>
      <c r="U45" s="3" t="s">
        <v>44</v>
      </c>
      <c r="V45" s="3">
        <v>230000</v>
      </c>
      <c r="W45" s="3">
        <v>0.11</v>
      </c>
      <c r="X45" s="3">
        <v>3480</v>
      </c>
      <c r="Y45" s="3">
        <v>50</v>
      </c>
      <c r="Z45" s="25">
        <v>100</v>
      </c>
      <c r="AA45" s="3">
        <f t="shared" ref="AA45:AA46" si="40">0.9*G45-(F45-H45)-I45</f>
        <v>148.5</v>
      </c>
      <c r="AB45" s="3">
        <v>90</v>
      </c>
      <c r="AC45" s="3">
        <v>45</v>
      </c>
      <c r="AD45" s="25">
        <f>186.7/2</f>
        <v>93.35</v>
      </c>
      <c r="AE45" s="3" t="s">
        <v>46</v>
      </c>
    </row>
    <row r="46" spans="1:31" x14ac:dyDescent="0.25">
      <c r="A46" s="3">
        <v>43</v>
      </c>
      <c r="B46" s="3" t="s">
        <v>100</v>
      </c>
      <c r="C46" s="3" t="s">
        <v>96</v>
      </c>
      <c r="D46" s="3">
        <v>35</v>
      </c>
      <c r="E46" s="3">
        <v>125</v>
      </c>
      <c r="F46" s="3">
        <v>200</v>
      </c>
      <c r="G46" s="3">
        <v>165</v>
      </c>
      <c r="H46" s="3">
        <v>200</v>
      </c>
      <c r="I46" s="3">
        <v>0</v>
      </c>
      <c r="J46" s="3" t="s">
        <v>36</v>
      </c>
      <c r="K46" s="3">
        <f t="shared" si="39"/>
        <v>445.50000000000006</v>
      </c>
      <c r="L46" s="19">
        <v>2.7</v>
      </c>
      <c r="M46" s="3" t="s">
        <v>18</v>
      </c>
      <c r="N46" s="3">
        <v>6</v>
      </c>
      <c r="O46" s="3">
        <v>150</v>
      </c>
      <c r="P46" s="18">
        <v>200000</v>
      </c>
      <c r="Q46" s="3">
        <v>418</v>
      </c>
      <c r="R46" s="3">
        <f t="shared" si="38"/>
        <v>0.30159359999999996</v>
      </c>
      <c r="S46" s="3" t="s">
        <v>43</v>
      </c>
      <c r="T46" s="3" t="s">
        <v>45</v>
      </c>
      <c r="U46" s="3" t="s">
        <v>44</v>
      </c>
      <c r="V46" s="3">
        <v>230000</v>
      </c>
      <c r="W46" s="3">
        <v>0.11</v>
      </c>
      <c r="X46" s="3">
        <v>3480</v>
      </c>
      <c r="Y46" s="3">
        <v>20</v>
      </c>
      <c r="Z46" s="25">
        <v>100</v>
      </c>
      <c r="AA46" s="3">
        <f t="shared" si="40"/>
        <v>148.5</v>
      </c>
      <c r="AB46" s="3">
        <v>90</v>
      </c>
      <c r="AC46" s="3">
        <v>45</v>
      </c>
      <c r="AD46" s="23">
        <f>182.2/2</f>
        <v>91.1</v>
      </c>
      <c r="AE46" s="3" t="s">
        <v>46</v>
      </c>
    </row>
    <row r="47" spans="1:31" x14ac:dyDescent="0.25">
      <c r="A47" s="3">
        <v>44</v>
      </c>
      <c r="C47" s="3" t="s">
        <v>97</v>
      </c>
      <c r="D47" s="3">
        <v>32.4</v>
      </c>
      <c r="E47" s="3">
        <v>125</v>
      </c>
      <c r="F47" s="3">
        <v>200</v>
      </c>
      <c r="G47" s="3">
        <v>165</v>
      </c>
      <c r="H47" s="3">
        <v>200</v>
      </c>
      <c r="I47" s="3">
        <v>0</v>
      </c>
      <c r="J47" s="3" t="s">
        <v>36</v>
      </c>
      <c r="K47" s="3">
        <f t="shared" si="39"/>
        <v>396</v>
      </c>
      <c r="L47" s="19">
        <v>2.4</v>
      </c>
      <c r="M47" s="3" t="s">
        <v>46</v>
      </c>
      <c r="N47" s="3">
        <v>0</v>
      </c>
      <c r="S47" s="3" t="s">
        <v>43</v>
      </c>
      <c r="T47" s="3" t="s">
        <v>45</v>
      </c>
      <c r="U47" s="3" t="s">
        <v>44</v>
      </c>
      <c r="V47" s="3">
        <v>230000</v>
      </c>
      <c r="W47" s="3">
        <v>0.11</v>
      </c>
      <c r="X47" s="3">
        <v>3480</v>
      </c>
      <c r="Y47" s="3">
        <v>20</v>
      </c>
      <c r="Z47" s="25">
        <v>100</v>
      </c>
      <c r="AA47" s="3">
        <f t="shared" ref="AA47" si="41">0.9*G47-(F47-H47)-I47</f>
        <v>148.5</v>
      </c>
      <c r="AB47" s="3">
        <v>90</v>
      </c>
      <c r="AC47" s="3">
        <v>45</v>
      </c>
      <c r="AD47" s="23">
        <f>125.5/2</f>
        <v>62.75</v>
      </c>
      <c r="AE47" s="3" t="s">
        <v>46</v>
      </c>
    </row>
    <row r="48" spans="1:31" x14ac:dyDescent="0.25">
      <c r="A48" s="3">
        <v>45</v>
      </c>
      <c r="C48" s="3" t="s">
        <v>98</v>
      </c>
      <c r="D48" s="3">
        <v>32.4</v>
      </c>
      <c r="E48" s="3">
        <v>125</v>
      </c>
      <c r="F48" s="3">
        <v>200</v>
      </c>
      <c r="G48" s="3">
        <v>165</v>
      </c>
      <c r="H48" s="3">
        <v>200</v>
      </c>
      <c r="I48" s="3">
        <v>0</v>
      </c>
      <c r="J48" s="3" t="s">
        <v>36</v>
      </c>
      <c r="K48" s="3">
        <f t="shared" si="39"/>
        <v>297</v>
      </c>
      <c r="L48" s="19">
        <v>1.8</v>
      </c>
      <c r="M48" s="3" t="s">
        <v>46</v>
      </c>
      <c r="N48" s="3">
        <v>0</v>
      </c>
      <c r="S48" s="3" t="s">
        <v>43</v>
      </c>
      <c r="T48" s="3" t="s">
        <v>45</v>
      </c>
      <c r="U48" s="3" t="s">
        <v>44</v>
      </c>
      <c r="V48" s="3">
        <v>230000</v>
      </c>
      <c r="W48" s="3">
        <v>0.11</v>
      </c>
      <c r="X48" s="3">
        <v>3480</v>
      </c>
      <c r="Y48" s="3">
        <v>20</v>
      </c>
      <c r="Z48" s="25">
        <v>100</v>
      </c>
      <c r="AA48" s="3">
        <f t="shared" ref="AA48" si="42">0.9*G48-(F48-H48)-I48</f>
        <v>148.5</v>
      </c>
      <c r="AB48" s="3">
        <v>90</v>
      </c>
      <c r="AC48" s="3">
        <v>45</v>
      </c>
      <c r="AD48" s="23">
        <f>147.3/2</f>
        <v>73.650000000000006</v>
      </c>
      <c r="AE48" s="3" t="s">
        <v>46</v>
      </c>
    </row>
    <row r="49" spans="1:31" x14ac:dyDescent="0.25">
      <c r="A49" s="3">
        <v>46</v>
      </c>
      <c r="C49" s="3" t="s">
        <v>99</v>
      </c>
      <c r="D49" s="3">
        <v>39.1</v>
      </c>
      <c r="E49" s="3">
        <v>125</v>
      </c>
      <c r="F49" s="3">
        <v>200</v>
      </c>
      <c r="G49" s="3">
        <v>165</v>
      </c>
      <c r="H49" s="3">
        <v>200</v>
      </c>
      <c r="I49" s="3">
        <v>0</v>
      </c>
      <c r="J49" s="3" t="s">
        <v>36</v>
      </c>
      <c r="K49" s="3">
        <f t="shared" si="39"/>
        <v>330</v>
      </c>
      <c r="L49" s="19">
        <v>2</v>
      </c>
      <c r="M49" s="3" t="s">
        <v>46</v>
      </c>
      <c r="N49" s="3">
        <v>0</v>
      </c>
      <c r="S49" s="3" t="s">
        <v>43</v>
      </c>
      <c r="T49" s="3" t="s">
        <v>45</v>
      </c>
      <c r="U49" s="3" t="s">
        <v>44</v>
      </c>
      <c r="V49" s="3">
        <v>230000</v>
      </c>
      <c r="W49" s="3">
        <v>0.11</v>
      </c>
      <c r="X49" s="3">
        <v>3480</v>
      </c>
      <c r="Y49" s="3">
        <v>50</v>
      </c>
      <c r="Z49" s="25">
        <v>100</v>
      </c>
      <c r="AA49" s="3">
        <f t="shared" ref="AA49:AA76" si="43">0.9*G49-(F49-H49)-I49</f>
        <v>148.5</v>
      </c>
      <c r="AB49" s="3">
        <v>90</v>
      </c>
      <c r="AC49" s="3">
        <v>45</v>
      </c>
      <c r="AD49" s="3">
        <f>186.2/2</f>
        <v>93.1</v>
      </c>
      <c r="AE49" s="3" t="s">
        <v>46</v>
      </c>
    </row>
    <row r="50" spans="1:31" x14ac:dyDescent="0.25">
      <c r="A50" s="18">
        <v>47</v>
      </c>
      <c r="B50" s="18"/>
      <c r="C50" s="18" t="s">
        <v>101</v>
      </c>
      <c r="D50" s="3">
        <v>43</v>
      </c>
      <c r="E50" s="3">
        <v>150</v>
      </c>
      <c r="F50" s="3">
        <v>300</v>
      </c>
      <c r="G50" s="3">
        <f>F50-28</f>
        <v>272</v>
      </c>
      <c r="H50" s="3">
        <f>F50</f>
        <v>300</v>
      </c>
      <c r="I50" s="3">
        <v>0</v>
      </c>
      <c r="J50" s="3" t="s">
        <v>36</v>
      </c>
      <c r="K50" s="3">
        <f t="shared" si="39"/>
        <v>799.68</v>
      </c>
      <c r="L50" s="19">
        <v>2.94</v>
      </c>
      <c r="M50" s="3" t="s">
        <v>46</v>
      </c>
      <c r="N50" s="3">
        <v>0</v>
      </c>
      <c r="S50" s="3" t="s">
        <v>52</v>
      </c>
      <c r="T50" s="3" t="s">
        <v>45</v>
      </c>
      <c r="U50" s="3" t="s">
        <v>44</v>
      </c>
      <c r="V50" s="3">
        <v>73000</v>
      </c>
      <c r="W50" s="3">
        <v>4.3999999999999997E-2</v>
      </c>
      <c r="X50" s="3">
        <v>2700</v>
      </c>
      <c r="Y50" s="3">
        <v>200</v>
      </c>
      <c r="Z50" s="3">
        <v>200</v>
      </c>
      <c r="AA50" s="3">
        <f t="shared" si="43"/>
        <v>244.8</v>
      </c>
      <c r="AB50" s="3">
        <v>90</v>
      </c>
      <c r="AC50" s="3">
        <v>45</v>
      </c>
      <c r="AD50" s="3">
        <v>91</v>
      </c>
      <c r="AE50" s="3" t="s">
        <v>46</v>
      </c>
    </row>
    <row r="51" spans="1:31" x14ac:dyDescent="0.25">
      <c r="A51" s="18">
        <v>48</v>
      </c>
      <c r="B51" s="18"/>
      <c r="C51" s="18" t="s">
        <v>102</v>
      </c>
      <c r="D51" s="3">
        <v>43</v>
      </c>
      <c r="E51" s="3">
        <v>150</v>
      </c>
      <c r="F51" s="3">
        <v>300</v>
      </c>
      <c r="G51" s="3">
        <f t="shared" ref="G51:G52" si="44">F51-28</f>
        <v>272</v>
      </c>
      <c r="H51" s="3">
        <f t="shared" ref="H51:H66" si="45">F51</f>
        <v>300</v>
      </c>
      <c r="I51" s="3">
        <v>0</v>
      </c>
      <c r="J51" s="3" t="s">
        <v>36</v>
      </c>
      <c r="K51" s="3">
        <f t="shared" si="39"/>
        <v>799.68</v>
      </c>
      <c r="L51" s="19">
        <v>2.94</v>
      </c>
      <c r="M51" s="3" t="s">
        <v>46</v>
      </c>
      <c r="N51" s="3">
        <v>0</v>
      </c>
      <c r="S51" s="3" t="s">
        <v>52</v>
      </c>
      <c r="T51" s="3" t="s">
        <v>45</v>
      </c>
      <c r="U51" s="3" t="s">
        <v>44</v>
      </c>
      <c r="V51" s="3">
        <v>73000</v>
      </c>
      <c r="W51" s="3">
        <v>4.3999999999999997E-2</v>
      </c>
      <c r="X51" s="3">
        <v>2700</v>
      </c>
      <c r="Y51" s="3">
        <v>100</v>
      </c>
      <c r="Z51" s="3">
        <v>200</v>
      </c>
      <c r="AA51" s="3">
        <f t="shared" si="43"/>
        <v>244.8</v>
      </c>
      <c r="AB51" s="3">
        <v>90</v>
      </c>
      <c r="AC51" s="3">
        <v>45</v>
      </c>
      <c r="AD51" s="3">
        <v>90</v>
      </c>
      <c r="AE51" s="3" t="s">
        <v>46</v>
      </c>
    </row>
    <row r="52" spans="1:31" x14ac:dyDescent="0.25">
      <c r="A52" s="18">
        <v>49</v>
      </c>
      <c r="B52" s="18"/>
      <c r="C52" s="18" t="s">
        <v>103</v>
      </c>
      <c r="D52" s="3">
        <v>44.8</v>
      </c>
      <c r="E52" s="3">
        <v>150</v>
      </c>
      <c r="F52" s="3">
        <v>300</v>
      </c>
      <c r="G52" s="3">
        <f t="shared" si="44"/>
        <v>272</v>
      </c>
      <c r="H52" s="3">
        <f t="shared" si="45"/>
        <v>300</v>
      </c>
      <c r="I52" s="3">
        <v>0</v>
      </c>
      <c r="J52" s="3" t="s">
        <v>36</v>
      </c>
      <c r="K52" s="3">
        <f t="shared" si="39"/>
        <v>799.68</v>
      </c>
      <c r="L52" s="19">
        <v>2.94</v>
      </c>
      <c r="M52" s="3" t="s">
        <v>46</v>
      </c>
      <c r="N52" s="3">
        <v>0</v>
      </c>
      <c r="S52" s="3" t="s">
        <v>52</v>
      </c>
      <c r="T52" s="3" t="s">
        <v>45</v>
      </c>
      <c r="U52" s="3" t="s">
        <v>44</v>
      </c>
      <c r="V52" s="3">
        <v>73000</v>
      </c>
      <c r="W52" s="3">
        <v>8.7999999999999995E-2</v>
      </c>
      <c r="X52" s="3">
        <v>2700</v>
      </c>
      <c r="Y52" s="3">
        <v>200</v>
      </c>
      <c r="Z52" s="3">
        <v>200</v>
      </c>
      <c r="AA52" s="3">
        <f t="shared" si="43"/>
        <v>244.8</v>
      </c>
      <c r="AB52" s="3">
        <v>90</v>
      </c>
      <c r="AC52" s="3">
        <v>45</v>
      </c>
      <c r="AD52" s="3">
        <v>114</v>
      </c>
      <c r="AE52" s="3" t="s">
        <v>46</v>
      </c>
    </row>
    <row r="53" spans="1:31" x14ac:dyDescent="0.25">
      <c r="A53" s="18">
        <v>50</v>
      </c>
      <c r="B53" s="18"/>
      <c r="C53" s="18" t="s">
        <v>104</v>
      </c>
      <c r="D53" s="3">
        <v>40.5</v>
      </c>
      <c r="E53" s="3">
        <v>300</v>
      </c>
      <c r="F53" s="3">
        <v>300</v>
      </c>
      <c r="G53" s="3">
        <f>F53-43</f>
        <v>257</v>
      </c>
      <c r="H53" s="3">
        <f t="shared" si="45"/>
        <v>300</v>
      </c>
      <c r="I53" s="3">
        <v>0</v>
      </c>
      <c r="J53" s="3" t="s">
        <v>36</v>
      </c>
      <c r="K53" s="3">
        <f t="shared" si="39"/>
        <v>760.72</v>
      </c>
      <c r="L53" s="3">
        <v>2.96</v>
      </c>
      <c r="M53" s="3" t="s">
        <v>46</v>
      </c>
      <c r="N53" s="3">
        <v>0</v>
      </c>
      <c r="S53" s="3" t="s">
        <v>43</v>
      </c>
      <c r="T53" s="3" t="s">
        <v>45</v>
      </c>
      <c r="U53" s="3" t="s">
        <v>44</v>
      </c>
      <c r="V53" s="3">
        <v>244000</v>
      </c>
      <c r="W53" s="3">
        <v>0.111</v>
      </c>
      <c r="X53" s="3">
        <v>4200</v>
      </c>
      <c r="Y53" s="3">
        <v>200</v>
      </c>
      <c r="Z53" s="3">
        <v>200</v>
      </c>
      <c r="AA53" s="3">
        <f t="shared" si="43"/>
        <v>231.3</v>
      </c>
      <c r="AB53" s="3">
        <v>90</v>
      </c>
      <c r="AC53" s="3">
        <v>45</v>
      </c>
      <c r="AD53" s="3">
        <v>214</v>
      </c>
      <c r="AE53" s="3" t="s">
        <v>46</v>
      </c>
    </row>
    <row r="54" spans="1:31" x14ac:dyDescent="0.25">
      <c r="A54" s="18">
        <v>51</v>
      </c>
      <c r="B54" s="18"/>
      <c r="C54" s="18" t="s">
        <v>105</v>
      </c>
      <c r="D54" s="3">
        <v>40.5</v>
      </c>
      <c r="E54" s="3">
        <v>300</v>
      </c>
      <c r="F54" s="3">
        <v>300</v>
      </c>
      <c r="G54" s="3">
        <f t="shared" ref="G54:G55" si="46">F54-43</f>
        <v>257</v>
      </c>
      <c r="H54" s="3">
        <f t="shared" si="45"/>
        <v>300</v>
      </c>
      <c r="I54" s="3">
        <v>0</v>
      </c>
      <c r="J54" s="3" t="s">
        <v>36</v>
      </c>
      <c r="K54" s="3">
        <f t="shared" si="39"/>
        <v>809.55</v>
      </c>
      <c r="L54" s="3">
        <v>3.15</v>
      </c>
      <c r="M54" s="3" t="s">
        <v>46</v>
      </c>
      <c r="N54" s="3">
        <v>0</v>
      </c>
      <c r="S54" s="3" t="s">
        <v>43</v>
      </c>
      <c r="T54" s="3" t="s">
        <v>45</v>
      </c>
      <c r="U54" s="3" t="s">
        <v>44</v>
      </c>
      <c r="V54" s="3">
        <v>244000</v>
      </c>
      <c r="W54" s="3">
        <v>0.111</v>
      </c>
      <c r="X54" s="3">
        <v>4200</v>
      </c>
      <c r="Y54" s="3">
        <v>100</v>
      </c>
      <c r="Z54" s="3">
        <v>200</v>
      </c>
      <c r="AA54" s="3">
        <f t="shared" si="43"/>
        <v>231.3</v>
      </c>
      <c r="AB54" s="3">
        <v>90</v>
      </c>
      <c r="AC54" s="3">
        <v>45</v>
      </c>
      <c r="AD54" s="3">
        <v>159</v>
      </c>
      <c r="AE54" s="3" t="s">
        <v>46</v>
      </c>
    </row>
    <row r="55" spans="1:31" x14ac:dyDescent="0.25">
      <c r="A55" s="18">
        <v>52</v>
      </c>
      <c r="B55" s="18"/>
      <c r="C55" s="18" t="s">
        <v>106</v>
      </c>
      <c r="D55" s="3">
        <v>44.8</v>
      </c>
      <c r="E55" s="3">
        <v>150</v>
      </c>
      <c r="F55" s="3">
        <v>300</v>
      </c>
      <c r="G55" s="3">
        <f t="shared" si="46"/>
        <v>257</v>
      </c>
      <c r="H55" s="3">
        <f t="shared" si="45"/>
        <v>300</v>
      </c>
      <c r="I55" s="3">
        <v>0</v>
      </c>
      <c r="J55" s="3" t="s">
        <v>36</v>
      </c>
      <c r="K55" s="3">
        <f t="shared" si="39"/>
        <v>809.55</v>
      </c>
      <c r="L55" s="3">
        <v>3.15</v>
      </c>
      <c r="M55" s="3" t="s">
        <v>46</v>
      </c>
      <c r="N55" s="3">
        <v>0</v>
      </c>
      <c r="S55" s="3" t="s">
        <v>43</v>
      </c>
      <c r="T55" s="3" t="s">
        <v>45</v>
      </c>
      <c r="U55" s="3" t="s">
        <v>44</v>
      </c>
      <c r="V55" s="3">
        <v>244000</v>
      </c>
      <c r="W55" s="3">
        <v>0.111</v>
      </c>
      <c r="X55" s="3">
        <v>4200</v>
      </c>
      <c r="Y55" s="3">
        <v>100</v>
      </c>
      <c r="Z55" s="3">
        <v>200</v>
      </c>
      <c r="AA55" s="3">
        <f t="shared" si="43"/>
        <v>231.3</v>
      </c>
      <c r="AB55" s="3">
        <v>90</v>
      </c>
      <c r="AC55" s="3">
        <v>45</v>
      </c>
      <c r="AD55" s="3">
        <v>116</v>
      </c>
      <c r="AE55" s="3" t="s">
        <v>46</v>
      </c>
    </row>
    <row r="56" spans="1:31" x14ac:dyDescent="0.25">
      <c r="A56" s="18">
        <v>53</v>
      </c>
      <c r="B56" s="18"/>
      <c r="C56" s="18" t="s">
        <v>107</v>
      </c>
      <c r="D56" s="3">
        <v>41.9</v>
      </c>
      <c r="E56" s="3">
        <v>150</v>
      </c>
      <c r="F56" s="3">
        <v>300</v>
      </c>
      <c r="G56" s="3">
        <f>F56-47</f>
        <v>253</v>
      </c>
      <c r="H56" s="3">
        <f t="shared" si="45"/>
        <v>300</v>
      </c>
      <c r="I56" s="3">
        <v>0</v>
      </c>
      <c r="J56" s="3" t="s">
        <v>36</v>
      </c>
      <c r="K56" s="3">
        <f t="shared" si="39"/>
        <v>809.6</v>
      </c>
      <c r="L56" s="19">
        <v>3.2</v>
      </c>
      <c r="M56" s="3" t="s">
        <v>46</v>
      </c>
      <c r="N56" s="3">
        <v>0</v>
      </c>
      <c r="S56" s="3" t="s">
        <v>52</v>
      </c>
      <c r="T56" s="3" t="s">
        <v>45</v>
      </c>
      <c r="U56" s="3" t="s">
        <v>44</v>
      </c>
      <c r="V56" s="3">
        <v>73000</v>
      </c>
      <c r="W56" s="3">
        <v>4.3999999999999997E-2</v>
      </c>
      <c r="X56" s="3">
        <v>2700</v>
      </c>
      <c r="Y56" s="3">
        <v>200</v>
      </c>
      <c r="Z56" s="3">
        <v>200</v>
      </c>
      <c r="AA56" s="3">
        <f t="shared" si="43"/>
        <v>227.70000000000002</v>
      </c>
      <c r="AB56" s="3">
        <v>90</v>
      </c>
      <c r="AC56" s="3">
        <v>45</v>
      </c>
      <c r="AD56" s="3">
        <v>110</v>
      </c>
      <c r="AE56" s="3" t="s">
        <v>46</v>
      </c>
    </row>
    <row r="57" spans="1:31" x14ac:dyDescent="0.25">
      <c r="A57" s="18">
        <v>54</v>
      </c>
      <c r="B57" s="18" t="s">
        <v>116</v>
      </c>
      <c r="C57" s="18" t="s">
        <v>108</v>
      </c>
      <c r="D57" s="3">
        <v>45.6</v>
      </c>
      <c r="E57" s="3">
        <v>300</v>
      </c>
      <c r="F57" s="3">
        <v>300</v>
      </c>
      <c r="G57" s="3">
        <f t="shared" ref="G57:G61" si="47">F57-47</f>
        <v>253</v>
      </c>
      <c r="H57" s="3">
        <f t="shared" si="45"/>
        <v>300</v>
      </c>
      <c r="I57" s="3">
        <v>0</v>
      </c>
      <c r="J57" s="3" t="s">
        <v>36</v>
      </c>
      <c r="K57" s="3">
        <f t="shared" si="39"/>
        <v>809.6</v>
      </c>
      <c r="L57" s="19">
        <v>3.2</v>
      </c>
      <c r="M57" s="3" t="s">
        <v>46</v>
      </c>
      <c r="N57" s="3">
        <v>0</v>
      </c>
      <c r="S57" s="3" t="s">
        <v>52</v>
      </c>
      <c r="T57" s="3" t="s">
        <v>45</v>
      </c>
      <c r="U57" s="3" t="s">
        <v>44</v>
      </c>
      <c r="V57" s="3">
        <v>73000</v>
      </c>
      <c r="W57" s="3">
        <v>4.3999999999999997E-2</v>
      </c>
      <c r="X57" s="3">
        <v>2700</v>
      </c>
      <c r="Y57" s="3">
        <v>200</v>
      </c>
      <c r="Z57" s="3">
        <v>200</v>
      </c>
      <c r="AA57" s="3">
        <f t="shared" si="43"/>
        <v>227.70000000000002</v>
      </c>
      <c r="AB57" s="3">
        <v>90</v>
      </c>
      <c r="AC57" s="3">
        <v>45</v>
      </c>
      <c r="AD57" s="3">
        <v>173</v>
      </c>
      <c r="AE57" s="3" t="s">
        <v>46</v>
      </c>
    </row>
    <row r="58" spans="1:31" x14ac:dyDescent="0.25">
      <c r="A58" s="18">
        <v>55</v>
      </c>
      <c r="B58" s="18"/>
      <c r="C58" s="18" t="s">
        <v>109</v>
      </c>
      <c r="D58" s="3">
        <v>41.9</v>
      </c>
      <c r="E58" s="3">
        <v>300</v>
      </c>
      <c r="F58" s="3">
        <v>300</v>
      </c>
      <c r="G58" s="3">
        <f t="shared" si="47"/>
        <v>253</v>
      </c>
      <c r="H58" s="3">
        <f t="shared" si="45"/>
        <v>300</v>
      </c>
      <c r="I58" s="3">
        <v>0</v>
      </c>
      <c r="J58" s="3" t="s">
        <v>36</v>
      </c>
      <c r="K58" s="3">
        <f t="shared" si="39"/>
        <v>809.6</v>
      </c>
      <c r="L58" s="19">
        <v>3.2</v>
      </c>
      <c r="M58" s="3" t="s">
        <v>46</v>
      </c>
      <c r="N58" s="3">
        <v>0</v>
      </c>
      <c r="S58" s="3" t="s">
        <v>52</v>
      </c>
      <c r="T58" s="3" t="s">
        <v>45</v>
      </c>
      <c r="U58" s="3" t="s">
        <v>44</v>
      </c>
      <c r="V58" s="3">
        <v>73000</v>
      </c>
      <c r="W58" s="3">
        <v>8.7999999999999995E-2</v>
      </c>
      <c r="X58" s="3">
        <v>2700</v>
      </c>
      <c r="Y58" s="3">
        <v>200</v>
      </c>
      <c r="Z58" s="3">
        <v>200</v>
      </c>
      <c r="AA58" s="3">
        <f t="shared" si="43"/>
        <v>227.70000000000002</v>
      </c>
      <c r="AB58" s="3">
        <v>90</v>
      </c>
      <c r="AC58" s="3">
        <v>45</v>
      </c>
      <c r="AD58" s="3">
        <v>209</v>
      </c>
      <c r="AE58" s="3" t="s">
        <v>46</v>
      </c>
    </row>
    <row r="59" spans="1:31" x14ac:dyDescent="0.25">
      <c r="A59" s="18">
        <v>56</v>
      </c>
      <c r="B59" s="18"/>
      <c r="C59" s="18" t="s">
        <v>110</v>
      </c>
      <c r="D59" s="3">
        <v>41.9</v>
      </c>
      <c r="E59" s="3">
        <v>300</v>
      </c>
      <c r="F59" s="3">
        <v>300</v>
      </c>
      <c r="G59" s="3">
        <f t="shared" si="47"/>
        <v>253</v>
      </c>
      <c r="H59" s="3">
        <f t="shared" si="45"/>
        <v>300</v>
      </c>
      <c r="I59" s="3">
        <v>0</v>
      </c>
      <c r="J59" s="3" t="s">
        <v>36</v>
      </c>
      <c r="K59" s="3">
        <f t="shared" si="39"/>
        <v>809.6</v>
      </c>
      <c r="L59" s="19">
        <v>3.2</v>
      </c>
      <c r="M59" s="3" t="s">
        <v>46</v>
      </c>
      <c r="N59" s="3">
        <v>0</v>
      </c>
      <c r="S59" s="3" t="s">
        <v>52</v>
      </c>
      <c r="T59" s="3" t="s">
        <v>45</v>
      </c>
      <c r="U59" s="3" t="s">
        <v>44</v>
      </c>
      <c r="V59" s="3">
        <v>73000</v>
      </c>
      <c r="W59" s="3">
        <v>8.7999999999999995E-2</v>
      </c>
      <c r="X59" s="3">
        <v>2700</v>
      </c>
      <c r="Y59" s="3">
        <v>200</v>
      </c>
      <c r="Z59" s="3">
        <v>200</v>
      </c>
      <c r="AA59" s="3">
        <f t="shared" si="43"/>
        <v>227.70000000000002</v>
      </c>
      <c r="AB59" s="3">
        <v>90</v>
      </c>
      <c r="AC59" s="3">
        <v>45</v>
      </c>
      <c r="AD59" s="3">
        <v>224</v>
      </c>
      <c r="AE59" s="3" t="s">
        <v>46</v>
      </c>
    </row>
    <row r="60" spans="1:31" x14ac:dyDescent="0.25">
      <c r="A60" s="18">
        <v>57</v>
      </c>
      <c r="B60" s="18"/>
      <c r="C60" s="18" t="s">
        <v>111</v>
      </c>
      <c r="D60" s="3">
        <v>42.7</v>
      </c>
      <c r="E60" s="3">
        <v>300</v>
      </c>
      <c r="F60" s="3">
        <v>300</v>
      </c>
      <c r="G60" s="3">
        <f t="shared" si="47"/>
        <v>253</v>
      </c>
      <c r="H60" s="3">
        <f t="shared" si="45"/>
        <v>300</v>
      </c>
      <c r="I60" s="3">
        <v>0</v>
      </c>
      <c r="J60" s="3" t="s">
        <v>36</v>
      </c>
      <c r="K60" s="3">
        <f t="shared" si="39"/>
        <v>809.6</v>
      </c>
      <c r="L60" s="19">
        <v>3.2</v>
      </c>
      <c r="M60" s="3" t="s">
        <v>46</v>
      </c>
      <c r="N60" s="3">
        <v>0</v>
      </c>
      <c r="S60" s="3" t="s">
        <v>52</v>
      </c>
      <c r="T60" s="3" t="s">
        <v>45</v>
      </c>
      <c r="U60" s="3" t="s">
        <v>44</v>
      </c>
      <c r="V60" s="3">
        <v>73000</v>
      </c>
      <c r="W60" s="3">
        <v>0.14399999999999999</v>
      </c>
      <c r="X60" s="3">
        <v>2700</v>
      </c>
      <c r="Y60" s="3">
        <v>200</v>
      </c>
      <c r="Z60" s="3">
        <v>200</v>
      </c>
      <c r="AA60" s="3">
        <f t="shared" si="43"/>
        <v>227.70000000000002</v>
      </c>
      <c r="AB60" s="3">
        <v>90</v>
      </c>
      <c r="AC60" s="3">
        <v>45</v>
      </c>
      <c r="AD60" s="3">
        <v>254</v>
      </c>
      <c r="AE60" s="3" t="s">
        <v>46</v>
      </c>
    </row>
    <row r="61" spans="1:31" x14ac:dyDescent="0.25">
      <c r="A61" s="18">
        <v>58</v>
      </c>
      <c r="B61" s="18"/>
      <c r="C61" s="18" t="s">
        <v>112</v>
      </c>
      <c r="D61" s="3">
        <v>43.5</v>
      </c>
      <c r="E61" s="3">
        <v>600</v>
      </c>
      <c r="F61" s="3">
        <v>300</v>
      </c>
      <c r="G61" s="3">
        <f t="shared" si="47"/>
        <v>253</v>
      </c>
      <c r="H61" s="3">
        <f t="shared" si="45"/>
        <v>300</v>
      </c>
      <c r="I61" s="3">
        <v>0</v>
      </c>
      <c r="J61" s="3" t="s">
        <v>36</v>
      </c>
      <c r="K61" s="3">
        <f t="shared" si="39"/>
        <v>809.6</v>
      </c>
      <c r="L61" s="19">
        <v>3.2</v>
      </c>
      <c r="M61" s="3" t="s">
        <v>46</v>
      </c>
      <c r="N61" s="3">
        <v>0</v>
      </c>
      <c r="S61" s="3" t="s">
        <v>52</v>
      </c>
      <c r="T61" s="3" t="s">
        <v>45</v>
      </c>
      <c r="U61" s="3" t="s">
        <v>44</v>
      </c>
      <c r="V61" s="3">
        <v>73000</v>
      </c>
      <c r="W61" s="3">
        <v>0.14399999999999999</v>
      </c>
      <c r="X61" s="3">
        <v>2700</v>
      </c>
      <c r="Y61" s="3">
        <v>200</v>
      </c>
      <c r="Z61" s="3">
        <v>200</v>
      </c>
      <c r="AA61" s="3">
        <f t="shared" si="43"/>
        <v>227.70000000000002</v>
      </c>
      <c r="AB61" s="3">
        <v>90</v>
      </c>
      <c r="AC61" s="3">
        <v>45</v>
      </c>
      <c r="AD61" s="3">
        <v>424</v>
      </c>
      <c r="AE61" s="3" t="s">
        <v>46</v>
      </c>
    </row>
    <row r="62" spans="1:31" x14ac:dyDescent="0.25">
      <c r="A62" s="18">
        <v>59</v>
      </c>
      <c r="B62" s="18"/>
      <c r="C62" s="18" t="s">
        <v>113</v>
      </c>
      <c r="D62" s="3">
        <v>39.9</v>
      </c>
      <c r="E62" s="3">
        <v>450</v>
      </c>
      <c r="F62" s="3">
        <v>450</v>
      </c>
      <c r="G62" s="3">
        <f>F62-51</f>
        <v>399</v>
      </c>
      <c r="H62" s="3">
        <f t="shared" si="45"/>
        <v>450</v>
      </c>
      <c r="I62" s="3">
        <v>0</v>
      </c>
      <c r="J62" s="3" t="s">
        <v>36</v>
      </c>
      <c r="K62" s="3">
        <f t="shared" si="39"/>
        <v>1200.99</v>
      </c>
      <c r="L62" s="19">
        <v>3.01</v>
      </c>
      <c r="M62" s="3" t="s">
        <v>46</v>
      </c>
      <c r="N62" s="3">
        <v>0</v>
      </c>
      <c r="S62" s="3" t="s">
        <v>52</v>
      </c>
      <c r="T62" s="3" t="s">
        <v>45</v>
      </c>
      <c r="U62" s="3" t="s">
        <v>44</v>
      </c>
      <c r="V62" s="3">
        <v>73000</v>
      </c>
      <c r="W62" s="3">
        <v>0.14399999999999999</v>
      </c>
      <c r="X62" s="3">
        <v>2700</v>
      </c>
      <c r="Y62" s="3">
        <v>200</v>
      </c>
      <c r="Z62" s="3">
        <v>200</v>
      </c>
      <c r="AA62" s="3">
        <f t="shared" si="43"/>
        <v>359.1</v>
      </c>
      <c r="AB62" s="3">
        <v>90</v>
      </c>
      <c r="AC62" s="3">
        <v>45</v>
      </c>
      <c r="AD62" s="3">
        <v>379</v>
      </c>
      <c r="AE62" s="3" t="s">
        <v>46</v>
      </c>
    </row>
    <row r="63" spans="1:31" x14ac:dyDescent="0.25">
      <c r="A63" s="18">
        <v>60</v>
      </c>
      <c r="B63" s="18"/>
      <c r="C63" s="18" t="s">
        <v>114</v>
      </c>
      <c r="D63" s="3">
        <v>39.9</v>
      </c>
      <c r="E63" s="3">
        <v>550</v>
      </c>
      <c r="F63" s="3">
        <v>550</v>
      </c>
      <c r="G63" s="3">
        <f>F63-51</f>
        <v>499</v>
      </c>
      <c r="H63" s="3">
        <f t="shared" si="45"/>
        <v>550</v>
      </c>
      <c r="I63" s="3">
        <v>0</v>
      </c>
      <c r="J63" s="3" t="s">
        <v>36</v>
      </c>
      <c r="K63" s="3">
        <f t="shared" si="39"/>
        <v>1501.9899999999998</v>
      </c>
      <c r="L63" s="19">
        <v>3.01</v>
      </c>
      <c r="M63" s="3" t="s">
        <v>46</v>
      </c>
      <c r="N63" s="3">
        <v>0</v>
      </c>
      <c r="S63" s="3" t="s">
        <v>52</v>
      </c>
      <c r="T63" s="3" t="s">
        <v>45</v>
      </c>
      <c r="U63" s="3" t="s">
        <v>44</v>
      </c>
      <c r="V63" s="3">
        <v>73000</v>
      </c>
      <c r="W63" s="3">
        <v>0.14399999999999999</v>
      </c>
      <c r="X63" s="3">
        <v>2700</v>
      </c>
      <c r="Y63" s="3">
        <v>200</v>
      </c>
      <c r="Z63" s="3">
        <v>200</v>
      </c>
      <c r="AA63" s="3">
        <f t="shared" si="43"/>
        <v>449.1</v>
      </c>
      <c r="AB63" s="3">
        <v>90</v>
      </c>
      <c r="AC63" s="3">
        <v>45</v>
      </c>
      <c r="AD63" s="3">
        <v>569</v>
      </c>
      <c r="AE63" s="3" t="s">
        <v>46</v>
      </c>
    </row>
    <row r="64" spans="1:31" x14ac:dyDescent="0.25">
      <c r="A64" s="18">
        <v>61</v>
      </c>
      <c r="B64" s="18"/>
      <c r="C64" s="18" t="s">
        <v>115</v>
      </c>
      <c r="D64" s="3">
        <v>40.6</v>
      </c>
      <c r="E64" s="3">
        <v>550</v>
      </c>
      <c r="F64" s="3">
        <v>550</v>
      </c>
      <c r="G64" s="3">
        <f>F64-51</f>
        <v>499</v>
      </c>
      <c r="H64" s="3">
        <f t="shared" si="45"/>
        <v>550</v>
      </c>
      <c r="I64" s="3">
        <v>0</v>
      </c>
      <c r="J64" s="3" t="s">
        <v>36</v>
      </c>
      <c r="K64" s="3">
        <f t="shared" si="39"/>
        <v>1501.9899999999998</v>
      </c>
      <c r="L64" s="19">
        <v>3.01</v>
      </c>
      <c r="M64" s="3" t="s">
        <v>46</v>
      </c>
      <c r="N64" s="3">
        <v>0</v>
      </c>
      <c r="S64" s="3" t="s">
        <v>52</v>
      </c>
      <c r="T64" s="3" t="s">
        <v>45</v>
      </c>
      <c r="U64" s="3" t="s">
        <v>44</v>
      </c>
      <c r="V64" s="3">
        <v>73000</v>
      </c>
      <c r="W64" s="3">
        <v>0.28799999999999998</v>
      </c>
      <c r="X64" s="3">
        <v>2700</v>
      </c>
      <c r="Y64" s="3">
        <v>200</v>
      </c>
      <c r="Z64" s="3">
        <v>200</v>
      </c>
      <c r="AA64" s="3">
        <f t="shared" si="43"/>
        <v>449.1</v>
      </c>
      <c r="AB64" s="3">
        <v>90</v>
      </c>
      <c r="AC64" s="3">
        <v>45</v>
      </c>
      <c r="AD64" s="3">
        <v>662</v>
      </c>
      <c r="AE64" s="3" t="s">
        <v>46</v>
      </c>
    </row>
    <row r="65" spans="1:31" x14ac:dyDescent="0.25">
      <c r="A65" s="18">
        <v>62</v>
      </c>
      <c r="B65" s="18" t="s">
        <v>122</v>
      </c>
      <c r="C65" s="18" t="s">
        <v>121</v>
      </c>
      <c r="D65" s="3">
        <v>34.700000000000003</v>
      </c>
      <c r="E65" s="3">
        <v>200</v>
      </c>
      <c r="F65" s="3">
        <v>450</v>
      </c>
      <c r="G65" s="3">
        <v>395</v>
      </c>
      <c r="H65" s="3">
        <f t="shared" si="45"/>
        <v>450</v>
      </c>
      <c r="I65" s="3">
        <v>0</v>
      </c>
      <c r="J65" s="3" t="s">
        <v>36</v>
      </c>
      <c r="K65" s="3">
        <f t="shared" si="39"/>
        <v>1248.2</v>
      </c>
      <c r="L65" s="19">
        <v>3.16</v>
      </c>
      <c r="M65" s="18" t="s">
        <v>42</v>
      </c>
      <c r="N65" s="3">
        <v>6</v>
      </c>
      <c r="O65" s="3">
        <v>400</v>
      </c>
      <c r="P65" s="18">
        <v>200000</v>
      </c>
      <c r="Q65" s="3">
        <v>486.1</v>
      </c>
      <c r="R65" s="3">
        <f t="shared" ref="R65" si="48">100*2*3.1416*N65^2/4/O65/E65</f>
        <v>7.0685999999999985E-2</v>
      </c>
      <c r="S65" s="3" t="s">
        <v>43</v>
      </c>
      <c r="T65" s="3" t="s">
        <v>45</v>
      </c>
      <c r="U65" s="3" t="s">
        <v>44</v>
      </c>
      <c r="V65" s="3">
        <v>240000</v>
      </c>
      <c r="W65" s="3">
        <v>0.11</v>
      </c>
      <c r="X65" s="3">
        <v>3400</v>
      </c>
      <c r="Y65" s="3">
        <v>50</v>
      </c>
      <c r="Z65" s="3">
        <v>200</v>
      </c>
      <c r="AA65" s="3">
        <f t="shared" si="43"/>
        <v>355.5</v>
      </c>
      <c r="AB65" s="3">
        <v>90</v>
      </c>
      <c r="AC65" s="3">
        <v>45</v>
      </c>
      <c r="AD65" s="3">
        <v>236</v>
      </c>
      <c r="AE65" s="3" t="s">
        <v>46</v>
      </c>
    </row>
    <row r="66" spans="1:31" x14ac:dyDescent="0.25">
      <c r="A66" s="3">
        <v>63</v>
      </c>
      <c r="B66" s="3" t="s">
        <v>125</v>
      </c>
      <c r="C66" s="3" t="s">
        <v>123</v>
      </c>
      <c r="D66" s="3">
        <v>14</v>
      </c>
      <c r="E66" s="3">
        <v>120</v>
      </c>
      <c r="F66" s="3">
        <v>360</v>
      </c>
      <c r="G66" s="3">
        <v>335</v>
      </c>
      <c r="H66" s="3">
        <f t="shared" si="45"/>
        <v>360</v>
      </c>
      <c r="I66" s="3">
        <v>75</v>
      </c>
      <c r="J66" s="3" t="s">
        <v>36</v>
      </c>
      <c r="K66" s="3">
        <v>1750</v>
      </c>
      <c r="L66" s="19">
        <f>K66/G66</f>
        <v>5.2238805970149258</v>
      </c>
      <c r="M66" s="3" t="s">
        <v>46</v>
      </c>
      <c r="N66" s="3">
        <v>0</v>
      </c>
      <c r="S66" s="3" t="s">
        <v>43</v>
      </c>
      <c r="T66" s="3" t="s">
        <v>45</v>
      </c>
      <c r="U66" s="21" t="s">
        <v>44</v>
      </c>
      <c r="V66" s="3">
        <v>231000</v>
      </c>
      <c r="W66" s="18">
        <v>0.124</v>
      </c>
      <c r="X66" s="3">
        <v>4100</v>
      </c>
      <c r="Y66" s="3">
        <v>50</v>
      </c>
      <c r="Z66" s="3">
        <v>80</v>
      </c>
      <c r="AA66" s="3">
        <f t="shared" si="43"/>
        <v>226.5</v>
      </c>
      <c r="AB66" s="3">
        <v>90</v>
      </c>
      <c r="AC66" s="3">
        <v>45</v>
      </c>
      <c r="AD66" s="3">
        <v>80</v>
      </c>
      <c r="AE66" s="3" t="s">
        <v>46</v>
      </c>
    </row>
    <row r="67" spans="1:31" x14ac:dyDescent="0.25">
      <c r="A67" s="3">
        <v>64</v>
      </c>
      <c r="C67" s="3" t="s">
        <v>124</v>
      </c>
      <c r="D67" s="3">
        <v>14.2</v>
      </c>
      <c r="E67" s="3">
        <v>120</v>
      </c>
      <c r="F67" s="3">
        <v>360</v>
      </c>
      <c r="G67" s="3">
        <v>335</v>
      </c>
      <c r="H67" s="3">
        <f t="shared" ref="H67" si="49">F67</f>
        <v>360</v>
      </c>
      <c r="I67" s="3">
        <v>75</v>
      </c>
      <c r="J67" s="3" t="s">
        <v>36</v>
      </c>
      <c r="K67" s="3">
        <v>1750</v>
      </c>
      <c r="L67" s="19">
        <f>K67/G67</f>
        <v>5.2238805970149258</v>
      </c>
      <c r="M67" s="3" t="s">
        <v>46</v>
      </c>
      <c r="N67" s="3">
        <v>0</v>
      </c>
      <c r="S67" s="3" t="s">
        <v>43</v>
      </c>
      <c r="T67" s="3" t="s">
        <v>53</v>
      </c>
      <c r="U67" s="21" t="s">
        <v>44</v>
      </c>
      <c r="V67" s="3">
        <v>231000</v>
      </c>
      <c r="W67" s="18">
        <v>0.124</v>
      </c>
      <c r="X67" s="3">
        <v>4100</v>
      </c>
      <c r="Y67" s="3">
        <v>1</v>
      </c>
      <c r="Z67" s="3">
        <v>1</v>
      </c>
      <c r="AA67" s="3">
        <f t="shared" si="43"/>
        <v>226.5</v>
      </c>
      <c r="AB67" s="3">
        <v>90</v>
      </c>
      <c r="AC67" s="3">
        <v>45</v>
      </c>
      <c r="AD67" s="3">
        <v>89.3</v>
      </c>
      <c r="AE67" s="3" t="s">
        <v>46</v>
      </c>
    </row>
    <row r="68" spans="1:31" s="1" customFormat="1" x14ac:dyDescent="0.25">
      <c r="A68" s="22">
        <v>65</v>
      </c>
      <c r="B68" s="22" t="s">
        <v>126</v>
      </c>
      <c r="C68" s="22" t="s">
        <v>127</v>
      </c>
      <c r="D68" s="22">
        <v>56.91</v>
      </c>
      <c r="E68" s="22">
        <v>120</v>
      </c>
      <c r="F68" s="22">
        <v>300</v>
      </c>
      <c r="G68" s="22">
        <v>265</v>
      </c>
      <c r="H68" s="22">
        <v>220</v>
      </c>
      <c r="I68" s="22">
        <v>80</v>
      </c>
      <c r="J68" s="22" t="s">
        <v>93</v>
      </c>
      <c r="K68" s="22">
        <v>700</v>
      </c>
      <c r="L68" s="22">
        <f t="shared" ref="L68" si="50">K68/G68</f>
        <v>2.641509433962264</v>
      </c>
      <c r="M68" s="22" t="s">
        <v>42</v>
      </c>
      <c r="N68" s="22">
        <v>5</v>
      </c>
      <c r="O68" s="22">
        <v>290</v>
      </c>
      <c r="P68" s="22">
        <v>188000</v>
      </c>
      <c r="Q68" s="22">
        <v>517</v>
      </c>
      <c r="R68" s="22">
        <f>100*2*3.1416*N68^2/4/O68/E68</f>
        <v>0.11284482758620688</v>
      </c>
      <c r="S68" s="22" t="s">
        <v>43</v>
      </c>
      <c r="T68" s="22" t="s">
        <v>45</v>
      </c>
      <c r="U68" s="21" t="s">
        <v>44</v>
      </c>
      <c r="V68" s="22">
        <v>218900</v>
      </c>
      <c r="W68" s="22">
        <v>0.16500000000000001</v>
      </c>
      <c r="X68" s="22">
        <v>2730</v>
      </c>
      <c r="Y68" s="22">
        <v>60</v>
      </c>
      <c r="Z68" s="22">
        <v>150</v>
      </c>
      <c r="AA68" s="22">
        <f t="shared" si="43"/>
        <v>78.5</v>
      </c>
      <c r="AB68" s="22">
        <v>90</v>
      </c>
      <c r="AC68" s="22">
        <v>45</v>
      </c>
      <c r="AD68" s="22">
        <v>152.5</v>
      </c>
      <c r="AE68" s="22">
        <v>80</v>
      </c>
    </row>
    <row r="69" spans="1:31" x14ac:dyDescent="0.25">
      <c r="A69" s="3">
        <v>66</v>
      </c>
      <c r="B69" s="3" t="s">
        <v>128</v>
      </c>
      <c r="C69" s="3">
        <v>3</v>
      </c>
      <c r="D69" s="3">
        <v>24.6</v>
      </c>
      <c r="E69" s="3">
        <v>100</v>
      </c>
      <c r="F69" s="3">
        <v>200</v>
      </c>
      <c r="G69" s="23">
        <v>170</v>
      </c>
      <c r="H69" s="23">
        <v>200</v>
      </c>
      <c r="I69" s="23">
        <v>0</v>
      </c>
      <c r="J69" s="23" t="s">
        <v>36</v>
      </c>
      <c r="K69" s="23">
        <v>425</v>
      </c>
      <c r="L69" s="24">
        <f>K69/G69</f>
        <v>2.5</v>
      </c>
      <c r="M69" s="3" t="s">
        <v>46</v>
      </c>
      <c r="N69" s="3">
        <v>0</v>
      </c>
      <c r="S69" s="3" t="s">
        <v>43</v>
      </c>
      <c r="T69" s="3" t="s">
        <v>53</v>
      </c>
      <c r="U69" s="3" t="s">
        <v>44</v>
      </c>
      <c r="V69" s="3">
        <v>230000</v>
      </c>
      <c r="W69" s="3">
        <v>9.7000000000000003E-2</v>
      </c>
      <c r="X69" s="3">
        <v>2645</v>
      </c>
      <c r="Y69" s="3">
        <v>1</v>
      </c>
      <c r="Z69" s="3">
        <v>1</v>
      </c>
      <c r="AA69" s="3">
        <f t="shared" si="43"/>
        <v>153</v>
      </c>
      <c r="AB69" s="3">
        <v>90</v>
      </c>
      <c r="AC69" s="3">
        <v>45</v>
      </c>
      <c r="AD69" s="3">
        <v>59.5</v>
      </c>
      <c r="AE69" s="3">
        <v>34.5</v>
      </c>
    </row>
    <row r="70" spans="1:31" x14ac:dyDescent="0.25">
      <c r="A70" s="17">
        <v>67</v>
      </c>
      <c r="B70" s="17"/>
      <c r="C70" s="17" t="s">
        <v>129</v>
      </c>
      <c r="D70" s="3">
        <v>24.5</v>
      </c>
      <c r="E70" s="3">
        <v>200</v>
      </c>
      <c r="F70" s="3">
        <v>400</v>
      </c>
      <c r="G70" s="3">
        <v>336</v>
      </c>
      <c r="H70" s="3">
        <v>400</v>
      </c>
      <c r="I70" s="3">
        <v>0</v>
      </c>
      <c r="J70" s="3" t="s">
        <v>36</v>
      </c>
      <c r="K70" s="3">
        <v>524</v>
      </c>
      <c r="L70" s="19">
        <f>K70/G70</f>
        <v>1.5595238095238095</v>
      </c>
      <c r="M70" s="3" t="s">
        <v>42</v>
      </c>
      <c r="N70" s="3">
        <v>6</v>
      </c>
      <c r="O70" s="3">
        <v>172</v>
      </c>
      <c r="P70" s="3">
        <v>188000</v>
      </c>
      <c r="Q70" s="3">
        <v>344</v>
      </c>
      <c r="R70" s="3">
        <f t="shared" ref="R70" si="51">100*2*3.1416*N70^2/4/O70/E70</f>
        <v>0.16438604651162789</v>
      </c>
      <c r="S70" s="3" t="s">
        <v>43</v>
      </c>
      <c r="T70" s="3" t="s">
        <v>45</v>
      </c>
      <c r="U70" s="3" t="s">
        <v>44</v>
      </c>
      <c r="V70" s="3">
        <v>235000</v>
      </c>
      <c r="W70" s="3">
        <v>0.111</v>
      </c>
      <c r="X70" s="3">
        <v>3835</v>
      </c>
      <c r="Y70" s="3">
        <v>40</v>
      </c>
      <c r="Z70" s="3">
        <v>170.76900000000001</v>
      </c>
      <c r="AA70" s="3">
        <f t="shared" si="43"/>
        <v>302.40000000000003</v>
      </c>
      <c r="AB70" s="3">
        <v>90</v>
      </c>
      <c r="AC70" s="3">
        <v>45</v>
      </c>
      <c r="AD70" s="3">
        <v>118</v>
      </c>
      <c r="AE70" s="3">
        <v>17.5</v>
      </c>
    </row>
    <row r="71" spans="1:31" x14ac:dyDescent="0.25">
      <c r="A71" s="17">
        <v>68</v>
      </c>
      <c r="B71" s="17"/>
      <c r="C71" s="17" t="s">
        <v>131</v>
      </c>
      <c r="D71" s="3">
        <v>24.6</v>
      </c>
      <c r="E71" s="3">
        <v>200</v>
      </c>
      <c r="F71" s="3">
        <v>400</v>
      </c>
      <c r="G71" s="3">
        <v>336</v>
      </c>
      <c r="H71" s="3">
        <v>400</v>
      </c>
      <c r="I71" s="3">
        <v>0</v>
      </c>
      <c r="J71" s="3" t="s">
        <v>36</v>
      </c>
      <c r="K71" s="3">
        <v>524</v>
      </c>
      <c r="L71" s="19">
        <f>K71/G71</f>
        <v>1.5595238095238095</v>
      </c>
      <c r="M71" s="3" t="s">
        <v>42</v>
      </c>
      <c r="N71" s="3">
        <v>6</v>
      </c>
      <c r="O71" s="3">
        <v>172</v>
      </c>
      <c r="P71" s="3">
        <v>188000</v>
      </c>
      <c r="Q71" s="3">
        <v>344</v>
      </c>
      <c r="R71" s="3">
        <f t="shared" ref="R71" si="52">100*2*3.1416*N71^2/4/O71/E71</f>
        <v>0.16438604651162789</v>
      </c>
      <c r="S71" s="3" t="s">
        <v>43</v>
      </c>
      <c r="T71" s="3" t="s">
        <v>45</v>
      </c>
      <c r="U71" s="3" t="s">
        <v>44</v>
      </c>
      <c r="V71" s="3">
        <v>235000</v>
      </c>
      <c r="W71" s="3">
        <v>0.111</v>
      </c>
      <c r="X71" s="3">
        <v>3835</v>
      </c>
      <c r="Y71" s="3">
        <v>70</v>
      </c>
      <c r="Z71" s="3">
        <v>172.667</v>
      </c>
      <c r="AA71" s="3">
        <f t="shared" si="43"/>
        <v>302.40000000000003</v>
      </c>
      <c r="AB71" s="3">
        <v>90</v>
      </c>
      <c r="AC71" s="3">
        <v>45</v>
      </c>
      <c r="AD71" s="3">
        <v>131</v>
      </c>
      <c r="AE71" s="3">
        <v>30.5</v>
      </c>
    </row>
    <row r="72" spans="1:31" x14ac:dyDescent="0.25">
      <c r="A72" s="17">
        <v>69</v>
      </c>
      <c r="B72" s="17"/>
      <c r="C72" s="17" t="s">
        <v>132</v>
      </c>
      <c r="D72" s="3">
        <v>24.9</v>
      </c>
      <c r="E72" s="3">
        <v>200</v>
      </c>
      <c r="F72" s="3">
        <v>400</v>
      </c>
      <c r="G72" s="3">
        <v>336</v>
      </c>
      <c r="H72" s="3">
        <v>400</v>
      </c>
      <c r="I72" s="3">
        <v>0</v>
      </c>
      <c r="J72" s="3" t="s">
        <v>36</v>
      </c>
      <c r="K72" s="3">
        <v>524</v>
      </c>
      <c r="L72" s="19">
        <f>K72/G72</f>
        <v>1.5595238095238095</v>
      </c>
      <c r="M72" s="3" t="s">
        <v>42</v>
      </c>
      <c r="N72" s="3">
        <v>6</v>
      </c>
      <c r="O72" s="3">
        <v>172</v>
      </c>
      <c r="P72" s="3">
        <v>188000</v>
      </c>
      <c r="Q72" s="3">
        <v>344</v>
      </c>
      <c r="R72" s="3">
        <f t="shared" ref="R72" si="53">100*2*3.1416*N72^2/4/O72/E72</f>
        <v>0.16438604651162789</v>
      </c>
      <c r="S72" s="3" t="s">
        <v>43</v>
      </c>
      <c r="T72" s="3" t="s">
        <v>45</v>
      </c>
      <c r="U72" s="3" t="s">
        <v>44</v>
      </c>
      <c r="V72" s="3">
        <v>235000</v>
      </c>
      <c r="W72" s="3">
        <v>0.111</v>
      </c>
      <c r="X72" s="3">
        <v>3835</v>
      </c>
      <c r="Y72" s="3">
        <v>120</v>
      </c>
      <c r="Z72" s="3">
        <v>172.98699999999999</v>
      </c>
      <c r="AA72" s="3">
        <f t="shared" si="43"/>
        <v>302.40000000000003</v>
      </c>
      <c r="AB72" s="3">
        <v>90</v>
      </c>
      <c r="AC72" s="3">
        <v>45</v>
      </c>
      <c r="AD72" s="3">
        <v>153.5</v>
      </c>
      <c r="AE72" s="3">
        <v>53</v>
      </c>
    </row>
    <row r="73" spans="1:31" x14ac:dyDescent="0.25">
      <c r="A73" s="17">
        <v>70</v>
      </c>
      <c r="B73" s="17" t="s">
        <v>130</v>
      </c>
      <c r="C73" s="17" t="s">
        <v>133</v>
      </c>
      <c r="D73" s="3">
        <v>25.1</v>
      </c>
      <c r="E73" s="3">
        <v>200</v>
      </c>
      <c r="F73" s="3">
        <v>400</v>
      </c>
      <c r="G73" s="3">
        <v>336</v>
      </c>
      <c r="H73" s="3">
        <v>400</v>
      </c>
      <c r="I73" s="3">
        <v>0</v>
      </c>
      <c r="J73" s="3" t="s">
        <v>36</v>
      </c>
      <c r="K73" s="3">
        <v>524</v>
      </c>
      <c r="L73" s="19">
        <f>K73/G73</f>
        <v>1.5595238095238095</v>
      </c>
      <c r="M73" s="3" t="s">
        <v>42</v>
      </c>
      <c r="N73" s="3">
        <v>6</v>
      </c>
      <c r="O73" s="3">
        <v>172</v>
      </c>
      <c r="P73" s="3">
        <v>188000</v>
      </c>
      <c r="Q73" s="3">
        <v>344</v>
      </c>
      <c r="R73" s="3">
        <f t="shared" ref="R73" si="54">100*2*3.1416*N73^2/4/O73/E73</f>
        <v>0.16438604651162789</v>
      </c>
      <c r="S73" s="3" t="s">
        <v>43</v>
      </c>
      <c r="T73" s="3" t="s">
        <v>53</v>
      </c>
      <c r="U73" s="3" t="s">
        <v>44</v>
      </c>
      <c r="V73" s="3">
        <v>235000</v>
      </c>
      <c r="W73" s="3">
        <v>0.111</v>
      </c>
      <c r="X73" s="3">
        <v>3835</v>
      </c>
      <c r="Y73" s="3">
        <v>1</v>
      </c>
      <c r="Z73" s="3">
        <v>1</v>
      </c>
      <c r="AA73" s="3">
        <f t="shared" si="43"/>
        <v>302.40000000000003</v>
      </c>
      <c r="AB73" s="3">
        <v>90</v>
      </c>
      <c r="AC73" s="3">
        <v>45</v>
      </c>
      <c r="AD73" s="3">
        <v>179</v>
      </c>
      <c r="AE73" s="3">
        <v>78.5</v>
      </c>
    </row>
    <row r="74" spans="1:31" x14ac:dyDescent="0.25">
      <c r="A74" s="17">
        <v>71</v>
      </c>
      <c r="B74" s="17"/>
      <c r="C74" s="17" t="s">
        <v>134</v>
      </c>
      <c r="D74" s="3">
        <v>25.3</v>
      </c>
      <c r="E74" s="3">
        <v>200</v>
      </c>
      <c r="F74" s="3">
        <v>400</v>
      </c>
      <c r="G74" s="3">
        <v>336</v>
      </c>
      <c r="H74" s="3">
        <v>400</v>
      </c>
      <c r="I74" s="3">
        <v>0</v>
      </c>
      <c r="J74" s="3" t="s">
        <v>36</v>
      </c>
      <c r="K74" s="3">
        <v>524</v>
      </c>
      <c r="L74" s="19">
        <f>K74/G74</f>
        <v>1.5595238095238095</v>
      </c>
      <c r="M74" s="3" t="s">
        <v>42</v>
      </c>
      <c r="N74" s="3">
        <v>6</v>
      </c>
      <c r="O74" s="3">
        <v>172</v>
      </c>
      <c r="P74" s="3">
        <v>188000</v>
      </c>
      <c r="Q74" s="3">
        <v>344</v>
      </c>
      <c r="R74" s="3">
        <f t="shared" ref="R74" si="55">100*2*3.1416*N74^2/4/O74/E74</f>
        <v>0.16438604651162789</v>
      </c>
      <c r="S74" s="3" t="s">
        <v>43</v>
      </c>
      <c r="T74" s="3" t="s">
        <v>53</v>
      </c>
      <c r="U74" s="3" t="s">
        <v>44</v>
      </c>
      <c r="V74" s="3">
        <v>235000</v>
      </c>
      <c r="W74" s="3">
        <v>0.222</v>
      </c>
      <c r="X74" s="3">
        <v>3835</v>
      </c>
      <c r="Y74" s="3">
        <v>1</v>
      </c>
      <c r="Z74" s="3">
        <v>1</v>
      </c>
      <c r="AA74" s="3">
        <f t="shared" si="43"/>
        <v>302.40000000000003</v>
      </c>
      <c r="AB74" s="3">
        <v>90</v>
      </c>
      <c r="AC74" s="3">
        <v>45</v>
      </c>
      <c r="AD74" s="3">
        <v>203.5</v>
      </c>
      <c r="AE74" s="3">
        <v>103</v>
      </c>
    </row>
    <row r="75" spans="1:31" x14ac:dyDescent="0.25">
      <c r="A75" s="17">
        <v>72</v>
      </c>
      <c r="B75" s="17"/>
      <c r="C75" s="17" t="s">
        <v>135</v>
      </c>
      <c r="D75" s="3">
        <v>25.5</v>
      </c>
      <c r="E75" s="3">
        <v>200</v>
      </c>
      <c r="F75" s="3">
        <v>400</v>
      </c>
      <c r="G75" s="3">
        <v>336</v>
      </c>
      <c r="H75" s="3">
        <v>400</v>
      </c>
      <c r="I75" s="3">
        <v>0</v>
      </c>
      <c r="J75" s="3" t="s">
        <v>36</v>
      </c>
      <c r="K75" s="3">
        <v>524</v>
      </c>
      <c r="L75" s="19">
        <f>K75/G75</f>
        <v>1.5595238095238095</v>
      </c>
      <c r="M75" s="3" t="s">
        <v>42</v>
      </c>
      <c r="N75" s="3">
        <v>6</v>
      </c>
      <c r="O75" s="3">
        <v>172</v>
      </c>
      <c r="P75" s="3">
        <v>188000</v>
      </c>
      <c r="Q75" s="3">
        <v>344</v>
      </c>
      <c r="R75" s="3">
        <f t="shared" ref="R75" si="56">100*2*3.1416*N75^2/4/O75/E75</f>
        <v>0.16438604651162789</v>
      </c>
      <c r="S75" s="3" t="s">
        <v>52</v>
      </c>
      <c r="T75" s="3" t="s">
        <v>45</v>
      </c>
      <c r="U75" s="3" t="s">
        <v>44</v>
      </c>
      <c r="V75" s="3">
        <v>84500</v>
      </c>
      <c r="W75" s="3">
        <v>0.14399999999999999</v>
      </c>
      <c r="X75" s="3">
        <v>2715</v>
      </c>
      <c r="Y75" s="3">
        <v>70</v>
      </c>
      <c r="Z75" s="3">
        <v>170847</v>
      </c>
      <c r="AA75" s="3">
        <f t="shared" si="43"/>
        <v>302.40000000000003</v>
      </c>
      <c r="AB75" s="3">
        <v>90</v>
      </c>
      <c r="AC75" s="3">
        <v>45</v>
      </c>
      <c r="AD75" s="3">
        <v>118.5</v>
      </c>
      <c r="AE75" s="3">
        <v>18.5</v>
      </c>
    </row>
    <row r="76" spans="1:31" x14ac:dyDescent="0.25">
      <c r="A76" s="17">
        <v>73</v>
      </c>
      <c r="B76" s="17"/>
      <c r="C76" s="17" t="s">
        <v>136</v>
      </c>
      <c r="D76" s="3">
        <v>25.6</v>
      </c>
      <c r="E76" s="3">
        <v>200</v>
      </c>
      <c r="F76" s="3">
        <v>400</v>
      </c>
      <c r="G76" s="3">
        <v>336</v>
      </c>
      <c r="H76" s="3">
        <v>400</v>
      </c>
      <c r="I76" s="3">
        <v>0</v>
      </c>
      <c r="J76" s="3" t="s">
        <v>36</v>
      </c>
      <c r="K76" s="3">
        <v>524</v>
      </c>
      <c r="L76" s="19">
        <f>K76/G76</f>
        <v>1.5595238095238095</v>
      </c>
      <c r="M76" s="3" t="s">
        <v>42</v>
      </c>
      <c r="N76" s="3">
        <v>6</v>
      </c>
      <c r="O76" s="3">
        <v>172</v>
      </c>
      <c r="P76" s="3">
        <v>188000</v>
      </c>
      <c r="Q76" s="3">
        <v>344</v>
      </c>
      <c r="R76" s="3">
        <f t="shared" ref="R76" si="57">100*2*3.1416*N76^2/4/O76/E76</f>
        <v>0.16438604651162789</v>
      </c>
      <c r="S76" s="3" t="s">
        <v>52</v>
      </c>
      <c r="T76" s="3" t="s">
        <v>45</v>
      </c>
      <c r="U76" s="3" t="s">
        <v>44</v>
      </c>
      <c r="V76" s="3">
        <v>84500</v>
      </c>
      <c r="W76" s="3">
        <v>0.14399999999999999</v>
      </c>
      <c r="X76" s="3">
        <v>2715</v>
      </c>
      <c r="Y76" s="3">
        <v>120</v>
      </c>
      <c r="Z76" s="3">
        <v>172.8</v>
      </c>
      <c r="AA76" s="3">
        <f t="shared" si="43"/>
        <v>302.40000000000003</v>
      </c>
      <c r="AB76" s="3">
        <v>90</v>
      </c>
      <c r="AC76" s="3">
        <v>45</v>
      </c>
      <c r="AD76" s="3">
        <v>129.5</v>
      </c>
      <c r="AE76" s="3">
        <v>29</v>
      </c>
    </row>
    <row r="77" spans="1:31" x14ac:dyDescent="0.25">
      <c r="A77" s="17">
        <v>74</v>
      </c>
      <c r="B77" s="17"/>
      <c r="C77" s="17" t="s">
        <v>137</v>
      </c>
      <c r="D77" s="3">
        <v>25.8</v>
      </c>
      <c r="E77" s="3">
        <v>200</v>
      </c>
      <c r="F77" s="3">
        <v>400</v>
      </c>
      <c r="G77" s="3">
        <v>336</v>
      </c>
      <c r="H77" s="3">
        <v>400</v>
      </c>
      <c r="I77" s="3">
        <v>0</v>
      </c>
      <c r="J77" s="3" t="s">
        <v>36</v>
      </c>
      <c r="K77" s="3">
        <v>524</v>
      </c>
      <c r="L77" s="19">
        <f>K77/G77</f>
        <v>1.5595238095238095</v>
      </c>
      <c r="M77" s="3" t="s">
        <v>42</v>
      </c>
      <c r="N77" s="3">
        <v>6</v>
      </c>
      <c r="O77" s="3">
        <v>172</v>
      </c>
      <c r="P77" s="3">
        <v>188000</v>
      </c>
      <c r="Q77" s="3">
        <v>344</v>
      </c>
      <c r="R77" s="3">
        <f t="shared" ref="R77" si="58">100*2*3.1416*N77^2/4/O77/E77</f>
        <v>0.16438604651162789</v>
      </c>
      <c r="S77" s="3" t="s">
        <v>52</v>
      </c>
      <c r="T77" s="3" t="s">
        <v>53</v>
      </c>
      <c r="U77" s="3" t="s">
        <v>44</v>
      </c>
      <c r="V77" s="3">
        <v>84500</v>
      </c>
      <c r="W77" s="3">
        <v>0.14399999999999999</v>
      </c>
      <c r="X77" s="3">
        <v>2715</v>
      </c>
      <c r="Y77" s="3">
        <v>1</v>
      </c>
      <c r="Z77" s="3">
        <v>1</v>
      </c>
      <c r="AA77" s="3">
        <f t="shared" ref="AA77" si="59">0.9*G77-(F77-H77)-I77</f>
        <v>302.40000000000003</v>
      </c>
      <c r="AB77" s="3">
        <v>90</v>
      </c>
      <c r="AC77" s="3">
        <v>45</v>
      </c>
      <c r="AD77" s="3">
        <v>156</v>
      </c>
      <c r="AE77" s="3">
        <v>55.5</v>
      </c>
    </row>
    <row r="78" spans="1:31" x14ac:dyDescent="0.25">
      <c r="A78" s="3">
        <v>75</v>
      </c>
      <c r="C78" s="3" t="s">
        <v>118</v>
      </c>
      <c r="D78" s="3">
        <v>30</v>
      </c>
      <c r="E78" s="3">
        <v>600</v>
      </c>
      <c r="F78" s="3">
        <v>600</v>
      </c>
      <c r="G78" s="3">
        <v>510</v>
      </c>
      <c r="H78" s="3">
        <f>F78</f>
        <v>600</v>
      </c>
      <c r="I78" s="3">
        <v>0</v>
      </c>
      <c r="J78" s="3" t="s">
        <v>36</v>
      </c>
      <c r="K78" s="3">
        <f>L78*G78</f>
        <v>1275</v>
      </c>
      <c r="L78" s="3">
        <v>2.5</v>
      </c>
      <c r="M78" s="18" t="s">
        <v>18</v>
      </c>
      <c r="N78" s="3">
        <v>10</v>
      </c>
      <c r="O78" s="3">
        <v>190</v>
      </c>
      <c r="P78" s="3">
        <v>195000</v>
      </c>
      <c r="Q78" s="3">
        <v>337</v>
      </c>
      <c r="R78" s="3">
        <f>100*2*3.1416*N78^2/4/O78/E78</f>
        <v>0.13778947368421052</v>
      </c>
      <c r="S78" s="3" t="s">
        <v>43</v>
      </c>
      <c r="T78" s="3" t="s">
        <v>53</v>
      </c>
      <c r="U78" s="3" t="s">
        <v>44</v>
      </c>
      <c r="V78" s="3">
        <v>240000</v>
      </c>
      <c r="W78" s="3">
        <v>0.16700000000000001</v>
      </c>
      <c r="X78" s="3">
        <v>3800</v>
      </c>
      <c r="Y78" s="3">
        <v>1</v>
      </c>
      <c r="Z78" s="3">
        <v>1</v>
      </c>
      <c r="AA78" s="3">
        <f>0.9*G78-(F78-H78)-I78</f>
        <v>459</v>
      </c>
      <c r="AB78" s="3">
        <v>90</v>
      </c>
      <c r="AC78" s="3">
        <v>45</v>
      </c>
      <c r="AD78" s="3">
        <v>691.5</v>
      </c>
      <c r="AE78" s="3">
        <v>243</v>
      </c>
    </row>
    <row r="79" spans="1:31" x14ac:dyDescent="0.25">
      <c r="A79" s="3">
        <v>76</v>
      </c>
      <c r="B79" s="3" t="s">
        <v>117</v>
      </c>
      <c r="C79" s="3" t="s">
        <v>119</v>
      </c>
      <c r="D79" s="3">
        <v>30</v>
      </c>
      <c r="E79" s="3">
        <v>600</v>
      </c>
      <c r="F79" s="3">
        <v>600</v>
      </c>
      <c r="G79" s="3">
        <v>510</v>
      </c>
      <c r="H79" s="3">
        <f>F79</f>
        <v>600</v>
      </c>
      <c r="I79" s="3">
        <v>0</v>
      </c>
      <c r="J79" s="3" t="s">
        <v>36</v>
      </c>
      <c r="K79" s="3">
        <f>L79*G79</f>
        <v>1275</v>
      </c>
      <c r="L79" s="3">
        <v>2.5</v>
      </c>
      <c r="M79" s="18" t="s">
        <v>18</v>
      </c>
      <c r="N79" s="3">
        <v>10</v>
      </c>
      <c r="O79" s="3">
        <v>190</v>
      </c>
      <c r="P79" s="3">
        <v>195000</v>
      </c>
      <c r="Q79" s="3">
        <v>337</v>
      </c>
      <c r="R79" s="3">
        <f>100*2*3.1416*N79^2/4/O79/E79</f>
        <v>0.13778947368421052</v>
      </c>
      <c r="S79" s="3" t="s">
        <v>43</v>
      </c>
      <c r="T79" s="3" t="s">
        <v>53</v>
      </c>
      <c r="U79" s="3" t="s">
        <v>44</v>
      </c>
      <c r="V79" s="3">
        <v>240000</v>
      </c>
      <c r="W79" s="3">
        <v>0.33400000000000002</v>
      </c>
      <c r="X79" s="3">
        <v>3800</v>
      </c>
      <c r="Y79" s="3">
        <v>1</v>
      </c>
      <c r="Z79" s="3">
        <v>1</v>
      </c>
      <c r="AA79" s="3">
        <f>0.9*G79-(F79-H79)-I79</f>
        <v>459</v>
      </c>
      <c r="AB79" s="3">
        <v>90</v>
      </c>
      <c r="AC79" s="3">
        <v>45</v>
      </c>
      <c r="AD79" s="3">
        <v>795</v>
      </c>
      <c r="AE79" s="3">
        <v>346.5</v>
      </c>
    </row>
    <row r="80" spans="1:31" x14ac:dyDescent="0.25">
      <c r="A80" s="3">
        <v>77</v>
      </c>
      <c r="C80" s="3" t="s">
        <v>120</v>
      </c>
      <c r="D80" s="3">
        <v>30</v>
      </c>
      <c r="E80" s="3">
        <v>600</v>
      </c>
      <c r="F80" s="3">
        <v>600</v>
      </c>
      <c r="G80" s="3">
        <v>510</v>
      </c>
      <c r="H80" s="3">
        <f>F80</f>
        <v>600</v>
      </c>
      <c r="I80" s="3">
        <v>0</v>
      </c>
      <c r="J80" s="3" t="s">
        <v>36</v>
      </c>
      <c r="K80" s="3">
        <f>L80*G80</f>
        <v>1275</v>
      </c>
      <c r="L80" s="3">
        <v>2.5</v>
      </c>
      <c r="M80" s="18" t="s">
        <v>18</v>
      </c>
      <c r="N80" s="3">
        <v>10</v>
      </c>
      <c r="O80" s="3">
        <v>190</v>
      </c>
      <c r="P80" s="3">
        <v>195000</v>
      </c>
      <c r="Q80" s="3">
        <v>337</v>
      </c>
      <c r="R80" s="3">
        <f>100*2*3.1416*N80^2/4/O80/E80</f>
        <v>0.13778947368421052</v>
      </c>
      <c r="S80" s="3" t="s">
        <v>43</v>
      </c>
      <c r="T80" s="3" t="s">
        <v>53</v>
      </c>
      <c r="U80" s="3" t="s">
        <v>44</v>
      </c>
      <c r="V80" s="3">
        <v>240000</v>
      </c>
      <c r="W80" s="3">
        <v>0.501</v>
      </c>
      <c r="X80" s="3">
        <v>3800</v>
      </c>
      <c r="Y80" s="3">
        <v>1</v>
      </c>
      <c r="Z80" s="3">
        <v>1</v>
      </c>
      <c r="AA80" s="3">
        <f>0.9*G80-(F80-H80)-I80</f>
        <v>459</v>
      </c>
      <c r="AB80" s="3">
        <v>90</v>
      </c>
      <c r="AC80" s="3">
        <v>45</v>
      </c>
      <c r="AD80" s="3">
        <v>942</v>
      </c>
      <c r="AE80" s="3">
        <v>493.5</v>
      </c>
    </row>
    <row r="81" spans="1:31" x14ac:dyDescent="0.25">
      <c r="A81" s="17">
        <v>79</v>
      </c>
      <c r="B81" s="17" t="s">
        <v>138</v>
      </c>
      <c r="C81" s="17" t="s">
        <v>139</v>
      </c>
      <c r="D81" s="3">
        <v>24</v>
      </c>
      <c r="E81" s="3">
        <v>300</v>
      </c>
      <c r="F81" s="3">
        <v>300</v>
      </c>
      <c r="G81" s="3">
        <v>260</v>
      </c>
      <c r="H81" s="3">
        <v>300</v>
      </c>
      <c r="I81" s="3">
        <v>0</v>
      </c>
      <c r="J81" s="3" t="s">
        <v>36</v>
      </c>
      <c r="K81" s="3">
        <v>400</v>
      </c>
      <c r="L81" s="19">
        <f>K81/G81</f>
        <v>1.5384615384615385</v>
      </c>
      <c r="M81" s="3" t="s">
        <v>42</v>
      </c>
      <c r="N81" s="3">
        <v>6</v>
      </c>
      <c r="O81" s="3">
        <v>250</v>
      </c>
      <c r="P81" s="3">
        <v>206000</v>
      </c>
      <c r="Q81" s="3">
        <v>292</v>
      </c>
      <c r="R81" s="3">
        <f>100*2*3.1416*N81^2/4/O81/E81</f>
        <v>7.539839999999999E-2</v>
      </c>
      <c r="S81" s="3" t="s">
        <v>43</v>
      </c>
      <c r="T81" s="3" t="s">
        <v>53</v>
      </c>
      <c r="U81" s="3" t="s">
        <v>44</v>
      </c>
      <c r="V81" s="3">
        <v>248000</v>
      </c>
      <c r="W81" s="3">
        <v>0.11</v>
      </c>
      <c r="X81" s="3">
        <v>3430</v>
      </c>
      <c r="Y81" s="3">
        <v>1</v>
      </c>
      <c r="Z81" s="3">
        <v>1</v>
      </c>
      <c r="AA81" s="3">
        <f>0.9*G81-(F81-H81)-I81</f>
        <v>234</v>
      </c>
      <c r="AB81" s="3">
        <v>90</v>
      </c>
      <c r="AC81" s="3">
        <v>45</v>
      </c>
      <c r="AD81" s="3">
        <v>358</v>
      </c>
      <c r="AE81" s="3">
        <v>113</v>
      </c>
    </row>
    <row r="82" spans="1:31" x14ac:dyDescent="0.25">
      <c r="A82" s="17">
        <v>80</v>
      </c>
      <c r="B82" s="17"/>
      <c r="C82" s="17" t="s">
        <v>140</v>
      </c>
      <c r="D82" s="3">
        <v>24</v>
      </c>
      <c r="E82" s="3">
        <v>300</v>
      </c>
      <c r="F82" s="3">
        <v>300</v>
      </c>
      <c r="G82" s="3">
        <v>260</v>
      </c>
      <c r="H82" s="3">
        <v>300</v>
      </c>
      <c r="I82" s="3">
        <v>0</v>
      </c>
      <c r="J82" s="3" t="s">
        <v>36</v>
      </c>
      <c r="K82" s="3">
        <v>400</v>
      </c>
      <c r="L82" s="19">
        <f>K82/G82</f>
        <v>1.5384615384615385</v>
      </c>
      <c r="M82" s="3" t="s">
        <v>42</v>
      </c>
      <c r="N82" s="3">
        <v>6</v>
      </c>
      <c r="O82" s="3">
        <v>250</v>
      </c>
      <c r="P82" s="3">
        <v>206000</v>
      </c>
      <c r="Q82" s="3">
        <v>292</v>
      </c>
      <c r="R82" s="3">
        <f>100*2*3.1416*N82^2/4/O82/E82</f>
        <v>7.539839999999999E-2</v>
      </c>
      <c r="S82" s="3" t="s">
        <v>43</v>
      </c>
      <c r="T82" s="3" t="s">
        <v>53</v>
      </c>
      <c r="U82" s="3" t="s">
        <v>44</v>
      </c>
      <c r="V82" s="3">
        <v>248000</v>
      </c>
      <c r="W82" s="3">
        <v>0.22</v>
      </c>
      <c r="X82" s="3">
        <v>3430</v>
      </c>
      <c r="Y82" s="3">
        <v>1</v>
      </c>
      <c r="Z82" s="3">
        <v>1</v>
      </c>
      <c r="AA82" s="3">
        <f>0.9*G82-(F82-H82)-I82</f>
        <v>234</v>
      </c>
      <c r="AB82" s="3">
        <v>90</v>
      </c>
      <c r="AC82" s="3">
        <v>45</v>
      </c>
      <c r="AD82" s="3">
        <v>446</v>
      </c>
      <c r="AE82" s="3">
        <v>201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PolyU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2013-04-15T07:28:52Z</dcterms:created>
  <dcterms:modified xsi:type="dcterms:W3CDTF">2013-04-17T09:15:04Z</dcterms:modified>
</cp:coreProperties>
</file>