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315" windowWidth="19440" windowHeight="95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Q5" i="1" l="1"/>
  <c r="AQ11" i="1"/>
  <c r="AQ12" i="1"/>
  <c r="AQ13" i="1"/>
  <c r="AQ14" i="1"/>
  <c r="AQ19" i="1"/>
  <c r="AQ20" i="1"/>
  <c r="AQ21" i="1"/>
  <c r="AQ22" i="1"/>
  <c r="AP5" i="1"/>
  <c r="AP6" i="1"/>
  <c r="AQ6" i="1" s="1"/>
  <c r="AP7" i="1"/>
  <c r="AQ7" i="1" s="1"/>
  <c r="AP8" i="1"/>
  <c r="AQ8" i="1" s="1"/>
  <c r="AP9" i="1"/>
  <c r="AQ9" i="1" s="1"/>
  <c r="AP10" i="1"/>
  <c r="AQ10" i="1" s="1"/>
  <c r="AP11" i="1"/>
  <c r="AP12" i="1"/>
  <c r="AP13" i="1"/>
  <c r="AP14" i="1"/>
  <c r="AP15" i="1"/>
  <c r="AQ15" i="1" s="1"/>
  <c r="AP16" i="1"/>
  <c r="AQ16" i="1" s="1"/>
  <c r="AP17" i="1"/>
  <c r="AQ17" i="1" s="1"/>
  <c r="AP18" i="1"/>
  <c r="AQ18" i="1" s="1"/>
  <c r="AP19" i="1"/>
  <c r="AP20" i="1"/>
  <c r="AP21" i="1"/>
  <c r="AP22" i="1"/>
  <c r="AP23" i="1"/>
  <c r="AQ23" i="1" s="1"/>
  <c r="AP24" i="1"/>
  <c r="AQ24" i="1" s="1"/>
  <c r="AP25" i="1"/>
  <c r="AQ25" i="1" s="1"/>
  <c r="AP26" i="1"/>
  <c r="AQ26" i="1" s="1"/>
  <c r="AP4" i="1"/>
  <c r="AQ4" i="1" s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4" i="1"/>
  <c r="AM23" i="1"/>
  <c r="AM21" i="1"/>
  <c r="AM18" i="1"/>
  <c r="AM17" i="1"/>
  <c r="AM15" i="1"/>
  <c r="AM11" i="1"/>
  <c r="AM8" i="1"/>
  <c r="AM7" i="1"/>
  <c r="AM6" i="1"/>
  <c r="AM5" i="1"/>
  <c r="AM4" i="1"/>
  <c r="AG21" i="1"/>
  <c r="AG20" i="1"/>
  <c r="AA26" i="1" l="1"/>
  <c r="L26" i="1"/>
  <c r="Z25" i="1"/>
  <c r="L25" i="1"/>
  <c r="H25" i="1"/>
  <c r="AA25" i="1"/>
  <c r="AA24" i="1"/>
  <c r="L24" i="1"/>
  <c r="H24" i="1"/>
  <c r="AE23" i="1" l="1"/>
  <c r="G23" i="1"/>
  <c r="AA23" i="1" s="1"/>
  <c r="AE22" i="1"/>
  <c r="G22" i="1"/>
  <c r="L22" i="1" s="1"/>
  <c r="AE21" i="1"/>
  <c r="G21" i="1"/>
  <c r="AA21" i="1" s="1"/>
  <c r="AE20" i="1"/>
  <c r="G20" i="1"/>
  <c r="AA20" i="1" s="1"/>
  <c r="AE19" i="1"/>
  <c r="AA19" i="1"/>
  <c r="K19" i="1"/>
  <c r="AA18" i="1"/>
  <c r="L18" i="1"/>
  <c r="AA17" i="1"/>
  <c r="L17" i="1"/>
  <c r="H16" i="1"/>
  <c r="G16" i="1"/>
  <c r="L16" i="1" s="1"/>
  <c r="AA15" i="1"/>
  <c r="L15" i="1"/>
  <c r="AA14" i="1"/>
  <c r="AA13" i="1"/>
  <c r="Z13" i="1"/>
  <c r="K13" i="1"/>
  <c r="AA12" i="1"/>
  <c r="Z12" i="1"/>
  <c r="K12" i="1"/>
  <c r="AA11" i="1"/>
  <c r="L11" i="1"/>
  <c r="AA10" i="1"/>
  <c r="L10" i="1"/>
  <c r="AE9" i="1"/>
  <c r="AA9" i="1"/>
  <c r="L9" i="1"/>
  <c r="AA8" i="1"/>
  <c r="W8" i="1"/>
  <c r="L8" i="1"/>
  <c r="AA7" i="1"/>
  <c r="L7" i="1"/>
  <c r="AA6" i="1"/>
  <c r="L6" i="1"/>
  <c r="L5" i="1"/>
  <c r="AA4" i="1"/>
  <c r="R4" i="1"/>
  <c r="L4" i="1"/>
  <c r="F1" i="1"/>
  <c r="G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L23" i="1" l="1"/>
  <c r="AA16" i="1"/>
  <c r="AA22" i="1"/>
</calcChain>
</file>

<file path=xl/comments1.xml><?xml version="1.0" encoding="utf-8"?>
<comments xmlns="http://schemas.openxmlformats.org/spreadsheetml/2006/main">
  <authors>
    <author>Chen Guangming</author>
  </authors>
  <commentList>
    <comment ref="W20" authorId="0">
      <text>
        <r>
          <rPr>
            <b/>
            <sz val="8"/>
            <color indexed="81"/>
            <rFont val="Tahoma"/>
            <family val="2"/>
          </rPr>
          <t>Chen Guangming:</t>
        </r>
        <r>
          <rPr>
            <sz val="8"/>
            <color indexed="81"/>
            <rFont val="Tahoma"/>
            <family val="2"/>
          </rPr>
          <t xml:space="preserve">
 From internet</t>
        </r>
      </text>
    </comment>
  </commentList>
</comments>
</file>

<file path=xl/sharedStrings.xml><?xml version="1.0" encoding="utf-8"?>
<sst xmlns="http://schemas.openxmlformats.org/spreadsheetml/2006/main" count="213" uniqueCount="77">
  <si>
    <t>b</t>
  </si>
  <si>
    <t>h</t>
  </si>
  <si>
    <t>d</t>
  </si>
  <si>
    <t>s</t>
  </si>
  <si>
    <t>R</t>
  </si>
  <si>
    <t>Nx,y</t>
  </si>
  <si>
    <t>Concrete strength</t>
  </si>
  <si>
    <t>Beam Dimension (all in mm)</t>
  </si>
  <si>
    <t>Steel stirrups</t>
  </si>
  <si>
    <t>FRP shear reinforcement</t>
  </si>
  <si>
    <t>Test results</t>
  </si>
  <si>
    <t>Reference</t>
  </si>
  <si>
    <t>Specimens</t>
  </si>
  <si>
    <r>
      <t>f</t>
    </r>
    <r>
      <rPr>
        <b/>
        <i/>
        <vertAlign val="superscript"/>
        <sz val="12"/>
        <rFont val="Times New Roman"/>
        <family val="1"/>
      </rPr>
      <t>'</t>
    </r>
    <r>
      <rPr>
        <b/>
        <i/>
        <vertAlign val="subscript"/>
        <sz val="12"/>
        <rFont val="Times New Roman"/>
        <family val="1"/>
      </rPr>
      <t>c</t>
    </r>
  </si>
  <si>
    <r>
      <t>b</t>
    </r>
    <r>
      <rPr>
        <b/>
        <i/>
        <vertAlign val="subscript"/>
        <sz val="12"/>
        <rFont val="Times New Roman"/>
        <family val="1"/>
      </rPr>
      <t>w</t>
    </r>
  </si>
  <si>
    <r>
      <t>d</t>
    </r>
    <r>
      <rPr>
        <b/>
        <i/>
        <vertAlign val="subscript"/>
        <sz val="12"/>
        <rFont val="Times New Roman"/>
        <family val="1"/>
      </rPr>
      <t>frp</t>
    </r>
  </si>
  <si>
    <r>
      <t>d</t>
    </r>
    <r>
      <rPr>
        <b/>
        <i/>
        <vertAlign val="subscript"/>
        <sz val="12"/>
        <rFont val="Times New Roman"/>
        <family val="1"/>
      </rPr>
      <t>frp,t</t>
    </r>
  </si>
  <si>
    <t>Section</t>
  </si>
  <si>
    <t>s/d</t>
  </si>
  <si>
    <r>
      <t>Bar type</t>
    </r>
    <r>
      <rPr>
        <b/>
        <vertAlign val="superscript"/>
        <sz val="12"/>
        <rFont val="Times New Roman"/>
        <family val="1"/>
      </rPr>
      <t>a</t>
    </r>
  </si>
  <si>
    <t>D</t>
  </si>
  <si>
    <t>Ss</t>
  </si>
  <si>
    <r>
      <t>E</t>
    </r>
    <r>
      <rPr>
        <b/>
        <i/>
        <vertAlign val="subscript"/>
        <sz val="12"/>
        <rFont val="Times New Roman"/>
        <family val="1"/>
      </rPr>
      <t>s</t>
    </r>
  </si>
  <si>
    <r>
      <t>f</t>
    </r>
    <r>
      <rPr>
        <b/>
        <i/>
        <vertAlign val="subscript"/>
        <sz val="12"/>
        <rFont val="Times New Roman"/>
        <family val="1"/>
      </rPr>
      <t>y</t>
    </r>
  </si>
  <si>
    <r>
      <t>r</t>
    </r>
    <r>
      <rPr>
        <b/>
        <i/>
        <sz val="12"/>
        <rFont val="Times New Roman"/>
        <family val="1"/>
      </rPr>
      <t>s%</t>
    </r>
  </si>
  <si>
    <t>FRP type</t>
  </si>
  <si>
    <t>Configuration</t>
  </si>
  <si>
    <r>
      <t>E</t>
    </r>
    <r>
      <rPr>
        <b/>
        <i/>
        <vertAlign val="subscript"/>
        <sz val="12"/>
        <rFont val="Times New Roman"/>
        <family val="1"/>
      </rPr>
      <t>f</t>
    </r>
  </si>
  <si>
    <r>
      <t>t</t>
    </r>
    <r>
      <rPr>
        <b/>
        <i/>
        <vertAlign val="subscript"/>
        <sz val="12"/>
        <rFont val="Times New Roman"/>
        <family val="1"/>
      </rPr>
      <t>f</t>
    </r>
  </si>
  <si>
    <r>
      <t>f</t>
    </r>
    <r>
      <rPr>
        <b/>
        <i/>
        <vertAlign val="subscript"/>
        <sz val="12"/>
        <rFont val="Times New Roman"/>
        <family val="1"/>
      </rPr>
      <t>f</t>
    </r>
  </si>
  <si>
    <r>
      <t>W</t>
    </r>
    <r>
      <rPr>
        <b/>
        <i/>
        <vertAlign val="subscript"/>
        <sz val="12"/>
        <rFont val="Times New Roman"/>
        <family val="1"/>
      </rPr>
      <t>f</t>
    </r>
  </si>
  <si>
    <r>
      <t>S</t>
    </r>
    <r>
      <rPr>
        <b/>
        <i/>
        <vertAlign val="subscript"/>
        <sz val="12"/>
        <rFont val="Times New Roman"/>
        <family val="1"/>
      </rPr>
      <t>f</t>
    </r>
  </si>
  <si>
    <r>
      <t>h</t>
    </r>
    <r>
      <rPr>
        <b/>
        <i/>
        <vertAlign val="subscript"/>
        <sz val="12"/>
        <rFont val="Times New Roman"/>
        <family val="1"/>
      </rPr>
      <t>f,e</t>
    </r>
  </si>
  <si>
    <t>q</t>
  </si>
  <si>
    <r>
      <t>V</t>
    </r>
    <r>
      <rPr>
        <vertAlign val="subscript"/>
        <sz val="10"/>
        <rFont val="Arial"/>
        <family val="2"/>
      </rPr>
      <t>total,test</t>
    </r>
  </si>
  <si>
    <r>
      <t>V</t>
    </r>
    <r>
      <rPr>
        <b/>
        <vertAlign val="subscript"/>
        <sz val="10"/>
        <rFont val="Arial"/>
        <family val="2"/>
      </rPr>
      <t>f,test</t>
    </r>
  </si>
  <si>
    <t>Rec.</t>
  </si>
  <si>
    <t>NA</t>
  </si>
  <si>
    <t>CFRP</t>
  </si>
  <si>
    <t xml:space="preserve">Sheet </t>
  </si>
  <si>
    <t>SO</t>
  </si>
  <si>
    <t>Strip</t>
  </si>
  <si>
    <t>WP</t>
  </si>
  <si>
    <t>S2</t>
  </si>
  <si>
    <t xml:space="preserve">Sato et al. 1996 </t>
  </si>
  <si>
    <t>S4</t>
  </si>
  <si>
    <t>Kage et al. 1997</t>
  </si>
  <si>
    <t>SB1210</t>
  </si>
  <si>
    <t>A1</t>
  </si>
  <si>
    <t>Mitsui et al. 1998</t>
  </si>
  <si>
    <t>S1a</t>
  </si>
  <si>
    <t>Triantafillou 1998</t>
  </si>
  <si>
    <t>C2, 3-layer</t>
  </si>
  <si>
    <t>SR1</t>
  </si>
  <si>
    <t>Taljsten and Elfgren 2000</t>
  </si>
  <si>
    <t>SR2</t>
  </si>
  <si>
    <t>Khalifa and Nanni 2000</t>
  </si>
  <si>
    <t>BT5</t>
  </si>
  <si>
    <t>T</t>
  </si>
  <si>
    <t>TR30C2</t>
  </si>
  <si>
    <t>Pellegrino and Modena 2002</t>
  </si>
  <si>
    <t>Z4-90</t>
  </si>
  <si>
    <t>RS2Sa</t>
  </si>
  <si>
    <t>GFRP</t>
  </si>
  <si>
    <t>Kim et al. 2008</t>
  </si>
  <si>
    <t>CP3-1VS</t>
  </si>
  <si>
    <t>290a</t>
  </si>
  <si>
    <t xml:space="preserve">Park et al. 2001 </t>
  </si>
  <si>
    <t>Form</t>
  </si>
  <si>
    <t>Side</t>
  </si>
  <si>
    <t>V3</t>
  </si>
  <si>
    <t>Dash 2009</t>
  </si>
  <si>
    <t>Berset 1992</t>
  </si>
  <si>
    <t>Kamiiharako et al. 1999</t>
  </si>
  <si>
    <t>fc</t>
  </si>
  <si>
    <t>Av,min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</si>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</sst>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b/>
      <sz val="12"/>
      <name val="Arial"/>
      <family val="2"/>
    </font>
    <font>
      <b/>
      <i/>
      <sz val="12"/>
      <name val="Times New Roman"/>
      <family val="1"/>
    </font>
    <font>
      <b/>
      <i/>
      <vertAlign val="superscript"/>
      <sz val="12"/>
      <name val="Times New Roman"/>
      <family val="1"/>
    </font>
    <font>
      <b/>
      <i/>
      <vertAlign val="subscript"/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2"/>
      <name val="Symbol"/>
      <family val="1"/>
      <charset val="2"/>
    </font>
    <font>
      <b/>
      <i/>
      <sz val="10"/>
      <name val="Symbol"/>
      <family val="1"/>
      <charset val="2"/>
    </font>
    <font>
      <b/>
      <sz val="10"/>
      <name val="Symbol"/>
      <family val="1"/>
      <charset val="2"/>
    </font>
    <font>
      <b/>
      <vertAlign val="subscript"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1" fillId="3" borderId="0" xfId="0" applyFont="1" applyFill="1"/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2" fontId="0" fillId="7" borderId="0" xfId="0" applyNumberFormat="1" applyFill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/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2" fontId="0" fillId="1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26"/>
  <sheetViews>
    <sheetView tabSelected="1" workbookViewId="0">
      <pane ySplit="3" topLeftCell="A4" activePane="bottomLeft" state="frozen"/>
      <selection pane="bottomLeft" activeCell="F21" sqref="F21:G21"/>
    </sheetView>
  </sheetViews>
  <sheetFormatPr defaultRowHeight="15" x14ac:dyDescent="0.25"/>
  <cols>
    <col min="1" max="1" width="9.140625" style="2"/>
    <col min="2" max="2" width="33.85546875" style="2" customWidth="1"/>
    <col min="3" max="11" width="9.140625" style="2"/>
    <col min="12" max="12" width="9.140625" style="35"/>
    <col min="13" max="16384" width="9.140625" style="2"/>
  </cols>
  <sheetData>
    <row r="1" spans="1:52" customFormat="1" x14ac:dyDescent="0.25">
      <c r="A1" s="1" t="s">
        <v>5</v>
      </c>
      <c r="C1" s="2">
        <v>1</v>
      </c>
      <c r="D1" s="2">
        <v>2</v>
      </c>
      <c r="E1" s="2">
        <v>3</v>
      </c>
      <c r="F1" s="2">
        <f>E1+1</f>
        <v>4</v>
      </c>
      <c r="G1" s="2">
        <f t="shared" ref="G1:AE1" si="0">F1+1</f>
        <v>5</v>
      </c>
      <c r="H1" s="2"/>
      <c r="I1" s="2"/>
      <c r="J1" s="2"/>
      <c r="K1" s="2">
        <f>G1+1</f>
        <v>6</v>
      </c>
      <c r="L1" s="2">
        <f t="shared" si="0"/>
        <v>7</v>
      </c>
      <c r="M1" s="2">
        <f t="shared" si="0"/>
        <v>8</v>
      </c>
      <c r="N1" s="2">
        <f t="shared" si="0"/>
        <v>9</v>
      </c>
      <c r="O1" s="2">
        <f t="shared" si="0"/>
        <v>10</v>
      </c>
      <c r="P1" s="2">
        <f t="shared" si="0"/>
        <v>11</v>
      </c>
      <c r="Q1" s="2">
        <f t="shared" si="0"/>
        <v>12</v>
      </c>
      <c r="R1" s="2">
        <f>Q1+1</f>
        <v>13</v>
      </c>
      <c r="S1" s="2">
        <f t="shared" si="0"/>
        <v>14</v>
      </c>
      <c r="T1" s="2">
        <f>S1+1</f>
        <v>15</v>
      </c>
      <c r="U1" s="2"/>
      <c r="V1" s="2">
        <f>T1+1</f>
        <v>16</v>
      </c>
      <c r="W1" s="2">
        <f t="shared" si="0"/>
        <v>17</v>
      </c>
      <c r="X1" s="2">
        <f t="shared" si="0"/>
        <v>18</v>
      </c>
      <c r="Y1" s="2">
        <f t="shared" si="0"/>
        <v>19</v>
      </c>
      <c r="Z1" s="2">
        <f t="shared" si="0"/>
        <v>20</v>
      </c>
      <c r="AA1" s="2">
        <f t="shared" si="0"/>
        <v>21</v>
      </c>
      <c r="AB1" s="2">
        <f t="shared" si="0"/>
        <v>22</v>
      </c>
      <c r="AC1" s="2">
        <f t="shared" si="0"/>
        <v>23</v>
      </c>
      <c r="AD1" s="2">
        <f t="shared" si="0"/>
        <v>24</v>
      </c>
      <c r="AE1" s="2">
        <f t="shared" si="0"/>
        <v>25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52" customFormat="1" x14ac:dyDescent="0.25">
      <c r="D2" s="3" t="s">
        <v>6</v>
      </c>
      <c r="E2" s="4"/>
      <c r="F2" s="4" t="s">
        <v>7</v>
      </c>
      <c r="G2" s="4"/>
      <c r="H2" s="4"/>
      <c r="I2" s="4"/>
      <c r="J2" s="4"/>
      <c r="K2" s="4"/>
      <c r="L2" s="4"/>
      <c r="M2" s="5"/>
      <c r="N2" s="5" t="s">
        <v>8</v>
      </c>
      <c r="O2" s="5"/>
      <c r="P2" s="5"/>
      <c r="Q2" s="5"/>
      <c r="R2" s="5"/>
      <c r="S2" s="6"/>
      <c r="T2" s="7" t="s">
        <v>9</v>
      </c>
      <c r="U2" s="7"/>
      <c r="V2" s="6"/>
      <c r="W2" s="6"/>
      <c r="X2" s="6"/>
      <c r="Y2" s="6"/>
      <c r="Z2" s="6"/>
      <c r="AA2" s="6"/>
      <c r="AB2" s="6"/>
      <c r="AC2" s="4" t="s">
        <v>10</v>
      </c>
      <c r="AD2" s="8"/>
      <c r="AE2" s="8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customFormat="1" ht="20.25" x14ac:dyDescent="0.35">
      <c r="B3" s="11" t="s">
        <v>11</v>
      </c>
      <c r="C3" s="11" t="s">
        <v>12</v>
      </c>
      <c r="D3" s="12" t="s">
        <v>13</v>
      </c>
      <c r="E3" s="12" t="s">
        <v>14</v>
      </c>
      <c r="F3" s="12" t="s">
        <v>1</v>
      </c>
      <c r="G3" s="12" t="s">
        <v>2</v>
      </c>
      <c r="H3" s="12" t="s">
        <v>15</v>
      </c>
      <c r="I3" s="12" t="s">
        <v>16</v>
      </c>
      <c r="J3" s="13" t="s">
        <v>17</v>
      </c>
      <c r="K3" s="12" t="s">
        <v>3</v>
      </c>
      <c r="L3" s="12" t="s">
        <v>18</v>
      </c>
      <c r="M3" s="13" t="s">
        <v>19</v>
      </c>
      <c r="N3" s="12" t="s">
        <v>20</v>
      </c>
      <c r="O3" s="12" t="s">
        <v>21</v>
      </c>
      <c r="P3" s="12" t="s">
        <v>22</v>
      </c>
      <c r="Q3" s="12" t="s">
        <v>23</v>
      </c>
      <c r="R3" s="14" t="s">
        <v>24</v>
      </c>
      <c r="S3" s="13" t="s">
        <v>25</v>
      </c>
      <c r="T3" s="13" t="s">
        <v>26</v>
      </c>
      <c r="U3" s="13" t="s">
        <v>68</v>
      </c>
      <c r="V3" s="12" t="s">
        <v>27</v>
      </c>
      <c r="W3" s="12" t="s">
        <v>28</v>
      </c>
      <c r="X3" s="12" t="s">
        <v>29</v>
      </c>
      <c r="Y3" s="12" t="s">
        <v>30</v>
      </c>
      <c r="Z3" s="12" t="s">
        <v>31</v>
      </c>
      <c r="AA3" s="15" t="s">
        <v>32</v>
      </c>
      <c r="AB3" s="16" t="s">
        <v>0</v>
      </c>
      <c r="AC3" s="17" t="s">
        <v>33</v>
      </c>
      <c r="AD3" s="8" t="s">
        <v>34</v>
      </c>
      <c r="AE3" s="8" t="s">
        <v>35</v>
      </c>
      <c r="AF3" s="2"/>
      <c r="AG3" s="2" t="s">
        <v>74</v>
      </c>
      <c r="AH3" s="13" t="s">
        <v>19</v>
      </c>
      <c r="AI3" s="12" t="s">
        <v>20</v>
      </c>
      <c r="AJ3" s="12" t="s">
        <v>21</v>
      </c>
      <c r="AK3" s="12" t="s">
        <v>22</v>
      </c>
      <c r="AL3" s="12" t="s">
        <v>23</v>
      </c>
      <c r="AM3" s="14" t="s">
        <v>24</v>
      </c>
      <c r="AN3" s="2"/>
      <c r="AO3" s="2" t="s">
        <v>76</v>
      </c>
      <c r="AP3" s="2" t="s">
        <v>75</v>
      </c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customFormat="1" x14ac:dyDescent="0.25">
      <c r="A4" s="19">
        <v>1</v>
      </c>
      <c r="B4" s="10"/>
      <c r="C4" s="2" t="s">
        <v>40</v>
      </c>
      <c r="D4" s="19">
        <v>20.5</v>
      </c>
      <c r="E4" s="19">
        <v>150</v>
      </c>
      <c r="F4" s="19">
        <v>150</v>
      </c>
      <c r="G4" s="19">
        <v>113</v>
      </c>
      <c r="H4" s="19">
        <v>150</v>
      </c>
      <c r="I4" s="19">
        <v>0</v>
      </c>
      <c r="J4" s="19" t="s">
        <v>36</v>
      </c>
      <c r="K4" s="19">
        <v>400</v>
      </c>
      <c r="L4" s="20">
        <f t="shared" ref="L4:L11" si="1">K4/G4</f>
        <v>3.5398230088495577</v>
      </c>
      <c r="M4" s="19" t="s">
        <v>20</v>
      </c>
      <c r="N4" s="19">
        <v>6</v>
      </c>
      <c r="O4" s="19">
        <f>0.45*G4</f>
        <v>50.85</v>
      </c>
      <c r="P4" s="19">
        <v>200000</v>
      </c>
      <c r="Q4" s="19">
        <v>273</v>
      </c>
      <c r="R4" s="19">
        <f t="shared" ref="R4:R26" si="2">100*2*3.1416*N4^2/4/O4/E4</f>
        <v>0.74138053097345114</v>
      </c>
      <c r="S4" s="19" t="s">
        <v>38</v>
      </c>
      <c r="T4" s="19" t="s">
        <v>41</v>
      </c>
      <c r="U4" s="19" t="s">
        <v>69</v>
      </c>
      <c r="V4" s="19">
        <v>16000</v>
      </c>
      <c r="W4" s="19">
        <v>3</v>
      </c>
      <c r="X4" s="19">
        <v>200</v>
      </c>
      <c r="Y4" s="19">
        <v>20</v>
      </c>
      <c r="Z4" s="19">
        <v>50</v>
      </c>
      <c r="AA4" s="9">
        <f>0.9*G4</f>
        <v>101.7</v>
      </c>
      <c r="AB4" s="19">
        <v>90</v>
      </c>
      <c r="AC4" s="19">
        <v>45</v>
      </c>
      <c r="AD4" s="21">
        <v>41.5</v>
      </c>
      <c r="AE4" s="21">
        <v>8.15</v>
      </c>
      <c r="AF4" s="2"/>
      <c r="AG4" s="19">
        <v>37.700000000000003</v>
      </c>
      <c r="AH4" s="10" t="s">
        <v>20</v>
      </c>
      <c r="AI4" s="19">
        <v>6</v>
      </c>
      <c r="AJ4" s="19">
        <v>200</v>
      </c>
      <c r="AK4" s="19">
        <v>200000</v>
      </c>
      <c r="AL4" s="19">
        <v>450</v>
      </c>
      <c r="AM4" s="19">
        <f t="shared" ref="AM4:AM15" si="3">100*2*3.1416*AI4^2/4/AJ4/Z4</f>
        <v>0.56548799999999988</v>
      </c>
      <c r="AN4" s="2"/>
      <c r="AO4" s="2">
        <f>2*PI()/4*N4^2</f>
        <v>56.548667764616276</v>
      </c>
      <c r="AP4" s="2">
        <f>0.062*SQRT(D4)*E4*O4/Q4</f>
        <v>7.8431078914851202</v>
      </c>
      <c r="AQ4" s="2" t="str">
        <f>IF(AO4&gt;AP4, "OK","No")</f>
        <v>OK</v>
      </c>
      <c r="AR4" s="2"/>
      <c r="AS4" s="2"/>
      <c r="AT4" s="2"/>
      <c r="AU4" s="2"/>
      <c r="AV4" s="2"/>
      <c r="AW4" s="2"/>
      <c r="AX4" s="2"/>
      <c r="AY4" s="2"/>
      <c r="AZ4" s="2"/>
    </row>
    <row r="5" spans="1:52" customFormat="1" x14ac:dyDescent="0.25">
      <c r="A5" s="19">
        <v>2</v>
      </c>
      <c r="B5" s="10"/>
      <c r="C5" s="2" t="s">
        <v>42</v>
      </c>
      <c r="D5" s="19">
        <v>20.5</v>
      </c>
      <c r="E5" s="19">
        <v>150</v>
      </c>
      <c r="F5" s="19">
        <v>150</v>
      </c>
      <c r="G5" s="19">
        <v>113</v>
      </c>
      <c r="H5" s="19">
        <v>135</v>
      </c>
      <c r="I5" s="19">
        <v>15</v>
      </c>
      <c r="J5" s="19" t="s">
        <v>36</v>
      </c>
      <c r="K5" s="19">
        <v>400</v>
      </c>
      <c r="L5" s="20">
        <f t="shared" si="1"/>
        <v>3.5398230088495577</v>
      </c>
      <c r="M5" s="19" t="s">
        <v>20</v>
      </c>
      <c r="N5" s="19">
        <v>6</v>
      </c>
      <c r="O5" s="19">
        <f t="shared" ref="O5:O26" si="4">0.45*G5</f>
        <v>50.85</v>
      </c>
      <c r="P5" s="19">
        <v>200000</v>
      </c>
      <c r="Q5" s="19">
        <v>273</v>
      </c>
      <c r="R5" s="19">
        <f t="shared" si="2"/>
        <v>0.74138053097345114</v>
      </c>
      <c r="S5" s="19" t="s">
        <v>38</v>
      </c>
      <c r="T5" s="19" t="s">
        <v>39</v>
      </c>
      <c r="U5" s="19" t="s">
        <v>69</v>
      </c>
      <c r="V5" s="19">
        <v>16000</v>
      </c>
      <c r="W5" s="19">
        <v>3</v>
      </c>
      <c r="X5" s="19">
        <v>200</v>
      </c>
      <c r="Y5" s="19">
        <v>20</v>
      </c>
      <c r="Z5" s="19">
        <v>20</v>
      </c>
      <c r="AA5" s="9">
        <v>71.7</v>
      </c>
      <c r="AB5" s="19">
        <v>90</v>
      </c>
      <c r="AC5" s="19">
        <v>45</v>
      </c>
      <c r="AD5" s="21">
        <v>45.2</v>
      </c>
      <c r="AE5" s="21">
        <v>11.85</v>
      </c>
      <c r="AF5" s="2"/>
      <c r="AG5" s="19">
        <v>37.700000000000003</v>
      </c>
      <c r="AH5" s="10" t="s">
        <v>20</v>
      </c>
      <c r="AI5" s="19">
        <v>6</v>
      </c>
      <c r="AJ5" s="19">
        <v>200</v>
      </c>
      <c r="AK5" s="19">
        <v>200000</v>
      </c>
      <c r="AL5" s="19">
        <v>450</v>
      </c>
      <c r="AM5" s="19">
        <f t="shared" si="3"/>
        <v>1.4137199999999999</v>
      </c>
      <c r="AN5" s="2"/>
      <c r="AO5" s="2">
        <f t="shared" ref="AO5:AO26" si="5">2*PI()/4*N5^2</f>
        <v>56.548667764616276</v>
      </c>
      <c r="AP5" s="2">
        <f t="shared" ref="AP5:AP26" si="6">0.062*SQRT(D5)*E5*O5/Q5</f>
        <v>7.8431078914851202</v>
      </c>
      <c r="AQ5" s="2" t="str">
        <f t="shared" ref="AQ5:AQ26" si="7">IF(AO5&gt;AP5, "OK","No")</f>
        <v>OK</v>
      </c>
      <c r="AR5" s="2"/>
      <c r="AS5" s="2"/>
      <c r="AT5" s="2"/>
      <c r="AU5" s="2"/>
      <c r="AV5" s="2"/>
      <c r="AW5" s="2"/>
      <c r="AX5" s="2"/>
      <c r="AY5" s="2"/>
      <c r="AZ5" s="2"/>
    </row>
    <row r="6" spans="1:52" customFormat="1" x14ac:dyDescent="0.25">
      <c r="A6" s="19">
        <v>3</v>
      </c>
      <c r="B6" s="18"/>
      <c r="C6" s="2" t="s">
        <v>43</v>
      </c>
      <c r="D6" s="19">
        <v>20.5</v>
      </c>
      <c r="E6" s="19">
        <v>200</v>
      </c>
      <c r="F6" s="19">
        <v>300</v>
      </c>
      <c r="G6" s="19">
        <v>260</v>
      </c>
      <c r="H6" s="19">
        <v>300</v>
      </c>
      <c r="I6" s="19">
        <v>0</v>
      </c>
      <c r="J6" s="19" t="s">
        <v>36</v>
      </c>
      <c r="K6" s="19">
        <v>700</v>
      </c>
      <c r="L6" s="20">
        <f t="shared" si="1"/>
        <v>2.6923076923076925</v>
      </c>
      <c r="M6" s="19" t="s">
        <v>20</v>
      </c>
      <c r="N6" s="19">
        <v>6</v>
      </c>
      <c r="O6" s="19">
        <f t="shared" si="4"/>
        <v>117</v>
      </c>
      <c r="P6" s="19">
        <v>200000</v>
      </c>
      <c r="Q6" s="19">
        <v>273</v>
      </c>
      <c r="R6" s="19">
        <f t="shared" si="2"/>
        <v>0.24166153846153843</v>
      </c>
      <c r="S6" s="19" t="s">
        <v>38</v>
      </c>
      <c r="T6" s="19" t="s">
        <v>41</v>
      </c>
      <c r="U6" s="19" t="s">
        <v>69</v>
      </c>
      <c r="V6" s="19">
        <v>230000</v>
      </c>
      <c r="W6" s="19">
        <v>0.11</v>
      </c>
      <c r="X6" s="19">
        <v>3480</v>
      </c>
      <c r="Y6" s="19">
        <v>30</v>
      </c>
      <c r="Z6" s="19">
        <v>60</v>
      </c>
      <c r="AA6" s="9">
        <f t="shared" ref="AA6:AA13" si="8">0.9*G6</f>
        <v>234</v>
      </c>
      <c r="AB6" s="19">
        <v>90</v>
      </c>
      <c r="AC6" s="19">
        <v>45</v>
      </c>
      <c r="AD6" s="21">
        <v>80.25</v>
      </c>
      <c r="AE6" s="21">
        <v>34.200000000000003</v>
      </c>
      <c r="AF6" s="2"/>
      <c r="AG6" s="19">
        <v>45.2</v>
      </c>
      <c r="AH6" s="18" t="s">
        <v>37</v>
      </c>
      <c r="AI6" s="18"/>
      <c r="AJ6" s="18">
        <v>120</v>
      </c>
      <c r="AK6" s="18">
        <v>197000</v>
      </c>
      <c r="AL6" s="18">
        <v>390</v>
      </c>
      <c r="AM6" s="19">
        <f t="shared" si="3"/>
        <v>0</v>
      </c>
      <c r="AN6" s="2"/>
      <c r="AO6" s="2">
        <f t="shared" si="5"/>
        <v>56.548667764616276</v>
      </c>
      <c r="AP6" s="2">
        <f t="shared" si="6"/>
        <v>24.061451938479422</v>
      </c>
      <c r="AQ6" s="2" t="str">
        <f t="shared" si="7"/>
        <v>OK</v>
      </c>
      <c r="AR6" s="2"/>
      <c r="AS6" s="2"/>
      <c r="AT6" s="2"/>
      <c r="AU6" s="2"/>
      <c r="AV6" s="2"/>
      <c r="AW6" s="2"/>
      <c r="AX6" s="2"/>
      <c r="AY6" s="2"/>
      <c r="AZ6" s="2"/>
    </row>
    <row r="7" spans="1:52" customFormat="1" x14ac:dyDescent="0.25">
      <c r="A7" s="19">
        <v>4</v>
      </c>
      <c r="B7" s="18" t="s">
        <v>44</v>
      </c>
      <c r="C7" s="2" t="s">
        <v>45</v>
      </c>
      <c r="D7" s="19">
        <v>20.5</v>
      </c>
      <c r="E7" s="19">
        <v>200</v>
      </c>
      <c r="F7" s="19">
        <v>300</v>
      </c>
      <c r="G7" s="19">
        <v>260</v>
      </c>
      <c r="H7" s="19">
        <v>300</v>
      </c>
      <c r="I7" s="19">
        <v>0</v>
      </c>
      <c r="J7" s="19" t="s">
        <v>36</v>
      </c>
      <c r="K7" s="19">
        <v>700</v>
      </c>
      <c r="L7" s="20">
        <f t="shared" si="1"/>
        <v>2.6923076923076925</v>
      </c>
      <c r="M7" s="19" t="s">
        <v>20</v>
      </c>
      <c r="N7" s="19">
        <v>6</v>
      </c>
      <c r="O7" s="19">
        <f t="shared" si="4"/>
        <v>117</v>
      </c>
      <c r="P7" s="19">
        <v>200000</v>
      </c>
      <c r="Q7" s="19">
        <v>273</v>
      </c>
      <c r="R7" s="19">
        <f t="shared" si="2"/>
        <v>0.24166153846153843</v>
      </c>
      <c r="S7" s="19" t="s">
        <v>38</v>
      </c>
      <c r="T7" s="19" t="s">
        <v>39</v>
      </c>
      <c r="U7" s="19" t="s">
        <v>69</v>
      </c>
      <c r="V7" s="19">
        <v>230000</v>
      </c>
      <c r="W7" s="19">
        <v>0.11</v>
      </c>
      <c r="X7" s="19">
        <v>3480</v>
      </c>
      <c r="Y7" s="19">
        <v>30</v>
      </c>
      <c r="Z7" s="19">
        <v>30</v>
      </c>
      <c r="AA7" s="9">
        <f t="shared" si="8"/>
        <v>234</v>
      </c>
      <c r="AB7" s="19">
        <v>90</v>
      </c>
      <c r="AC7" s="19">
        <v>45</v>
      </c>
      <c r="AD7" s="21">
        <v>78.150000000000006</v>
      </c>
      <c r="AE7" s="21">
        <v>32.1</v>
      </c>
      <c r="AF7" s="2"/>
      <c r="AG7" s="19">
        <v>37.5</v>
      </c>
      <c r="AH7" s="18" t="s">
        <v>37</v>
      </c>
      <c r="AI7" s="18"/>
      <c r="AJ7" s="18">
        <v>120</v>
      </c>
      <c r="AK7" s="18">
        <v>197000</v>
      </c>
      <c r="AL7" s="18">
        <v>390</v>
      </c>
      <c r="AM7" s="19">
        <f t="shared" si="3"/>
        <v>0</v>
      </c>
      <c r="AN7" s="2"/>
      <c r="AO7" s="2">
        <f t="shared" si="5"/>
        <v>56.548667764616276</v>
      </c>
      <c r="AP7" s="2">
        <f t="shared" si="6"/>
        <v>24.061451938479422</v>
      </c>
      <c r="AQ7" s="2" t="str">
        <f t="shared" si="7"/>
        <v>OK</v>
      </c>
      <c r="AR7" s="2"/>
      <c r="AS7" s="2"/>
      <c r="AT7" s="2"/>
      <c r="AU7" s="2"/>
      <c r="AV7" s="2"/>
      <c r="AW7" s="2"/>
      <c r="AX7" s="2"/>
      <c r="AY7" s="2"/>
      <c r="AZ7" s="2"/>
    </row>
    <row r="8" spans="1:52" customFormat="1" x14ac:dyDescent="0.25">
      <c r="A8" s="19">
        <v>5</v>
      </c>
      <c r="B8" s="10" t="s">
        <v>46</v>
      </c>
      <c r="C8" s="2" t="s">
        <v>47</v>
      </c>
      <c r="D8" s="19">
        <v>20.5</v>
      </c>
      <c r="E8" s="19">
        <v>200</v>
      </c>
      <c r="F8" s="19">
        <v>200</v>
      </c>
      <c r="G8" s="19">
        <v>160</v>
      </c>
      <c r="H8" s="19">
        <v>200</v>
      </c>
      <c r="I8" s="19">
        <v>0</v>
      </c>
      <c r="J8" s="19" t="s">
        <v>36</v>
      </c>
      <c r="K8" s="19">
        <v>650</v>
      </c>
      <c r="L8" s="20">
        <f t="shared" si="1"/>
        <v>4.0625</v>
      </c>
      <c r="M8" s="19" t="s">
        <v>20</v>
      </c>
      <c r="N8" s="19">
        <v>6</v>
      </c>
      <c r="O8" s="19">
        <f t="shared" si="4"/>
        <v>72</v>
      </c>
      <c r="P8" s="19">
        <v>200000</v>
      </c>
      <c r="Q8" s="19">
        <v>273</v>
      </c>
      <c r="R8" s="19">
        <f t="shared" si="2"/>
        <v>0.39269999999999994</v>
      </c>
      <c r="S8" s="19" t="s">
        <v>38</v>
      </c>
      <c r="T8" s="19" t="s">
        <v>39</v>
      </c>
      <c r="U8" s="19" t="s">
        <v>69</v>
      </c>
      <c r="V8" s="19">
        <v>284200</v>
      </c>
      <c r="W8" s="22">
        <f>0.097*1</f>
        <v>9.7000000000000003E-2</v>
      </c>
      <c r="X8" s="19">
        <v>3430</v>
      </c>
      <c r="Y8" s="19">
        <v>100</v>
      </c>
      <c r="Z8" s="19">
        <v>100</v>
      </c>
      <c r="AA8" s="9">
        <f t="shared" si="8"/>
        <v>144</v>
      </c>
      <c r="AB8" s="19">
        <v>90</v>
      </c>
      <c r="AC8" s="19">
        <v>45</v>
      </c>
      <c r="AD8" s="21">
        <v>78.95</v>
      </c>
      <c r="AE8" s="21">
        <v>22.1</v>
      </c>
      <c r="AF8" s="2"/>
      <c r="AG8" s="19">
        <v>39.200000000000003</v>
      </c>
      <c r="AH8" s="10" t="s">
        <v>4</v>
      </c>
      <c r="AI8" s="19">
        <v>3</v>
      </c>
      <c r="AJ8" s="19">
        <v>100</v>
      </c>
      <c r="AK8" s="19">
        <v>178360</v>
      </c>
      <c r="AL8" s="19">
        <v>132.30000000000001</v>
      </c>
      <c r="AM8" s="19">
        <f t="shared" si="3"/>
        <v>0.14137199999999997</v>
      </c>
      <c r="AN8" s="2"/>
      <c r="AO8" s="2">
        <f t="shared" si="5"/>
        <v>56.548667764616276</v>
      </c>
      <c r="AP8" s="2">
        <f t="shared" si="6"/>
        <v>14.807047346756567</v>
      </c>
      <c r="AQ8" s="2" t="str">
        <f t="shared" si="7"/>
        <v>OK</v>
      </c>
      <c r="AR8" s="2"/>
      <c r="AS8" s="2"/>
      <c r="AT8" s="2"/>
      <c r="AU8" s="2"/>
      <c r="AV8" s="2"/>
      <c r="AW8" s="2"/>
      <c r="AX8" s="2"/>
      <c r="AY8" s="2"/>
      <c r="AZ8" s="2"/>
    </row>
    <row r="9" spans="1:52" customFormat="1" x14ac:dyDescent="0.25">
      <c r="A9" s="19">
        <v>6</v>
      </c>
      <c r="B9" s="18" t="s">
        <v>49</v>
      </c>
      <c r="C9" s="2" t="s">
        <v>48</v>
      </c>
      <c r="D9" s="19">
        <v>20.5</v>
      </c>
      <c r="E9" s="19">
        <v>150</v>
      </c>
      <c r="F9" s="19">
        <v>250</v>
      </c>
      <c r="G9" s="19">
        <v>220</v>
      </c>
      <c r="H9" s="19">
        <v>250</v>
      </c>
      <c r="I9" s="19">
        <v>0</v>
      </c>
      <c r="J9" s="19" t="s">
        <v>36</v>
      </c>
      <c r="K9" s="19">
        <v>250</v>
      </c>
      <c r="L9" s="20">
        <f t="shared" si="1"/>
        <v>1.1363636363636365</v>
      </c>
      <c r="M9" s="19" t="s">
        <v>20</v>
      </c>
      <c r="N9" s="19">
        <v>6</v>
      </c>
      <c r="O9" s="19">
        <f t="shared" si="4"/>
        <v>99</v>
      </c>
      <c r="P9" s="19">
        <v>200000</v>
      </c>
      <c r="Q9" s="19">
        <v>273</v>
      </c>
      <c r="R9" s="19">
        <f t="shared" si="2"/>
        <v>0.38079999999999992</v>
      </c>
      <c r="S9" s="19" t="s">
        <v>38</v>
      </c>
      <c r="T9" s="19" t="s">
        <v>39</v>
      </c>
      <c r="U9" s="19" t="s">
        <v>69</v>
      </c>
      <c r="V9" s="19">
        <v>230000</v>
      </c>
      <c r="W9" s="19">
        <v>0.16700000000000001</v>
      </c>
      <c r="X9" s="19">
        <v>3430</v>
      </c>
      <c r="Y9" s="19">
        <v>50</v>
      </c>
      <c r="Z9" s="19">
        <v>50</v>
      </c>
      <c r="AA9" s="9">
        <f t="shared" si="8"/>
        <v>198</v>
      </c>
      <c r="AB9" s="19">
        <v>90</v>
      </c>
      <c r="AC9" s="19">
        <v>45</v>
      </c>
      <c r="AD9" s="21">
        <v>134.35</v>
      </c>
      <c r="AE9" s="21">
        <f>40.2</f>
        <v>40.200000000000003</v>
      </c>
      <c r="AF9" s="2"/>
      <c r="AG9" s="19">
        <v>28.5</v>
      </c>
      <c r="AH9" s="9" t="s">
        <v>37</v>
      </c>
      <c r="AI9" s="19"/>
      <c r="AJ9" s="19"/>
      <c r="AK9" s="19"/>
      <c r="AL9" s="19"/>
      <c r="AM9" s="19"/>
      <c r="AN9" s="2"/>
      <c r="AO9" s="2">
        <f t="shared" si="5"/>
        <v>56.548667764616276</v>
      </c>
      <c r="AP9" s="2">
        <f t="shared" si="6"/>
        <v>15.269767576342709</v>
      </c>
      <c r="AQ9" s="2" t="str">
        <f t="shared" si="7"/>
        <v>OK</v>
      </c>
      <c r="AR9" s="2"/>
      <c r="AS9" s="2"/>
      <c r="AT9" s="2"/>
      <c r="AU9" s="2"/>
      <c r="AV9" s="2"/>
      <c r="AW9" s="2"/>
      <c r="AX9" s="2"/>
      <c r="AY9" s="2"/>
      <c r="AZ9" s="2"/>
    </row>
    <row r="10" spans="1:52" customFormat="1" x14ac:dyDescent="0.25">
      <c r="A10" s="19">
        <v>7</v>
      </c>
      <c r="B10" s="10" t="s">
        <v>51</v>
      </c>
      <c r="C10" s="2" t="s">
        <v>50</v>
      </c>
      <c r="D10" s="19">
        <v>20.5</v>
      </c>
      <c r="E10" s="19">
        <v>70</v>
      </c>
      <c r="F10" s="19">
        <v>110</v>
      </c>
      <c r="G10" s="19">
        <v>100</v>
      </c>
      <c r="H10" s="19">
        <v>110</v>
      </c>
      <c r="I10" s="19">
        <v>0</v>
      </c>
      <c r="J10" s="19" t="s">
        <v>36</v>
      </c>
      <c r="K10" s="19">
        <v>320</v>
      </c>
      <c r="L10" s="20">
        <f t="shared" si="1"/>
        <v>3.2</v>
      </c>
      <c r="M10" s="19" t="s">
        <v>20</v>
      </c>
      <c r="N10" s="19">
        <v>6</v>
      </c>
      <c r="O10" s="19">
        <f t="shared" si="4"/>
        <v>45</v>
      </c>
      <c r="P10" s="19">
        <v>200000</v>
      </c>
      <c r="Q10" s="19">
        <v>273</v>
      </c>
      <c r="R10" s="19">
        <f t="shared" si="2"/>
        <v>1.7951999999999999</v>
      </c>
      <c r="S10" s="19" t="s">
        <v>38</v>
      </c>
      <c r="T10" s="19" t="s">
        <v>41</v>
      </c>
      <c r="U10" s="19" t="s">
        <v>69</v>
      </c>
      <c r="V10" s="22">
        <v>235000</v>
      </c>
      <c r="W10" s="24">
        <v>0.11</v>
      </c>
      <c r="X10" s="22">
        <v>3300</v>
      </c>
      <c r="Y10" s="25">
        <v>30</v>
      </c>
      <c r="Z10" s="19">
        <v>45</v>
      </c>
      <c r="AA10" s="9">
        <f t="shared" si="8"/>
        <v>90</v>
      </c>
      <c r="AB10" s="19">
        <v>90</v>
      </c>
      <c r="AC10" s="19">
        <v>45</v>
      </c>
      <c r="AD10" s="26">
        <v>43.5</v>
      </c>
      <c r="AE10" s="21">
        <v>27.1</v>
      </c>
      <c r="AF10" s="2"/>
      <c r="AG10" s="19">
        <v>30</v>
      </c>
      <c r="AH10" s="19" t="s">
        <v>37</v>
      </c>
      <c r="AI10" s="19">
        <v>0</v>
      </c>
      <c r="AJ10" s="19"/>
      <c r="AK10" s="19"/>
      <c r="AL10" s="19"/>
      <c r="AM10" s="19"/>
      <c r="AN10" s="2"/>
      <c r="AO10" s="2">
        <f t="shared" si="5"/>
        <v>56.548667764616276</v>
      </c>
      <c r="AP10" s="2">
        <f t="shared" si="6"/>
        <v>3.2390416071029993</v>
      </c>
      <c r="AQ10" s="2" t="str">
        <f t="shared" si="7"/>
        <v>OK</v>
      </c>
      <c r="AR10" s="2"/>
      <c r="AS10" s="2"/>
      <c r="AT10" s="2"/>
      <c r="AU10" s="2"/>
      <c r="AV10" s="2"/>
      <c r="AW10" s="2"/>
      <c r="AX10" s="2"/>
      <c r="AY10" s="2"/>
      <c r="AZ10" s="2"/>
    </row>
    <row r="11" spans="1:52" customFormat="1" x14ac:dyDescent="0.25">
      <c r="A11" s="19">
        <v>8</v>
      </c>
      <c r="B11" s="27"/>
      <c r="C11" s="2" t="s">
        <v>52</v>
      </c>
      <c r="D11" s="19">
        <v>20.5</v>
      </c>
      <c r="E11" s="19">
        <v>152</v>
      </c>
      <c r="F11" s="19">
        <v>152</v>
      </c>
      <c r="G11" s="19">
        <v>101</v>
      </c>
      <c r="H11" s="19">
        <v>152</v>
      </c>
      <c r="I11" s="19">
        <v>0</v>
      </c>
      <c r="J11" s="19" t="s">
        <v>36</v>
      </c>
      <c r="K11" s="19">
        <v>152.4</v>
      </c>
      <c r="L11" s="20">
        <f t="shared" si="1"/>
        <v>1.5089108910891089</v>
      </c>
      <c r="M11" s="19" t="s">
        <v>20</v>
      </c>
      <c r="N11" s="19">
        <v>6</v>
      </c>
      <c r="O11" s="19">
        <f t="shared" si="4"/>
        <v>45.45</v>
      </c>
      <c r="P11" s="19">
        <v>200000</v>
      </c>
      <c r="Q11" s="19">
        <v>273</v>
      </c>
      <c r="R11" s="19">
        <f t="shared" si="2"/>
        <v>0.81855132881709203</v>
      </c>
      <c r="S11" s="19" t="s">
        <v>38</v>
      </c>
      <c r="T11" s="19" t="s">
        <v>39</v>
      </c>
      <c r="U11" s="19" t="s">
        <v>69</v>
      </c>
      <c r="V11" s="19">
        <v>230000</v>
      </c>
      <c r="W11" s="19">
        <v>0.33</v>
      </c>
      <c r="X11" s="19">
        <v>3400</v>
      </c>
      <c r="Y11" s="19">
        <v>50</v>
      </c>
      <c r="Z11" s="19">
        <v>50</v>
      </c>
      <c r="AA11" s="9">
        <f t="shared" si="8"/>
        <v>90.9</v>
      </c>
      <c r="AB11" s="19">
        <v>90</v>
      </c>
      <c r="AC11" s="19">
        <v>45</v>
      </c>
      <c r="AD11" s="21">
        <v>84.75</v>
      </c>
      <c r="AE11" s="21">
        <v>34.049999999999997</v>
      </c>
      <c r="AF11" s="2"/>
      <c r="AG11" s="19">
        <v>27.5</v>
      </c>
      <c r="AH11" s="18" t="s">
        <v>37</v>
      </c>
      <c r="AI11" s="28"/>
      <c r="AJ11" s="19">
        <v>100</v>
      </c>
      <c r="AK11" s="28"/>
      <c r="AL11" s="28"/>
      <c r="AM11" s="19">
        <f t="shared" ref="AM11:AM22" si="9">100*2*3.1416*AI11^2/4/AJ11/Z11</f>
        <v>0</v>
      </c>
      <c r="AN11" s="2"/>
      <c r="AO11" s="2">
        <f t="shared" si="5"/>
        <v>56.548667764616276</v>
      </c>
      <c r="AP11" s="2">
        <f t="shared" si="6"/>
        <v>7.1036809646064638</v>
      </c>
      <c r="AQ11" s="2" t="str">
        <f t="shared" si="7"/>
        <v>OK</v>
      </c>
      <c r="AR11" s="2"/>
      <c r="AS11" s="2"/>
      <c r="AT11" s="2"/>
      <c r="AU11" s="2"/>
      <c r="AV11" s="2"/>
      <c r="AW11" s="2"/>
      <c r="AX11" s="2"/>
      <c r="AY11" s="2"/>
      <c r="AZ11" s="2"/>
    </row>
    <row r="12" spans="1:52" customFormat="1" x14ac:dyDescent="0.25">
      <c r="A12" s="19">
        <v>9</v>
      </c>
      <c r="B12" s="29"/>
      <c r="C12" s="19" t="s">
        <v>53</v>
      </c>
      <c r="D12" s="19">
        <v>20.5</v>
      </c>
      <c r="E12" s="19">
        <v>180</v>
      </c>
      <c r="F12" s="18">
        <v>500</v>
      </c>
      <c r="G12" s="19">
        <v>460</v>
      </c>
      <c r="H12" s="19">
        <v>500</v>
      </c>
      <c r="I12" s="19">
        <v>0</v>
      </c>
      <c r="J12" s="19" t="s">
        <v>36</v>
      </c>
      <c r="K12" s="18">
        <f>L12*G12</f>
        <v>1610</v>
      </c>
      <c r="L12" s="20">
        <v>3.5</v>
      </c>
      <c r="M12" s="19" t="s">
        <v>20</v>
      </c>
      <c r="N12" s="19">
        <v>8</v>
      </c>
      <c r="O12" s="19">
        <f t="shared" si="4"/>
        <v>207</v>
      </c>
      <c r="P12" s="19">
        <v>200000</v>
      </c>
      <c r="Q12" s="19">
        <v>273</v>
      </c>
      <c r="R12" s="19">
        <f t="shared" si="2"/>
        <v>0.26980998389694039</v>
      </c>
      <c r="S12" s="19" t="s">
        <v>38</v>
      </c>
      <c r="T12" s="19" t="s">
        <v>39</v>
      </c>
      <c r="U12" s="19" t="s">
        <v>69</v>
      </c>
      <c r="V12" s="19">
        <v>70800</v>
      </c>
      <c r="W12" s="19">
        <v>0.8</v>
      </c>
      <c r="X12" s="19">
        <v>860</v>
      </c>
      <c r="Y12" s="18">
        <v>300</v>
      </c>
      <c r="Z12" s="18">
        <f>4*Y12/SQRT(2)</f>
        <v>848.52813742385695</v>
      </c>
      <c r="AA12" s="9">
        <f t="shared" si="8"/>
        <v>414</v>
      </c>
      <c r="AB12" s="19">
        <v>45</v>
      </c>
      <c r="AC12" s="19">
        <v>45</v>
      </c>
      <c r="AD12" s="21">
        <v>195</v>
      </c>
      <c r="AE12" s="21">
        <v>89</v>
      </c>
      <c r="AF12" s="2"/>
      <c r="AG12" s="19">
        <v>53.8</v>
      </c>
      <c r="AH12" s="19" t="s">
        <v>37</v>
      </c>
      <c r="AI12" s="19">
        <v>0</v>
      </c>
      <c r="AJ12" s="28"/>
      <c r="AK12" s="28"/>
      <c r="AL12" s="28"/>
      <c r="AM12" s="19"/>
      <c r="AN12" s="2"/>
      <c r="AO12" s="2">
        <f t="shared" si="5"/>
        <v>100.53096491487338</v>
      </c>
      <c r="AP12" s="2">
        <f t="shared" si="6"/>
        <v>38.313235009732622</v>
      </c>
      <c r="AQ12" s="2" t="str">
        <f t="shared" si="7"/>
        <v>OK</v>
      </c>
      <c r="AR12" s="2"/>
      <c r="AS12" s="2"/>
      <c r="AT12" s="2"/>
      <c r="AU12" s="2"/>
      <c r="AV12" s="2"/>
      <c r="AW12" s="2"/>
      <c r="AX12" s="2"/>
      <c r="AY12" s="2"/>
      <c r="AZ12" s="2"/>
    </row>
    <row r="13" spans="1:52" customFormat="1" x14ac:dyDescent="0.25">
      <c r="A13" s="19">
        <v>10</v>
      </c>
      <c r="B13" s="29" t="s">
        <v>54</v>
      </c>
      <c r="C13" s="19" t="s">
        <v>55</v>
      </c>
      <c r="D13" s="19">
        <v>20.5</v>
      </c>
      <c r="E13" s="19">
        <v>180</v>
      </c>
      <c r="F13" s="18">
        <v>500</v>
      </c>
      <c r="G13" s="19">
        <v>460</v>
      </c>
      <c r="H13" s="19">
        <v>500</v>
      </c>
      <c r="I13" s="19">
        <v>0</v>
      </c>
      <c r="J13" s="19" t="s">
        <v>36</v>
      </c>
      <c r="K13" s="18">
        <f>L13*G13</f>
        <v>1196</v>
      </c>
      <c r="L13" s="20">
        <v>2.6</v>
      </c>
      <c r="M13" s="19" t="s">
        <v>20</v>
      </c>
      <c r="N13" s="19">
        <v>8</v>
      </c>
      <c r="O13" s="19">
        <f t="shared" si="4"/>
        <v>207</v>
      </c>
      <c r="P13" s="19">
        <v>200000</v>
      </c>
      <c r="Q13" s="19">
        <v>273</v>
      </c>
      <c r="R13" s="19">
        <f t="shared" si="2"/>
        <v>0.26980998389694039</v>
      </c>
      <c r="S13" s="19" t="s">
        <v>38</v>
      </c>
      <c r="T13" s="19" t="s">
        <v>39</v>
      </c>
      <c r="U13" s="19" t="s">
        <v>69</v>
      </c>
      <c r="V13" s="19">
        <v>70800</v>
      </c>
      <c r="W13" s="19">
        <v>0.8</v>
      </c>
      <c r="X13" s="19">
        <v>860</v>
      </c>
      <c r="Y13" s="18">
        <v>1</v>
      </c>
      <c r="Z13" s="18">
        <f>2*Y13/SQRT(2)</f>
        <v>1.4142135623730949</v>
      </c>
      <c r="AA13" s="9">
        <f t="shared" si="8"/>
        <v>414</v>
      </c>
      <c r="AB13" s="19">
        <v>45</v>
      </c>
      <c r="AC13" s="19">
        <v>45</v>
      </c>
      <c r="AD13" s="21">
        <v>243</v>
      </c>
      <c r="AE13" s="21">
        <v>122.5</v>
      </c>
      <c r="AF13" s="2"/>
      <c r="AG13" s="19">
        <v>52.7</v>
      </c>
      <c r="AH13" s="19" t="s">
        <v>37</v>
      </c>
      <c r="AI13" s="19">
        <v>0</v>
      </c>
      <c r="AJ13" s="19"/>
      <c r="AK13" s="19"/>
      <c r="AL13" s="19"/>
      <c r="AM13" s="19"/>
      <c r="AN13" s="2"/>
      <c r="AO13" s="2">
        <f t="shared" si="5"/>
        <v>100.53096491487338</v>
      </c>
      <c r="AP13" s="2">
        <f t="shared" si="6"/>
        <v>38.313235009732622</v>
      </c>
      <c r="AQ13" s="2" t="str">
        <f t="shared" si="7"/>
        <v>OK</v>
      </c>
      <c r="AR13" s="2"/>
      <c r="AS13" s="2"/>
      <c r="AT13" s="2"/>
      <c r="AU13" s="2"/>
      <c r="AV13" s="2"/>
      <c r="AW13" s="2"/>
      <c r="AX13" s="2"/>
      <c r="AY13" s="2"/>
      <c r="AZ13" s="2"/>
    </row>
    <row r="14" spans="1:52" customFormat="1" x14ac:dyDescent="0.25">
      <c r="A14" s="19">
        <v>11</v>
      </c>
      <c r="B14" s="18" t="s">
        <v>56</v>
      </c>
      <c r="C14" s="2" t="s">
        <v>57</v>
      </c>
      <c r="D14" s="19">
        <v>20.5</v>
      </c>
      <c r="E14" s="19">
        <v>150</v>
      </c>
      <c r="F14" s="19">
        <v>405</v>
      </c>
      <c r="G14" s="19">
        <v>360</v>
      </c>
      <c r="H14" s="19">
        <v>405</v>
      </c>
      <c r="I14" s="19">
        <v>100</v>
      </c>
      <c r="J14" s="19" t="s">
        <v>58</v>
      </c>
      <c r="K14" s="19">
        <v>1070</v>
      </c>
      <c r="L14" s="20">
        <v>2.6</v>
      </c>
      <c r="M14" s="19" t="s">
        <v>20</v>
      </c>
      <c r="N14" s="19">
        <v>6</v>
      </c>
      <c r="O14" s="19">
        <f t="shared" si="4"/>
        <v>162</v>
      </c>
      <c r="P14" s="19">
        <v>200000</v>
      </c>
      <c r="Q14" s="19">
        <v>273</v>
      </c>
      <c r="R14" s="19">
        <f t="shared" si="2"/>
        <v>0.23271111111111106</v>
      </c>
      <c r="S14" s="19" t="s">
        <v>38</v>
      </c>
      <c r="T14" s="19" t="s">
        <v>41</v>
      </c>
      <c r="U14" s="19" t="s">
        <v>69</v>
      </c>
      <c r="V14" s="19">
        <v>228000</v>
      </c>
      <c r="W14" s="19">
        <v>0.16500000000000001</v>
      </c>
      <c r="X14" s="19">
        <v>3790</v>
      </c>
      <c r="Y14" s="19">
        <v>50</v>
      </c>
      <c r="Z14" s="19">
        <v>125</v>
      </c>
      <c r="AA14" s="30">
        <f t="shared" ref="AA14:AA25" si="10">0.9*G14-I14</f>
        <v>224</v>
      </c>
      <c r="AB14" s="19">
        <v>90</v>
      </c>
      <c r="AC14" s="19">
        <v>45</v>
      </c>
      <c r="AD14" s="21">
        <v>121.5</v>
      </c>
      <c r="AE14" s="21">
        <v>31.5</v>
      </c>
      <c r="AF14" s="2"/>
      <c r="AG14" s="19">
        <v>35</v>
      </c>
      <c r="AH14" s="19" t="s">
        <v>37</v>
      </c>
      <c r="AI14" s="19">
        <v>0</v>
      </c>
      <c r="AJ14" s="19"/>
      <c r="AK14" s="19"/>
      <c r="AL14" s="19"/>
      <c r="AM14" s="19"/>
      <c r="AN14" s="2"/>
      <c r="AO14" s="2">
        <f t="shared" si="5"/>
        <v>56.548667764616276</v>
      </c>
      <c r="AP14" s="2">
        <f t="shared" si="6"/>
        <v>24.986892397651708</v>
      </c>
      <c r="AQ14" s="2" t="str">
        <f t="shared" si="7"/>
        <v>OK</v>
      </c>
      <c r="AR14" s="2"/>
      <c r="AS14" s="2"/>
      <c r="AT14" s="2"/>
      <c r="AU14" s="2"/>
      <c r="AV14" s="2"/>
      <c r="AW14" s="2"/>
      <c r="AX14" s="2"/>
      <c r="AY14" s="2"/>
      <c r="AZ14" s="2"/>
    </row>
    <row r="15" spans="1:52" customFormat="1" x14ac:dyDescent="0.25">
      <c r="A15" s="19">
        <v>12</v>
      </c>
      <c r="B15" s="29" t="s">
        <v>60</v>
      </c>
      <c r="C15" s="2" t="s">
        <v>59</v>
      </c>
      <c r="D15" s="19">
        <v>20.5</v>
      </c>
      <c r="E15" s="19">
        <v>150</v>
      </c>
      <c r="F15" s="19">
        <v>300</v>
      </c>
      <c r="G15" s="19">
        <v>250</v>
      </c>
      <c r="H15" s="19">
        <v>300</v>
      </c>
      <c r="I15" s="19">
        <v>0</v>
      </c>
      <c r="J15" s="19" t="s">
        <v>36</v>
      </c>
      <c r="K15" s="19">
        <v>750</v>
      </c>
      <c r="L15" s="20">
        <f t="shared" ref="L15:L18" si="11">K15/G15</f>
        <v>3</v>
      </c>
      <c r="M15" s="19" t="s">
        <v>20</v>
      </c>
      <c r="N15" s="19">
        <v>6</v>
      </c>
      <c r="O15" s="19">
        <f t="shared" si="4"/>
        <v>112.5</v>
      </c>
      <c r="P15" s="19">
        <v>200000</v>
      </c>
      <c r="Q15" s="19">
        <v>273</v>
      </c>
      <c r="R15" s="19">
        <f t="shared" si="2"/>
        <v>0.33510399999999996</v>
      </c>
      <c r="S15" s="19" t="s">
        <v>38</v>
      </c>
      <c r="T15" s="19" t="s">
        <v>39</v>
      </c>
      <c r="U15" s="19" t="s">
        <v>69</v>
      </c>
      <c r="V15" s="19">
        <v>233600</v>
      </c>
      <c r="W15" s="19">
        <v>0.16500000000000001</v>
      </c>
      <c r="X15" s="19">
        <v>3550</v>
      </c>
      <c r="Y15" s="19">
        <v>1</v>
      </c>
      <c r="Z15" s="19">
        <v>1</v>
      </c>
      <c r="AA15" s="9">
        <f t="shared" si="10"/>
        <v>225</v>
      </c>
      <c r="AB15" s="19">
        <v>90</v>
      </c>
      <c r="AC15" s="19">
        <v>45</v>
      </c>
      <c r="AD15" s="21">
        <v>120</v>
      </c>
      <c r="AE15" s="21">
        <v>45.3</v>
      </c>
      <c r="AF15" s="2"/>
      <c r="AG15" s="19">
        <v>27.5</v>
      </c>
      <c r="AH15" s="18" t="s">
        <v>20</v>
      </c>
      <c r="AI15" s="19">
        <v>8</v>
      </c>
      <c r="AJ15" s="19">
        <v>200</v>
      </c>
      <c r="AK15" s="19">
        <v>210000</v>
      </c>
      <c r="AL15" s="19">
        <v>548</v>
      </c>
      <c r="AM15" s="19">
        <f t="shared" ref="AM15:AM26" si="12">100*2*3.1416*AI15^2/4/AJ15/Z15</f>
        <v>50.265599999999992</v>
      </c>
      <c r="AN15" s="2"/>
      <c r="AO15" s="2">
        <f t="shared" si="5"/>
        <v>56.548667764616276</v>
      </c>
      <c r="AP15" s="2">
        <f t="shared" si="6"/>
        <v>17.352008609480354</v>
      </c>
      <c r="AQ15" s="2" t="str">
        <f t="shared" si="7"/>
        <v>OK</v>
      </c>
      <c r="AR15" s="2"/>
      <c r="AS15" s="2"/>
      <c r="AT15" s="2"/>
      <c r="AU15" s="2"/>
      <c r="AV15" s="2"/>
      <c r="AW15" s="2"/>
      <c r="AX15" s="2"/>
      <c r="AY15" s="2"/>
      <c r="AZ15" s="2"/>
    </row>
    <row r="16" spans="1:52" customFormat="1" x14ac:dyDescent="0.25">
      <c r="A16" s="19">
        <v>13</v>
      </c>
      <c r="B16" s="30"/>
      <c r="C16" s="19" t="s">
        <v>61</v>
      </c>
      <c r="D16" s="19">
        <v>20.5</v>
      </c>
      <c r="E16" s="19">
        <v>152.4</v>
      </c>
      <c r="F16" s="19">
        <v>228.6</v>
      </c>
      <c r="G16" s="19">
        <f>F16-40</f>
        <v>188.6</v>
      </c>
      <c r="H16" s="19">
        <f>F16</f>
        <v>228.6</v>
      </c>
      <c r="I16" s="19">
        <v>0</v>
      </c>
      <c r="J16" s="19" t="s">
        <v>36</v>
      </c>
      <c r="K16" s="19">
        <v>533.4</v>
      </c>
      <c r="L16" s="20">
        <f t="shared" si="11"/>
        <v>2.8282078472958641</v>
      </c>
      <c r="M16" s="19" t="s">
        <v>20</v>
      </c>
      <c r="N16" s="19">
        <v>6</v>
      </c>
      <c r="O16" s="19">
        <f t="shared" si="4"/>
        <v>84.87</v>
      </c>
      <c r="P16" s="19">
        <v>200000</v>
      </c>
      <c r="Q16" s="19">
        <v>273</v>
      </c>
      <c r="R16" s="19">
        <f t="shared" si="2"/>
        <v>0.43720409816217287</v>
      </c>
      <c r="S16" s="19" t="s">
        <v>38</v>
      </c>
      <c r="T16" s="19" t="s">
        <v>41</v>
      </c>
      <c r="U16" s="19" t="s">
        <v>69</v>
      </c>
      <c r="V16" s="19">
        <v>165000</v>
      </c>
      <c r="W16" s="19">
        <v>1.2</v>
      </c>
      <c r="X16" s="19">
        <v>2800</v>
      </c>
      <c r="Y16" s="19">
        <v>40</v>
      </c>
      <c r="Z16" s="19">
        <v>127</v>
      </c>
      <c r="AA16" s="9">
        <f t="shared" si="10"/>
        <v>169.74</v>
      </c>
      <c r="AB16" s="19">
        <v>90</v>
      </c>
      <c r="AC16" s="19">
        <v>45</v>
      </c>
      <c r="AD16" s="21">
        <v>73.7</v>
      </c>
      <c r="AE16" s="21">
        <v>27.6</v>
      </c>
      <c r="AF16" s="2"/>
      <c r="AG16" s="19">
        <v>43.83</v>
      </c>
      <c r="AH16" s="19" t="s">
        <v>37</v>
      </c>
      <c r="AI16" s="19">
        <v>0</v>
      </c>
      <c r="AJ16" s="19"/>
      <c r="AK16" s="19"/>
      <c r="AL16" s="19"/>
      <c r="AM16" s="19"/>
      <c r="AN16" s="2"/>
      <c r="AO16" s="2">
        <f t="shared" si="5"/>
        <v>56.548667764616276</v>
      </c>
      <c r="AP16" s="2">
        <f t="shared" si="6"/>
        <v>13.299800979711851</v>
      </c>
      <c r="AQ16" s="2" t="str">
        <f t="shared" si="7"/>
        <v>OK</v>
      </c>
      <c r="AR16" s="2"/>
      <c r="AS16" s="2"/>
      <c r="AT16" s="2"/>
      <c r="AU16" s="2"/>
      <c r="AV16" s="2"/>
      <c r="AW16" s="2"/>
      <c r="AX16" s="2"/>
      <c r="AY16" s="2"/>
      <c r="AZ16" s="2"/>
    </row>
    <row r="17" spans="1:52" customFormat="1" x14ac:dyDescent="0.25">
      <c r="A17" s="19">
        <v>14</v>
      </c>
      <c r="B17" s="29"/>
      <c r="C17" s="18" t="s">
        <v>62</v>
      </c>
      <c r="D17" s="19">
        <v>20.5</v>
      </c>
      <c r="E17" s="18">
        <v>250</v>
      </c>
      <c r="F17" s="18">
        <v>450</v>
      </c>
      <c r="G17" s="18">
        <v>410</v>
      </c>
      <c r="H17" s="18">
        <v>450</v>
      </c>
      <c r="I17" s="18">
        <v>0</v>
      </c>
      <c r="J17" s="18" t="s">
        <v>36</v>
      </c>
      <c r="K17" s="18">
        <v>1400</v>
      </c>
      <c r="L17" s="23">
        <f t="shared" si="11"/>
        <v>3.4146341463414633</v>
      </c>
      <c r="M17" s="19" t="s">
        <v>20</v>
      </c>
      <c r="N17" s="19">
        <v>6</v>
      </c>
      <c r="O17" s="19">
        <f t="shared" si="4"/>
        <v>184.5</v>
      </c>
      <c r="P17" s="19">
        <v>200000</v>
      </c>
      <c r="Q17" s="19">
        <v>273</v>
      </c>
      <c r="R17" s="19">
        <f t="shared" si="2"/>
        <v>0.12259902439024388</v>
      </c>
      <c r="S17" s="18" t="s">
        <v>38</v>
      </c>
      <c r="T17" s="18" t="s">
        <v>39</v>
      </c>
      <c r="U17" s="19" t="s">
        <v>69</v>
      </c>
      <c r="V17" s="18">
        <v>392000</v>
      </c>
      <c r="W17" s="18">
        <v>0.191</v>
      </c>
      <c r="X17" s="18">
        <v>2600</v>
      </c>
      <c r="Y17" s="18">
        <v>1</v>
      </c>
      <c r="Z17" s="18">
        <v>1</v>
      </c>
      <c r="AA17" s="18">
        <f t="shared" si="10"/>
        <v>369</v>
      </c>
      <c r="AB17" s="18">
        <v>90</v>
      </c>
      <c r="AC17" s="19">
        <v>45</v>
      </c>
      <c r="AD17" s="18">
        <v>240</v>
      </c>
      <c r="AE17" s="18">
        <v>25</v>
      </c>
      <c r="AF17" s="2"/>
      <c r="AG17" s="18">
        <v>21</v>
      </c>
      <c r="AH17" s="18" t="s">
        <v>20</v>
      </c>
      <c r="AI17" s="18">
        <v>8</v>
      </c>
      <c r="AJ17" s="18">
        <v>200</v>
      </c>
      <c r="AK17" s="18">
        <v>210000</v>
      </c>
      <c r="AL17" s="18">
        <v>476</v>
      </c>
      <c r="AM17" s="18">
        <f t="shared" ref="AM17:AM21" si="13">100*2*3.1416*AI17^2/4/AJ17/Z17</f>
        <v>50.265599999999992</v>
      </c>
      <c r="AN17" s="2"/>
      <c r="AO17" s="2">
        <f t="shared" si="5"/>
        <v>56.548667764616276</v>
      </c>
      <c r="AP17" s="2">
        <f t="shared" si="6"/>
        <v>47.428823532579635</v>
      </c>
      <c r="AQ17" s="2" t="str">
        <f t="shared" si="7"/>
        <v>OK</v>
      </c>
      <c r="AR17" s="2"/>
      <c r="AS17" s="2"/>
      <c r="AT17" s="2"/>
      <c r="AU17" s="2"/>
      <c r="AV17" s="2"/>
      <c r="AW17" s="2"/>
      <c r="AX17" s="2"/>
      <c r="AY17" s="2"/>
      <c r="AZ17" s="2"/>
    </row>
    <row r="18" spans="1:52" customFormat="1" x14ac:dyDescent="0.25">
      <c r="A18" s="19">
        <v>15</v>
      </c>
      <c r="B18" s="30"/>
      <c r="C18" s="18" t="s">
        <v>70</v>
      </c>
      <c r="D18" s="19">
        <v>20.5</v>
      </c>
      <c r="E18" s="18">
        <v>100</v>
      </c>
      <c r="F18" s="18">
        <v>150</v>
      </c>
      <c r="G18" s="18">
        <v>120</v>
      </c>
      <c r="H18" s="18">
        <v>150</v>
      </c>
      <c r="I18" s="18">
        <v>0</v>
      </c>
      <c r="J18" s="18" t="s">
        <v>36</v>
      </c>
      <c r="K18" s="18">
        <v>330</v>
      </c>
      <c r="L18" s="18">
        <f t="shared" si="11"/>
        <v>2.75</v>
      </c>
      <c r="M18" s="19" t="s">
        <v>20</v>
      </c>
      <c r="N18" s="19">
        <v>6</v>
      </c>
      <c r="O18" s="19">
        <f t="shared" si="4"/>
        <v>54</v>
      </c>
      <c r="P18" s="19">
        <v>200000</v>
      </c>
      <c r="Q18" s="19">
        <v>273</v>
      </c>
      <c r="R18" s="19">
        <f t="shared" si="2"/>
        <v>1.0471999999999999</v>
      </c>
      <c r="S18" s="18" t="s">
        <v>63</v>
      </c>
      <c r="T18" s="18" t="s">
        <v>41</v>
      </c>
      <c r="U18" s="19" t="s">
        <v>69</v>
      </c>
      <c r="V18" s="18">
        <v>73000</v>
      </c>
      <c r="W18" s="18">
        <v>1</v>
      </c>
      <c r="X18" s="18">
        <v>3400</v>
      </c>
      <c r="Y18" s="18">
        <v>20</v>
      </c>
      <c r="Z18" s="18">
        <v>45</v>
      </c>
      <c r="AA18" s="18">
        <f t="shared" si="10"/>
        <v>108</v>
      </c>
      <c r="AB18" s="18">
        <v>90</v>
      </c>
      <c r="AC18" s="19">
        <v>45</v>
      </c>
      <c r="AD18" s="18">
        <v>24.5</v>
      </c>
      <c r="AE18" s="18">
        <v>3.5</v>
      </c>
      <c r="AF18" s="19"/>
      <c r="AG18" s="18">
        <v>29.11</v>
      </c>
      <c r="AH18" s="18" t="s">
        <v>4</v>
      </c>
      <c r="AI18" s="18">
        <v>6</v>
      </c>
      <c r="AJ18" s="18">
        <v>150</v>
      </c>
      <c r="AK18" s="18">
        <v>200000</v>
      </c>
      <c r="AL18" s="18">
        <v>240</v>
      </c>
      <c r="AM18" s="18">
        <f t="shared" si="13"/>
        <v>0.83775999999999995</v>
      </c>
      <c r="AN18" s="2"/>
      <c r="AO18" s="2">
        <f t="shared" si="5"/>
        <v>56.548667764616276</v>
      </c>
      <c r="AP18" s="2">
        <f t="shared" si="6"/>
        <v>5.5526427550337125</v>
      </c>
      <c r="AQ18" s="2" t="str">
        <f t="shared" si="7"/>
        <v>OK</v>
      </c>
      <c r="AR18" s="2"/>
      <c r="AS18" s="2"/>
      <c r="AT18" s="2"/>
      <c r="AU18" s="2"/>
      <c r="AV18" s="2"/>
      <c r="AW18" s="2"/>
      <c r="AX18" s="2"/>
      <c r="AY18" s="2"/>
      <c r="AZ18" s="2"/>
    </row>
    <row r="19" spans="1:52" customFormat="1" x14ac:dyDescent="0.25">
      <c r="A19" s="19">
        <v>16</v>
      </c>
      <c r="B19" s="29" t="s">
        <v>64</v>
      </c>
      <c r="C19" s="2" t="s">
        <v>65</v>
      </c>
      <c r="D19" s="19">
        <v>20.5</v>
      </c>
      <c r="E19" s="19">
        <v>250</v>
      </c>
      <c r="F19" s="19">
        <v>250</v>
      </c>
      <c r="G19" s="19">
        <v>220</v>
      </c>
      <c r="H19" s="19">
        <v>250</v>
      </c>
      <c r="I19" s="19">
        <v>0</v>
      </c>
      <c r="J19" s="19" t="s">
        <v>36</v>
      </c>
      <c r="K19" s="19">
        <f>L19*G19</f>
        <v>484.00000000000006</v>
      </c>
      <c r="L19" s="19">
        <v>2.2000000000000002</v>
      </c>
      <c r="M19" s="19" t="s">
        <v>20</v>
      </c>
      <c r="N19" s="19">
        <v>6</v>
      </c>
      <c r="O19" s="19">
        <f t="shared" si="4"/>
        <v>99</v>
      </c>
      <c r="P19" s="19">
        <v>200000</v>
      </c>
      <c r="Q19" s="19">
        <v>273</v>
      </c>
      <c r="R19" s="19">
        <f t="shared" si="2"/>
        <v>0.22847999999999996</v>
      </c>
      <c r="S19" s="19" t="s">
        <v>38</v>
      </c>
      <c r="T19" s="19" t="s">
        <v>41</v>
      </c>
      <c r="U19" s="19" t="s">
        <v>69</v>
      </c>
      <c r="V19" s="19">
        <v>158000</v>
      </c>
      <c r="W19" s="19">
        <v>1.2</v>
      </c>
      <c r="X19" s="19">
        <v>3160</v>
      </c>
      <c r="Y19" s="19">
        <v>50</v>
      </c>
      <c r="Z19" s="19">
        <v>100</v>
      </c>
      <c r="AA19" s="9">
        <f t="shared" si="10"/>
        <v>198</v>
      </c>
      <c r="AB19" s="19">
        <v>90</v>
      </c>
      <c r="AC19" s="19">
        <v>45</v>
      </c>
      <c r="AD19" s="21">
        <v>95.5</v>
      </c>
      <c r="AE19" s="21">
        <f>AD19-62.5</f>
        <v>33</v>
      </c>
      <c r="AF19" s="2"/>
      <c r="AG19" s="19">
        <v>34.700000000000003</v>
      </c>
      <c r="AH19" s="19" t="s">
        <v>37</v>
      </c>
      <c r="AI19" s="19">
        <v>0</v>
      </c>
      <c r="AJ19" s="28"/>
      <c r="AK19" s="28"/>
      <c r="AL19" s="28"/>
      <c r="AM19" s="19"/>
      <c r="AN19" s="2"/>
      <c r="AO19" s="2">
        <f t="shared" si="5"/>
        <v>56.548667764616276</v>
      </c>
      <c r="AP19" s="2">
        <f t="shared" si="6"/>
        <v>25.449612627237851</v>
      </c>
      <c r="AQ19" s="2" t="str">
        <f t="shared" si="7"/>
        <v>OK</v>
      </c>
      <c r="AR19" s="2"/>
      <c r="AS19" s="2"/>
      <c r="AT19" s="2"/>
      <c r="AU19" s="2"/>
      <c r="AV19" s="2"/>
      <c r="AW19" s="2"/>
      <c r="AX19" s="2"/>
      <c r="AY19" s="2"/>
      <c r="AZ19" s="2"/>
    </row>
    <row r="20" spans="1:52" customFormat="1" x14ac:dyDescent="0.25">
      <c r="A20" s="19">
        <v>17</v>
      </c>
      <c r="B20" s="29"/>
      <c r="C20" s="19" t="s">
        <v>66</v>
      </c>
      <c r="D20" s="19">
        <v>20.5</v>
      </c>
      <c r="E20" s="19">
        <v>180</v>
      </c>
      <c r="F20" s="19">
        <v>500</v>
      </c>
      <c r="G20" s="19">
        <f>F20-65</f>
        <v>435</v>
      </c>
      <c r="H20" s="19">
        <v>500</v>
      </c>
      <c r="I20" s="19">
        <v>0</v>
      </c>
      <c r="J20" s="19" t="s">
        <v>36</v>
      </c>
      <c r="K20" s="19">
        <v>1250</v>
      </c>
      <c r="L20" s="19">
        <v>2.2000000000000002</v>
      </c>
      <c r="M20" s="19" t="s">
        <v>20</v>
      </c>
      <c r="N20" s="19">
        <v>6</v>
      </c>
      <c r="O20" s="19">
        <f t="shared" si="4"/>
        <v>195.75</v>
      </c>
      <c r="P20" s="19">
        <v>200000</v>
      </c>
      <c r="Q20" s="19">
        <v>273</v>
      </c>
      <c r="R20" s="19">
        <f t="shared" si="2"/>
        <v>0.16049042145593867</v>
      </c>
      <c r="S20" s="19" t="s">
        <v>38</v>
      </c>
      <c r="T20" s="19" t="s">
        <v>39</v>
      </c>
      <c r="U20" s="19" t="s">
        <v>69</v>
      </c>
      <c r="V20" s="19">
        <v>234000</v>
      </c>
      <c r="W20" s="18">
        <v>0.11</v>
      </c>
      <c r="X20" s="19">
        <v>4500</v>
      </c>
      <c r="Y20" s="19">
        <v>1</v>
      </c>
      <c r="Z20" s="19">
        <v>1</v>
      </c>
      <c r="AA20" s="9">
        <f t="shared" si="10"/>
        <v>391.5</v>
      </c>
      <c r="AB20" s="19">
        <v>90</v>
      </c>
      <c r="AC20" s="19">
        <v>45</v>
      </c>
      <c r="AD20" s="21">
        <v>256</v>
      </c>
      <c r="AE20" s="21">
        <f>AD20-122</f>
        <v>134</v>
      </c>
      <c r="AF20" s="2"/>
      <c r="AG20" s="2">
        <f>59*0.79</f>
        <v>46.61</v>
      </c>
      <c r="AH20" s="19" t="s">
        <v>37</v>
      </c>
      <c r="AI20" s="19">
        <v>0</v>
      </c>
      <c r="AJ20" s="19"/>
      <c r="AK20" s="19"/>
      <c r="AL20" s="19"/>
      <c r="AM20" s="19"/>
      <c r="AN20" s="2"/>
      <c r="AO20" s="2">
        <f t="shared" si="5"/>
        <v>56.548667764616276</v>
      </c>
      <c r="AP20" s="2">
        <f t="shared" si="6"/>
        <v>36.230993976594981</v>
      </c>
      <c r="AQ20" s="2" t="str">
        <f t="shared" si="7"/>
        <v>OK</v>
      </c>
      <c r="AR20" s="2"/>
      <c r="AS20" s="2"/>
      <c r="AT20" s="2"/>
      <c r="AU20" s="2"/>
      <c r="AV20" s="2"/>
      <c r="AW20" s="2"/>
      <c r="AX20" s="2"/>
      <c r="AY20" s="2"/>
      <c r="AZ20" s="2"/>
    </row>
    <row r="21" spans="1:52" customFormat="1" x14ac:dyDescent="0.25">
      <c r="A21" s="19">
        <v>18</v>
      </c>
      <c r="B21" s="29"/>
      <c r="C21" s="19">
        <v>290</v>
      </c>
      <c r="D21" s="19">
        <v>20.5</v>
      </c>
      <c r="E21" s="19">
        <v>180</v>
      </c>
      <c r="F21" s="2">
        <v>400</v>
      </c>
      <c r="G21" s="19">
        <f>F21-65</f>
        <v>335</v>
      </c>
      <c r="H21" s="2">
        <v>400</v>
      </c>
      <c r="I21" s="19">
        <v>0</v>
      </c>
      <c r="J21" s="19" t="s">
        <v>36</v>
      </c>
      <c r="K21" s="2">
        <v>1000</v>
      </c>
      <c r="L21" s="19">
        <v>2.2000000000000002</v>
      </c>
      <c r="M21" s="19" t="s">
        <v>20</v>
      </c>
      <c r="N21" s="19">
        <v>6</v>
      </c>
      <c r="O21" s="19">
        <f t="shared" si="4"/>
        <v>150.75</v>
      </c>
      <c r="P21" s="19">
        <v>200000</v>
      </c>
      <c r="Q21" s="19">
        <v>273</v>
      </c>
      <c r="R21" s="19">
        <f t="shared" si="2"/>
        <v>0.20839800995024874</v>
      </c>
      <c r="S21" s="19" t="s">
        <v>38</v>
      </c>
      <c r="T21" s="19" t="s">
        <v>39</v>
      </c>
      <c r="U21" s="19" t="s">
        <v>69</v>
      </c>
      <c r="V21" s="19">
        <v>234000</v>
      </c>
      <c r="W21" s="18">
        <v>0.11</v>
      </c>
      <c r="X21" s="19">
        <v>4500</v>
      </c>
      <c r="Y21" s="2">
        <v>1</v>
      </c>
      <c r="Z21" s="2">
        <v>1</v>
      </c>
      <c r="AA21" s="9">
        <f t="shared" si="10"/>
        <v>301.5</v>
      </c>
      <c r="AB21" s="2">
        <v>90</v>
      </c>
      <c r="AC21" s="19">
        <v>45</v>
      </c>
      <c r="AD21" s="21">
        <v>298</v>
      </c>
      <c r="AE21" s="21">
        <f>AD21-237</f>
        <v>61</v>
      </c>
      <c r="AF21" s="2"/>
      <c r="AG21" s="2">
        <f>46*0.79</f>
        <v>36.340000000000003</v>
      </c>
      <c r="AH21" s="2" t="s">
        <v>20</v>
      </c>
      <c r="AI21" s="2">
        <v>6</v>
      </c>
      <c r="AJ21" s="2">
        <v>200</v>
      </c>
      <c r="AK21" s="2">
        <v>210000</v>
      </c>
      <c r="AL21" s="2">
        <v>515</v>
      </c>
      <c r="AM21" s="19">
        <f t="shared" ref="AM21:AM25" si="14">100*2*3.1416*AI21^2/4/AJ21/Z21</f>
        <v>28.274399999999996</v>
      </c>
      <c r="AN21" s="2"/>
      <c r="AO21" s="2">
        <f t="shared" si="5"/>
        <v>56.548667764616276</v>
      </c>
      <c r="AP21" s="2">
        <f t="shared" si="6"/>
        <v>27.90202984404441</v>
      </c>
      <c r="AQ21" s="2" t="str">
        <f t="shared" si="7"/>
        <v>OK</v>
      </c>
      <c r="AR21" s="2"/>
      <c r="AS21" s="2"/>
      <c r="AT21" s="2"/>
      <c r="AU21" s="2"/>
      <c r="AV21" s="2"/>
      <c r="AW21" s="2"/>
      <c r="AX21" s="2"/>
      <c r="AY21" s="2"/>
      <c r="AZ21" s="2"/>
    </row>
    <row r="22" spans="1:52" customFormat="1" x14ac:dyDescent="0.25">
      <c r="A22" s="19">
        <v>19</v>
      </c>
      <c r="B22" s="5"/>
      <c r="C22" s="19">
        <v>3</v>
      </c>
      <c r="D22" s="19">
        <v>20.5</v>
      </c>
      <c r="E22" s="19">
        <v>100</v>
      </c>
      <c r="F22" s="19">
        <v>250</v>
      </c>
      <c r="G22" s="19">
        <f>F22-50</f>
        <v>200</v>
      </c>
      <c r="H22" s="19">
        <v>250</v>
      </c>
      <c r="I22" s="19">
        <v>0</v>
      </c>
      <c r="J22" s="19" t="s">
        <v>36</v>
      </c>
      <c r="K22" s="19">
        <v>510</v>
      </c>
      <c r="L22" s="19">
        <f t="shared" ref="L22:L25" si="15">K22/G22</f>
        <v>2.5499999999999998</v>
      </c>
      <c r="M22" s="19" t="s">
        <v>20</v>
      </c>
      <c r="N22" s="19">
        <v>6</v>
      </c>
      <c r="O22" s="19">
        <f t="shared" si="4"/>
        <v>90</v>
      </c>
      <c r="P22" s="19">
        <v>200000</v>
      </c>
      <c r="Q22" s="19">
        <v>273</v>
      </c>
      <c r="R22" s="19">
        <f t="shared" si="2"/>
        <v>0.62831999999999999</v>
      </c>
      <c r="S22" s="19" t="s">
        <v>38</v>
      </c>
      <c r="T22" s="19" t="s">
        <v>41</v>
      </c>
      <c r="U22" s="19" t="s">
        <v>69</v>
      </c>
      <c r="V22" s="19">
        <v>178600</v>
      </c>
      <c r="W22" s="19">
        <v>1.2</v>
      </c>
      <c r="X22" s="19">
        <v>2868</v>
      </c>
      <c r="Y22" s="19">
        <v>25</v>
      </c>
      <c r="Z22" s="19">
        <v>75</v>
      </c>
      <c r="AA22" s="9">
        <f t="shared" si="10"/>
        <v>180</v>
      </c>
      <c r="AB22" s="19">
        <v>90</v>
      </c>
      <c r="AC22" s="19">
        <v>45</v>
      </c>
      <c r="AD22" s="21">
        <v>44.05</v>
      </c>
      <c r="AE22" s="21">
        <f>AD22-51.8/2</f>
        <v>18.149999999999999</v>
      </c>
      <c r="AF22" s="2"/>
      <c r="AG22" s="19">
        <v>25.4</v>
      </c>
      <c r="AH22" s="19" t="s">
        <v>37</v>
      </c>
      <c r="AI22" s="19">
        <v>0</v>
      </c>
      <c r="AJ22" s="19"/>
      <c r="AK22" s="19"/>
      <c r="AL22" s="19"/>
      <c r="AM22" s="19"/>
      <c r="AN22" s="2"/>
      <c r="AO22" s="2">
        <f t="shared" si="5"/>
        <v>56.548667764616276</v>
      </c>
      <c r="AP22" s="2">
        <f t="shared" si="6"/>
        <v>9.2544045917228548</v>
      </c>
      <c r="AQ22" s="2" t="str">
        <f t="shared" si="7"/>
        <v>OK</v>
      </c>
      <c r="AR22" s="2"/>
      <c r="AS22" s="2"/>
      <c r="AT22" s="2"/>
      <c r="AU22" s="2"/>
      <c r="AV22" s="2"/>
      <c r="AW22" s="2"/>
      <c r="AX22" s="2"/>
      <c r="AY22" s="2"/>
      <c r="AZ22" s="2"/>
    </row>
    <row r="23" spans="1:52" customFormat="1" x14ac:dyDescent="0.25">
      <c r="A23" s="19">
        <v>20</v>
      </c>
      <c r="B23" s="9" t="s">
        <v>67</v>
      </c>
      <c r="C23" s="19">
        <v>5</v>
      </c>
      <c r="D23" s="19">
        <v>20.5</v>
      </c>
      <c r="E23" s="19">
        <v>100</v>
      </c>
      <c r="F23" s="19">
        <v>300</v>
      </c>
      <c r="G23" s="19">
        <f>F23-50</f>
        <v>250</v>
      </c>
      <c r="H23" s="19">
        <v>300</v>
      </c>
      <c r="I23" s="19">
        <v>50</v>
      </c>
      <c r="J23" s="19" t="s">
        <v>58</v>
      </c>
      <c r="K23" s="19">
        <v>810</v>
      </c>
      <c r="L23" s="20">
        <f t="shared" si="15"/>
        <v>3.24</v>
      </c>
      <c r="M23" s="19" t="s">
        <v>20</v>
      </c>
      <c r="N23" s="19">
        <v>6</v>
      </c>
      <c r="O23" s="19">
        <f t="shared" si="4"/>
        <v>112.5</v>
      </c>
      <c r="P23" s="19">
        <v>200000</v>
      </c>
      <c r="Q23" s="19">
        <v>273</v>
      </c>
      <c r="R23" s="19">
        <f t="shared" si="2"/>
        <v>0.50265599999999988</v>
      </c>
      <c r="S23" s="19" t="s">
        <v>38</v>
      </c>
      <c r="T23" s="19" t="s">
        <v>41</v>
      </c>
      <c r="U23" s="19" t="s">
        <v>69</v>
      </c>
      <c r="V23" s="19">
        <v>178600</v>
      </c>
      <c r="W23" s="19">
        <v>1.2</v>
      </c>
      <c r="X23" s="19">
        <v>2868</v>
      </c>
      <c r="Y23" s="19">
        <v>25</v>
      </c>
      <c r="Z23" s="19">
        <v>75</v>
      </c>
      <c r="AA23" s="9">
        <f t="shared" si="10"/>
        <v>175</v>
      </c>
      <c r="AB23" s="19">
        <v>90</v>
      </c>
      <c r="AC23" s="19">
        <v>45</v>
      </c>
      <c r="AD23" s="21">
        <v>107.25</v>
      </c>
      <c r="AE23" s="21">
        <f>AD23-164.2/2</f>
        <v>25.150000000000006</v>
      </c>
      <c r="AF23" s="2"/>
      <c r="AG23" s="19">
        <v>25.4</v>
      </c>
      <c r="AH23" s="19" t="s">
        <v>20</v>
      </c>
      <c r="AI23" s="19">
        <v>6</v>
      </c>
      <c r="AJ23" s="19">
        <v>75</v>
      </c>
      <c r="AK23" s="19">
        <v>200000</v>
      </c>
      <c r="AL23" s="19">
        <v>325</v>
      </c>
      <c r="AM23" s="19">
        <f>100*2*3.1416*AI23^2/4/AJ23/Z23</f>
        <v>1.005312</v>
      </c>
      <c r="AN23" s="2"/>
      <c r="AO23" s="2">
        <f t="shared" si="5"/>
        <v>56.548667764616276</v>
      </c>
      <c r="AP23" s="2">
        <f t="shared" si="6"/>
        <v>11.568005739653568</v>
      </c>
      <c r="AQ23" s="2" t="str">
        <f t="shared" si="7"/>
        <v>OK</v>
      </c>
      <c r="AR23" s="2"/>
      <c r="AS23" s="2"/>
      <c r="AT23" s="2"/>
      <c r="AU23" s="2"/>
      <c r="AV23" s="2"/>
      <c r="AW23" s="2"/>
      <c r="AX23" s="2"/>
      <c r="AY23" s="2"/>
      <c r="AZ23" s="2"/>
    </row>
    <row r="24" spans="1:52" x14ac:dyDescent="0.25">
      <c r="A24" s="19">
        <v>21</v>
      </c>
      <c r="B24" s="33" t="s">
        <v>71</v>
      </c>
      <c r="C24" s="33" t="s">
        <v>43</v>
      </c>
      <c r="D24" s="19">
        <v>20.5</v>
      </c>
      <c r="E24" s="33">
        <v>200</v>
      </c>
      <c r="F24" s="33">
        <v>250</v>
      </c>
      <c r="G24" s="33">
        <v>224</v>
      </c>
      <c r="H24" s="33">
        <f>F24</f>
        <v>250</v>
      </c>
      <c r="I24" s="33">
        <v>0</v>
      </c>
      <c r="J24" s="33" t="s">
        <v>36</v>
      </c>
      <c r="K24" s="33">
        <v>667</v>
      </c>
      <c r="L24" s="34">
        <f t="shared" si="15"/>
        <v>2.9776785714285716</v>
      </c>
      <c r="M24" s="19" t="s">
        <v>20</v>
      </c>
      <c r="N24" s="19">
        <v>6</v>
      </c>
      <c r="O24" s="19">
        <f t="shared" si="4"/>
        <v>100.8</v>
      </c>
      <c r="P24" s="19">
        <v>200000</v>
      </c>
      <c r="Q24" s="19">
        <v>273</v>
      </c>
      <c r="R24" s="19">
        <f t="shared" si="2"/>
        <v>0.28049999999999997</v>
      </c>
      <c r="S24" s="33" t="s">
        <v>63</v>
      </c>
      <c r="T24" s="33" t="s">
        <v>39</v>
      </c>
      <c r="U24" s="33" t="s">
        <v>69</v>
      </c>
      <c r="V24" s="33">
        <v>11310</v>
      </c>
      <c r="W24" s="33">
        <v>0.6</v>
      </c>
      <c r="X24" s="33">
        <v>334.5</v>
      </c>
      <c r="Y24" s="33">
        <v>1</v>
      </c>
      <c r="Z24" s="33">
        <v>1</v>
      </c>
      <c r="AA24" s="33">
        <f t="shared" si="10"/>
        <v>201.6</v>
      </c>
      <c r="AB24" s="33">
        <v>90</v>
      </c>
      <c r="AC24" s="19">
        <v>45</v>
      </c>
      <c r="AD24" s="33">
        <v>54</v>
      </c>
      <c r="AE24" s="33">
        <v>13</v>
      </c>
      <c r="AG24" s="33">
        <v>17.8</v>
      </c>
      <c r="AH24" s="33" t="s">
        <v>37</v>
      </c>
      <c r="AI24" s="33">
        <v>0</v>
      </c>
      <c r="AJ24" s="33"/>
      <c r="AK24" s="33"/>
      <c r="AL24" s="33"/>
      <c r="AM24" s="33"/>
      <c r="AO24" s="2">
        <f t="shared" si="5"/>
        <v>56.548667764616276</v>
      </c>
      <c r="AP24" s="2">
        <f t="shared" si="6"/>
        <v>20.729866285459195</v>
      </c>
      <c r="AQ24" s="2" t="str">
        <f t="shared" si="7"/>
        <v>OK</v>
      </c>
    </row>
    <row r="25" spans="1:52" x14ac:dyDescent="0.25">
      <c r="A25" s="19">
        <v>22</v>
      </c>
      <c r="B25" s="2" t="s">
        <v>72</v>
      </c>
      <c r="C25" s="2">
        <v>3</v>
      </c>
      <c r="D25" s="19">
        <v>20.5</v>
      </c>
      <c r="E25" s="2">
        <v>114</v>
      </c>
      <c r="F25" s="2">
        <v>102</v>
      </c>
      <c r="G25" s="2">
        <v>78.650000000000006</v>
      </c>
      <c r="H25" s="2">
        <f>102-6</f>
        <v>96</v>
      </c>
      <c r="I25" s="2">
        <v>6</v>
      </c>
      <c r="J25" s="2" t="s">
        <v>36</v>
      </c>
      <c r="K25" s="2">
        <v>300</v>
      </c>
      <c r="L25" s="20">
        <f t="shared" si="15"/>
        <v>3.814367450731087</v>
      </c>
      <c r="M25" s="19" t="s">
        <v>20</v>
      </c>
      <c r="N25" s="19">
        <v>6</v>
      </c>
      <c r="O25" s="19">
        <f t="shared" si="4"/>
        <v>35.392500000000005</v>
      </c>
      <c r="P25" s="19">
        <v>200000</v>
      </c>
      <c r="Q25" s="19">
        <v>273</v>
      </c>
      <c r="R25" s="19">
        <f t="shared" si="2"/>
        <v>1.4015458225984538</v>
      </c>
      <c r="S25" s="2" t="s">
        <v>63</v>
      </c>
      <c r="T25" s="2" t="s">
        <v>39</v>
      </c>
      <c r="U25" s="2" t="s">
        <v>69</v>
      </c>
      <c r="V25" s="2">
        <v>16800</v>
      </c>
      <c r="W25" s="2">
        <v>0.64</v>
      </c>
      <c r="X25" s="2">
        <v>344.7</v>
      </c>
      <c r="Y25" s="2">
        <v>1</v>
      </c>
      <c r="Z25" s="2">
        <f>Y25/SIN(AB25/180*PI())</f>
        <v>1.4142135623730951</v>
      </c>
      <c r="AA25" s="2">
        <f t="shared" si="10"/>
        <v>64.785000000000011</v>
      </c>
      <c r="AB25" s="2">
        <v>45</v>
      </c>
      <c r="AC25" s="19">
        <v>45</v>
      </c>
      <c r="AD25" s="2">
        <v>31.25</v>
      </c>
      <c r="AE25" s="2">
        <v>7.55</v>
      </c>
      <c r="AG25" s="2">
        <v>42.9</v>
      </c>
      <c r="AH25" s="2" t="s">
        <v>37</v>
      </c>
      <c r="AI25" s="32">
        <v>0</v>
      </c>
      <c r="AO25" s="2">
        <f t="shared" si="5"/>
        <v>56.548667764616276</v>
      </c>
      <c r="AP25" s="2">
        <f t="shared" si="6"/>
        <v>4.1487958504923155</v>
      </c>
      <c r="AQ25" s="2" t="str">
        <f t="shared" si="7"/>
        <v>OK</v>
      </c>
    </row>
    <row r="26" spans="1:52" x14ac:dyDescent="0.25">
      <c r="A26" s="19">
        <v>23</v>
      </c>
      <c r="B26" s="31" t="s">
        <v>73</v>
      </c>
      <c r="C26" s="31">
        <v>4</v>
      </c>
      <c r="D26" s="19">
        <v>20.5</v>
      </c>
      <c r="E26" s="2">
        <v>250</v>
      </c>
      <c r="F26" s="2">
        <v>500</v>
      </c>
      <c r="G26" s="2">
        <v>400</v>
      </c>
      <c r="H26" s="2">
        <v>500</v>
      </c>
      <c r="I26" s="2">
        <v>0</v>
      </c>
      <c r="J26" s="2" t="s">
        <v>36</v>
      </c>
      <c r="K26" s="2">
        <v>1000</v>
      </c>
      <c r="L26" s="35">
        <f t="shared" ref="L26" si="16">K26/G26</f>
        <v>2.5</v>
      </c>
      <c r="M26" s="19" t="s">
        <v>20</v>
      </c>
      <c r="N26" s="19">
        <v>8</v>
      </c>
      <c r="O26" s="19">
        <f t="shared" si="4"/>
        <v>180</v>
      </c>
      <c r="P26" s="19">
        <v>200000</v>
      </c>
      <c r="Q26" s="19">
        <v>273</v>
      </c>
      <c r="R26" s="19">
        <f t="shared" si="2"/>
        <v>0.22340266666666664</v>
      </c>
      <c r="S26" s="2" t="s">
        <v>38</v>
      </c>
      <c r="T26" s="2" t="s">
        <v>41</v>
      </c>
      <c r="U26" s="2" t="s">
        <v>69</v>
      </c>
      <c r="V26" s="2">
        <v>244000</v>
      </c>
      <c r="W26" s="2">
        <v>0.111</v>
      </c>
      <c r="X26" s="2">
        <v>3990</v>
      </c>
      <c r="Y26" s="2">
        <v>40</v>
      </c>
      <c r="Z26" s="2">
        <v>100</v>
      </c>
      <c r="AA26" s="2">
        <f t="shared" ref="AA26" si="17">0.9*G26-I26</f>
        <v>360</v>
      </c>
      <c r="AB26" s="2">
        <v>90</v>
      </c>
      <c r="AC26" s="19">
        <v>45</v>
      </c>
      <c r="AD26" s="2">
        <v>183.9</v>
      </c>
      <c r="AE26" s="2">
        <v>2.9</v>
      </c>
      <c r="AG26" s="2">
        <v>32.6</v>
      </c>
      <c r="AH26" s="2" t="s">
        <v>37</v>
      </c>
      <c r="AI26" s="2">
        <v>0</v>
      </c>
      <c r="AO26" s="2">
        <f t="shared" si="5"/>
        <v>100.53096491487338</v>
      </c>
      <c r="AP26" s="2">
        <f t="shared" si="6"/>
        <v>46.272022958614272</v>
      </c>
      <c r="AQ26" s="2" t="str">
        <f t="shared" si="7"/>
        <v>OK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PolyU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2013-03-11T05:16:01Z</dcterms:created>
  <dcterms:modified xsi:type="dcterms:W3CDTF">2013-04-19T03:21:53Z</dcterms:modified>
</cp:coreProperties>
</file>